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7A2D7E96-6E34-419A-AE5F-296B3A7E7977}"/>
  <workbookPr showInkAnnotation="0" codeName="ThisWorkbook" autoCompressPictures="0"/>
  <bookViews>
    <workbookView xWindow="140" yWindow="0" windowWidth="17580" windowHeight="15800" tabRatio="772" activeTab="4"/>
  </bookViews>
  <sheets>
    <sheet name="Introduction" sheetId="9" r:id="rId1"/>
    <sheet name="Model Inputs" sheetId="8" r:id="rId2"/>
    <sheet name="Other parameters" sheetId="42" r:id="rId3"/>
    <sheet name="Program costs" sheetId="25" r:id="rId4"/>
    <sheet name="Results" sheetId="41" r:id="rId5"/>
    <sheet name="PSA" sheetId="43" r:id="rId6"/>
    <sheet name="USA" sheetId="44" r:id="rId7"/>
    <sheet name="M tr Scen 1 ante" sheetId="36" r:id="rId8"/>
    <sheet name="M tr Scen 1 post" sheetId="45" r:id="rId9"/>
    <sheet name="M tr Scen 2 ante" sheetId="37" r:id="rId10"/>
    <sheet name="M tr Scen 2 post" sheetId="46" r:id="rId11"/>
    <sheet name="M tr Scen 3 ante" sheetId="39" r:id="rId12"/>
    <sheet name="M tr Scen 3 post" sheetId="47" r:id="rId13"/>
  </sheets>
  <definedNames>
    <definedName name="_xlnm._FilterDatabase" localSheetId="1" hidden="1">'Model Inputs'!$B$10:$M$28</definedName>
    <definedName name="cARF">'Model Inputs'!$D$38</definedName>
    <definedName name="cpARF1_Remission">'Model Inputs'!$D$13</definedName>
    <definedName name="cpARF2_Remission">'Model Inputs'!$D$18</definedName>
    <definedName name="cPP">'Model Inputs'!$D$46</definedName>
    <definedName name="cpRHDMild_RHDMild">'Model Inputs'!$D$22</definedName>
    <definedName name="cpRHDSevere_RHDSevere">'Model Inputs'!$D$26</definedName>
    <definedName name="cRFR">'Model Inputs'!$D$39</definedName>
    <definedName name="cRH">'Model Inputs'!$D$41</definedName>
    <definedName name="cRM">'Model Inputs'!$D$40</definedName>
    <definedName name="cRS">'Model Inputs'!$D$42</definedName>
    <definedName name="cSP">'Model Inputs'!$D$47</definedName>
    <definedName name="cSS">'Model Inputs'!$D$48</definedName>
    <definedName name="disc">'Model Inputs'!$D$54</definedName>
    <definedName name="gdppc">'Other parameters'!$D$42</definedName>
    <definedName name="hexp">'Other parameters'!$D$43</definedName>
    <definedName name="HFstr">'Model Inputs'!$D$55</definedName>
    <definedName name="infl">'Other parameters'!$D$41</definedName>
    <definedName name="pA1_1a">'Other parameters'!$D$60</definedName>
    <definedName name="pA1_1p">'Other parameters'!$F$60</definedName>
    <definedName name="pA1_2a">'Other parameters'!$D$66</definedName>
    <definedName name="pA1_2p">'Other parameters'!$F$66</definedName>
    <definedName name="pA1_3a">'Other parameters'!$D$72</definedName>
    <definedName name="pA1_3p">'Other parameters'!$F$72</definedName>
    <definedName name="pA2_1a">'Other parameters'!$D$61</definedName>
    <definedName name="pA2_1p">'Other parameters'!$F$61</definedName>
    <definedName name="pA2_2a">'Other parameters'!$D$67</definedName>
    <definedName name="pA2_2p">'Other parameters'!$F$67</definedName>
    <definedName name="pA2_3a">'Other parameters'!$D$73</definedName>
    <definedName name="pA2_3p">'Other parameters'!$F$73</definedName>
    <definedName name="pARF1_Death">'Model Inputs'!$D$12</definedName>
    <definedName name="pARF1_Remission">'Model Inputs'!$D$13</definedName>
    <definedName name="pARF1_RHDMild">'Model Inputs'!$D$11</definedName>
    <definedName name="pARF2_Death">'Model Inputs'!$D$16</definedName>
    <definedName name="pARF2_RHDMild">'Model Inputs'!$D$17</definedName>
    <definedName name="popsize">'Other parameters'!$D$7</definedName>
    <definedName name="pRemission_ARF2">'Model Inputs'!$D$15</definedName>
    <definedName name="pRHDMild_RHDSevere">'Model Inputs'!$D$20</definedName>
    <definedName name="pRHDMild_Stroke">'Model Inputs'!$D$21</definedName>
    <definedName name="pRHDSevere_Death">'Model Inputs'!$D$25</definedName>
    <definedName name="pRHDSevere_RHDMild">'Model Inputs'!$D$24</definedName>
    <definedName name="prim1">'Other parameters'!$D$47</definedName>
    <definedName name="prim2">'Other parameters'!$D$48</definedName>
    <definedName name="pRM_RH">'Model Inputs'!$D$20</definedName>
    <definedName name="pStroke_Death">'Model Inputs'!$D$28</definedName>
    <definedName name="pVS_1a">'Other parameters'!$D$62</definedName>
    <definedName name="pVS_1p">'Other parameters'!$F$62</definedName>
    <definedName name="pVS_2a">'Other parameters'!$D$68</definedName>
    <definedName name="pVS_2p">'Other parameters'!$F$68</definedName>
    <definedName name="pVS_3a">'Other parameters'!$D$74</definedName>
    <definedName name="pVS_3p">'Other parameters'!$F$74</definedName>
    <definedName name="pWell_ARF1">'Model Inputs'!$D$10</definedName>
    <definedName name="rf1age">'Model Inputs'!$E$61</definedName>
    <definedName name="rf2age">'Model Inputs'!$E$62</definedName>
    <definedName name="rfprv">'Other parameters'!$D$8</definedName>
    <definedName name="rhdage">'Model Inputs'!$E$63</definedName>
    <definedName name="rhdprv">'Other parameters'!$D$9</definedName>
    <definedName name="rhdsrg">'Other parameters'!$D$10</definedName>
    <definedName name="rPP">'Model Inputs'!$D$32</definedName>
    <definedName name="rSP">'Model Inputs'!$D$33</definedName>
    <definedName name="rVS">'Model Inputs'!$D$34</definedName>
    <definedName name="secn1">'Other parameters'!$D$49</definedName>
    <definedName name="secn2">'Other parameters'!$D$50</definedName>
    <definedName name="simulations">PSA!$H$1</definedName>
    <definedName name="srgyrly">'Other parameters'!$D$11</definedName>
    <definedName name="surg1">'Other parameters'!$D$51</definedName>
    <definedName name="surg2">'Other parameters'!$D$52</definedName>
    <definedName name="wAR">'Model Inputs'!$D$56</definedName>
    <definedName name="wRH">'Model Inputs'!$D$58</definedName>
    <definedName name="wRM">'Model Inputs'!$D$57</definedName>
    <definedName name="wRS">'Model Inputs'!$D$59</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45" i="41" l="1"/>
  <c r="J38" i="8"/>
  <c r="D38" i="8"/>
  <c r="AC12" i="47"/>
  <c r="J39" i="8"/>
  <c r="D39" i="8"/>
  <c r="AD12" i="47"/>
  <c r="J40" i="8"/>
  <c r="D40" i="8"/>
  <c r="AE12" i="47"/>
  <c r="J41" i="8"/>
  <c r="D41" i="8"/>
  <c r="AF12" i="47"/>
  <c r="J42" i="8"/>
  <c r="D42" i="8"/>
  <c r="AG12" i="47"/>
  <c r="AH12" i="47"/>
  <c r="D54" i="8"/>
  <c r="H12" i="47"/>
  <c r="AI12" i="47"/>
  <c r="AC13" i="47"/>
  <c r="AD13" i="47"/>
  <c r="AE13" i="47"/>
  <c r="AF13" i="47"/>
  <c r="AG13" i="47"/>
  <c r="AH13" i="47"/>
  <c r="H13" i="47"/>
  <c r="AI13" i="47"/>
  <c r="AC14" i="47"/>
  <c r="AD14" i="47"/>
  <c r="AE14" i="47"/>
  <c r="AF14" i="47"/>
  <c r="AG14" i="47"/>
  <c r="AH14" i="47"/>
  <c r="H14" i="47"/>
  <c r="AI14" i="47"/>
  <c r="AC15" i="47"/>
  <c r="AD15" i="47"/>
  <c r="AE15" i="47"/>
  <c r="AF15" i="47"/>
  <c r="AG15" i="47"/>
  <c r="AH15" i="47"/>
  <c r="H15" i="47"/>
  <c r="AI15" i="47"/>
  <c r="AC16" i="47"/>
  <c r="AD16" i="47"/>
  <c r="AE16" i="47"/>
  <c r="AF16" i="47"/>
  <c r="AG16" i="47"/>
  <c r="AH16" i="47"/>
  <c r="H16" i="47"/>
  <c r="AI16" i="47"/>
  <c r="AC17" i="47"/>
  <c r="AD17" i="47"/>
  <c r="AE17" i="47"/>
  <c r="AF17" i="47"/>
  <c r="AG17" i="47"/>
  <c r="AH17" i="47"/>
  <c r="H17" i="47"/>
  <c r="AI17" i="47"/>
  <c r="AC18" i="47"/>
  <c r="AD18" i="47"/>
  <c r="AE18" i="47"/>
  <c r="AF18" i="47"/>
  <c r="AG18" i="47"/>
  <c r="AH18" i="47"/>
  <c r="H18" i="47"/>
  <c r="AI18" i="47"/>
  <c r="AC19" i="47"/>
  <c r="AD19" i="47"/>
  <c r="AE19" i="47"/>
  <c r="AF19" i="47"/>
  <c r="AG19" i="47"/>
  <c r="AH19" i="47"/>
  <c r="H19" i="47"/>
  <c r="AI19" i="47"/>
  <c r="AC20" i="47"/>
  <c r="AD20" i="47"/>
  <c r="AE20" i="47"/>
  <c r="AF20" i="47"/>
  <c r="AG20" i="47"/>
  <c r="AH20" i="47"/>
  <c r="H20" i="47"/>
  <c r="AI20" i="47"/>
  <c r="AC21" i="47"/>
  <c r="AD21" i="47"/>
  <c r="AE21" i="47"/>
  <c r="AF21" i="47"/>
  <c r="AG21" i="47"/>
  <c r="AH21" i="47"/>
  <c r="H21" i="47"/>
  <c r="AI21" i="47"/>
  <c r="AC22" i="47"/>
  <c r="AD22" i="47"/>
  <c r="AE22" i="47"/>
  <c r="AF22" i="47"/>
  <c r="AG22" i="47"/>
  <c r="AH22" i="47"/>
  <c r="H22" i="47"/>
  <c r="AI22" i="47"/>
  <c r="AC23" i="47"/>
  <c r="AD23" i="47"/>
  <c r="AE23" i="47"/>
  <c r="AF23" i="47"/>
  <c r="AG23" i="47"/>
  <c r="AH23" i="47"/>
  <c r="H23" i="47"/>
  <c r="AI23" i="47"/>
  <c r="AC24" i="47"/>
  <c r="AD24" i="47"/>
  <c r="AE24" i="47"/>
  <c r="AF24" i="47"/>
  <c r="AG24" i="47"/>
  <c r="AH24" i="47"/>
  <c r="H24" i="47"/>
  <c r="AI24" i="47"/>
  <c r="AC25" i="47"/>
  <c r="AD25" i="47"/>
  <c r="AE25" i="47"/>
  <c r="AF25" i="47"/>
  <c r="AG25" i="47"/>
  <c r="AH25" i="47"/>
  <c r="H25" i="47"/>
  <c r="AI25" i="47"/>
  <c r="AC26" i="47"/>
  <c r="AD26" i="47"/>
  <c r="AE26" i="47"/>
  <c r="AF26" i="47"/>
  <c r="AG26" i="47"/>
  <c r="AH26" i="47"/>
  <c r="H26" i="47"/>
  <c r="AI26" i="47"/>
  <c r="AC27" i="47"/>
  <c r="AD27" i="47"/>
  <c r="AE27" i="47"/>
  <c r="AF27" i="47"/>
  <c r="AG27" i="47"/>
  <c r="AH27" i="47"/>
  <c r="H27" i="47"/>
  <c r="AI27" i="47"/>
  <c r="AC28" i="47"/>
  <c r="AD28" i="47"/>
  <c r="L11" i="8"/>
  <c r="L12" i="8"/>
  <c r="L13" i="8"/>
  <c r="J11" i="8"/>
  <c r="D11" i="8"/>
  <c r="L17" i="8"/>
  <c r="L16" i="8"/>
  <c r="L18" i="8"/>
  <c r="J17" i="8"/>
  <c r="D17" i="8"/>
  <c r="L22" i="8"/>
  <c r="L20" i="8"/>
  <c r="L21" i="8"/>
  <c r="J22" i="8"/>
  <c r="D22" i="8"/>
  <c r="L24" i="8"/>
  <c r="L25" i="8"/>
  <c r="L26" i="8"/>
  <c r="J24" i="8"/>
  <c r="D24" i="8"/>
  <c r="J34" i="8"/>
  <c r="D34" i="8"/>
  <c r="F74" i="42"/>
  <c r="G28" i="47"/>
  <c r="N28" i="47"/>
  <c r="AE28" i="47"/>
  <c r="J20" i="8"/>
  <c r="D20" i="8"/>
  <c r="J25" i="8"/>
  <c r="D25" i="8"/>
  <c r="O28" i="47"/>
  <c r="AF28" i="47"/>
  <c r="J21" i="8"/>
  <c r="D21" i="8"/>
  <c r="J28" i="8"/>
  <c r="D28" i="8"/>
  <c r="P28" i="47"/>
  <c r="AG28" i="47"/>
  <c r="AH28" i="47"/>
  <c r="H28" i="47"/>
  <c r="AI28" i="47"/>
  <c r="AC29" i="47"/>
  <c r="AD29" i="47"/>
  <c r="G29" i="47"/>
  <c r="N29" i="47"/>
  <c r="AE29" i="47"/>
  <c r="O29" i="47"/>
  <c r="AF29" i="47"/>
  <c r="P29" i="47"/>
  <c r="AG29" i="47"/>
  <c r="AH29" i="47"/>
  <c r="H29" i="47"/>
  <c r="AI29" i="47"/>
  <c r="AC30" i="47"/>
  <c r="AD30" i="47"/>
  <c r="G30" i="47"/>
  <c r="N30" i="47"/>
  <c r="AE30" i="47"/>
  <c r="O30" i="47"/>
  <c r="AF30" i="47"/>
  <c r="P30" i="47"/>
  <c r="AG30" i="47"/>
  <c r="AH30" i="47"/>
  <c r="H30" i="47"/>
  <c r="AI30" i="47"/>
  <c r="AC31" i="47"/>
  <c r="AD31" i="47"/>
  <c r="G31" i="47"/>
  <c r="N31" i="47"/>
  <c r="AE31" i="47"/>
  <c r="O31" i="47"/>
  <c r="AF31" i="47"/>
  <c r="P31" i="47"/>
  <c r="AG31" i="47"/>
  <c r="AH31" i="47"/>
  <c r="H31" i="47"/>
  <c r="AI31" i="47"/>
  <c r="AC32" i="47"/>
  <c r="AD32" i="47"/>
  <c r="G32" i="47"/>
  <c r="N32" i="47"/>
  <c r="AE32" i="47"/>
  <c r="O32" i="47"/>
  <c r="AF32" i="47"/>
  <c r="P32" i="47"/>
  <c r="AG32" i="47"/>
  <c r="AH32" i="47"/>
  <c r="H32" i="47"/>
  <c r="AI32" i="47"/>
  <c r="AC33" i="47"/>
  <c r="AD33" i="47"/>
  <c r="G33" i="47"/>
  <c r="N33" i="47"/>
  <c r="AE33" i="47"/>
  <c r="O33" i="47"/>
  <c r="AF33" i="47"/>
  <c r="P33" i="47"/>
  <c r="AG33" i="47"/>
  <c r="AH33" i="47"/>
  <c r="H33" i="47"/>
  <c r="AI33" i="47"/>
  <c r="AC34" i="47"/>
  <c r="AD34" i="47"/>
  <c r="G34" i="47"/>
  <c r="N34" i="47"/>
  <c r="AE34" i="47"/>
  <c r="O34" i="47"/>
  <c r="AF34" i="47"/>
  <c r="P34" i="47"/>
  <c r="AG34" i="47"/>
  <c r="AH34" i="47"/>
  <c r="H34" i="47"/>
  <c r="AI34" i="47"/>
  <c r="AC35" i="47"/>
  <c r="AD35" i="47"/>
  <c r="G35" i="47"/>
  <c r="N35" i="47"/>
  <c r="AE35" i="47"/>
  <c r="O35" i="47"/>
  <c r="AF35" i="47"/>
  <c r="P35" i="47"/>
  <c r="AG35" i="47"/>
  <c r="AH35" i="47"/>
  <c r="H35" i="47"/>
  <c r="AI35" i="47"/>
  <c r="AC36" i="47"/>
  <c r="AD36" i="47"/>
  <c r="G36" i="47"/>
  <c r="N36" i="47"/>
  <c r="AE36" i="47"/>
  <c r="O36" i="47"/>
  <c r="AF36" i="47"/>
  <c r="P36" i="47"/>
  <c r="AG36" i="47"/>
  <c r="AH36" i="47"/>
  <c r="H36" i="47"/>
  <c r="AI36" i="47"/>
  <c r="AC37" i="47"/>
  <c r="AD37" i="47"/>
  <c r="G37" i="47"/>
  <c r="N37" i="47"/>
  <c r="AE37" i="47"/>
  <c r="O37" i="47"/>
  <c r="AF37" i="47"/>
  <c r="P37" i="47"/>
  <c r="AG37" i="47"/>
  <c r="AH37" i="47"/>
  <c r="H37" i="47"/>
  <c r="AI37" i="47"/>
  <c r="AC38" i="47"/>
  <c r="AD38" i="47"/>
  <c r="G38" i="47"/>
  <c r="N38" i="47"/>
  <c r="AE38" i="47"/>
  <c r="O38" i="47"/>
  <c r="AF38" i="47"/>
  <c r="P38" i="47"/>
  <c r="AG38" i="47"/>
  <c r="AH38" i="47"/>
  <c r="H38" i="47"/>
  <c r="AI38" i="47"/>
  <c r="AC39" i="47"/>
  <c r="AD39" i="47"/>
  <c r="G39" i="47"/>
  <c r="N39" i="47"/>
  <c r="AE39" i="47"/>
  <c r="O39" i="47"/>
  <c r="AF39" i="47"/>
  <c r="P39" i="47"/>
  <c r="AG39" i="47"/>
  <c r="AH39" i="47"/>
  <c r="H39" i="47"/>
  <c r="AI39" i="47"/>
  <c r="AC40" i="47"/>
  <c r="AD40" i="47"/>
  <c r="G40" i="47"/>
  <c r="N40" i="47"/>
  <c r="AE40" i="47"/>
  <c r="O40" i="47"/>
  <c r="AF40" i="47"/>
  <c r="P40" i="47"/>
  <c r="AG40" i="47"/>
  <c r="AH40" i="47"/>
  <c r="H40" i="47"/>
  <c r="AI40" i="47"/>
  <c r="AC41" i="47"/>
  <c r="AD41" i="47"/>
  <c r="G41" i="47"/>
  <c r="N41" i="47"/>
  <c r="AE41" i="47"/>
  <c r="O41" i="47"/>
  <c r="AF41" i="47"/>
  <c r="P41" i="47"/>
  <c r="AG41" i="47"/>
  <c r="AH41" i="47"/>
  <c r="H41" i="47"/>
  <c r="AI41" i="47"/>
  <c r="AC42" i="47"/>
  <c r="AD42" i="47"/>
  <c r="G42" i="47"/>
  <c r="N42" i="47"/>
  <c r="AE42" i="47"/>
  <c r="O42" i="47"/>
  <c r="AF42" i="47"/>
  <c r="P42" i="47"/>
  <c r="AG42" i="47"/>
  <c r="AH42" i="47"/>
  <c r="H42" i="47"/>
  <c r="AI42" i="47"/>
  <c r="AC43" i="47"/>
  <c r="AD43" i="47"/>
  <c r="G43" i="47"/>
  <c r="N43" i="47"/>
  <c r="AE43" i="47"/>
  <c r="O43" i="47"/>
  <c r="AF43" i="47"/>
  <c r="P43" i="47"/>
  <c r="AG43" i="47"/>
  <c r="AH43" i="47"/>
  <c r="H43" i="47"/>
  <c r="AI43" i="47"/>
  <c r="AC44" i="47"/>
  <c r="AD44" i="47"/>
  <c r="G44" i="47"/>
  <c r="N44" i="47"/>
  <c r="AE44" i="47"/>
  <c r="O44" i="47"/>
  <c r="AF44" i="47"/>
  <c r="P44" i="47"/>
  <c r="AG44" i="47"/>
  <c r="AH44" i="47"/>
  <c r="H44" i="47"/>
  <c r="AI44" i="47"/>
  <c r="AC45" i="47"/>
  <c r="AD45" i="47"/>
  <c r="G45" i="47"/>
  <c r="N45" i="47"/>
  <c r="AE45" i="47"/>
  <c r="O45" i="47"/>
  <c r="AF45" i="47"/>
  <c r="P45" i="47"/>
  <c r="AG45" i="47"/>
  <c r="AH45" i="47"/>
  <c r="H45" i="47"/>
  <c r="AI45" i="47"/>
  <c r="AC46" i="47"/>
  <c r="AD46" i="47"/>
  <c r="G46" i="47"/>
  <c r="N46" i="47"/>
  <c r="AE46" i="47"/>
  <c r="O46" i="47"/>
  <c r="AF46" i="47"/>
  <c r="P46" i="47"/>
  <c r="AG46" i="47"/>
  <c r="AH46" i="47"/>
  <c r="H46" i="47"/>
  <c r="AI46" i="47"/>
  <c r="AC47" i="47"/>
  <c r="AD47" i="47"/>
  <c r="G47" i="47"/>
  <c r="N47" i="47"/>
  <c r="AE47" i="47"/>
  <c r="O47" i="47"/>
  <c r="AF47" i="47"/>
  <c r="P47" i="47"/>
  <c r="AG47" i="47"/>
  <c r="AH47" i="47"/>
  <c r="H47" i="47"/>
  <c r="AI47" i="47"/>
  <c r="AC48" i="47"/>
  <c r="AD48" i="47"/>
  <c r="G48" i="47"/>
  <c r="N48" i="47"/>
  <c r="AE48" i="47"/>
  <c r="O48" i="47"/>
  <c r="AF48" i="47"/>
  <c r="P48" i="47"/>
  <c r="AG48" i="47"/>
  <c r="AH48" i="47"/>
  <c r="H48" i="47"/>
  <c r="AI48" i="47"/>
  <c r="AC49" i="47"/>
  <c r="AD49" i="47"/>
  <c r="G49" i="47"/>
  <c r="N49" i="47"/>
  <c r="AE49" i="47"/>
  <c r="O49" i="47"/>
  <c r="AF49" i="47"/>
  <c r="P49" i="47"/>
  <c r="AG49" i="47"/>
  <c r="AH49" i="47"/>
  <c r="H49" i="47"/>
  <c r="AI49" i="47"/>
  <c r="AC50" i="47"/>
  <c r="AD50" i="47"/>
  <c r="G50" i="47"/>
  <c r="N50" i="47"/>
  <c r="AE50" i="47"/>
  <c r="O50" i="47"/>
  <c r="AF50" i="47"/>
  <c r="P50" i="47"/>
  <c r="AG50" i="47"/>
  <c r="AH50" i="47"/>
  <c r="H50" i="47"/>
  <c r="AI50" i="47"/>
  <c r="AC51" i="47"/>
  <c r="AD51" i="47"/>
  <c r="G51" i="47"/>
  <c r="N51" i="47"/>
  <c r="AE51" i="47"/>
  <c r="O51" i="47"/>
  <c r="AF51" i="47"/>
  <c r="P51" i="47"/>
  <c r="AG51" i="47"/>
  <c r="AH51" i="47"/>
  <c r="H51" i="47"/>
  <c r="AI51" i="47"/>
  <c r="AC52" i="47"/>
  <c r="AD52" i="47"/>
  <c r="G52" i="47"/>
  <c r="N52" i="47"/>
  <c r="AE52" i="47"/>
  <c r="O52" i="47"/>
  <c r="AF52" i="47"/>
  <c r="P52" i="47"/>
  <c r="AG52" i="47"/>
  <c r="AH52" i="47"/>
  <c r="H52" i="47"/>
  <c r="AI52" i="47"/>
  <c r="AC53" i="47"/>
  <c r="AD53" i="47"/>
  <c r="G53" i="47"/>
  <c r="N53" i="47"/>
  <c r="AE53" i="47"/>
  <c r="O53" i="47"/>
  <c r="AF53" i="47"/>
  <c r="P53" i="47"/>
  <c r="AG53" i="47"/>
  <c r="AH53" i="47"/>
  <c r="H53" i="47"/>
  <c r="AI53" i="47"/>
  <c r="AC54" i="47"/>
  <c r="AD54" i="47"/>
  <c r="G54" i="47"/>
  <c r="N54" i="47"/>
  <c r="AE54" i="47"/>
  <c r="O54" i="47"/>
  <c r="AF54" i="47"/>
  <c r="P54" i="47"/>
  <c r="AG54" i="47"/>
  <c r="AH54" i="47"/>
  <c r="H54" i="47"/>
  <c r="AI54" i="47"/>
  <c r="AC55" i="47"/>
  <c r="AD55" i="47"/>
  <c r="G55" i="47"/>
  <c r="N55" i="47"/>
  <c r="AE55" i="47"/>
  <c r="O55" i="47"/>
  <c r="AF55" i="47"/>
  <c r="P55" i="47"/>
  <c r="AG55" i="47"/>
  <c r="AH55" i="47"/>
  <c r="H55" i="47"/>
  <c r="AI55" i="47"/>
  <c r="AC56" i="47"/>
  <c r="AD56" i="47"/>
  <c r="G56" i="47"/>
  <c r="N56" i="47"/>
  <c r="AE56" i="47"/>
  <c r="O56" i="47"/>
  <c r="AF56" i="47"/>
  <c r="P56" i="47"/>
  <c r="AG56" i="47"/>
  <c r="AH56" i="47"/>
  <c r="H56" i="47"/>
  <c r="AI56" i="47"/>
  <c r="AC57" i="47"/>
  <c r="AD57" i="47"/>
  <c r="G57" i="47"/>
  <c r="N57" i="47"/>
  <c r="AE57" i="47"/>
  <c r="O57" i="47"/>
  <c r="AF57" i="47"/>
  <c r="P57" i="47"/>
  <c r="AG57" i="47"/>
  <c r="AH57" i="47"/>
  <c r="H57" i="47"/>
  <c r="AI57" i="47"/>
  <c r="AC58" i="47"/>
  <c r="AD58" i="47"/>
  <c r="G58" i="47"/>
  <c r="N58" i="47"/>
  <c r="AE58" i="47"/>
  <c r="O58" i="47"/>
  <c r="AF58" i="47"/>
  <c r="P58" i="47"/>
  <c r="AG58" i="47"/>
  <c r="AH58" i="47"/>
  <c r="H58" i="47"/>
  <c r="AI58" i="47"/>
  <c r="AC59" i="47"/>
  <c r="AD59" i="47"/>
  <c r="G59" i="47"/>
  <c r="N59" i="47"/>
  <c r="AE59" i="47"/>
  <c r="O59" i="47"/>
  <c r="AF59" i="47"/>
  <c r="P59" i="47"/>
  <c r="AG59" i="47"/>
  <c r="AH59" i="47"/>
  <c r="H59" i="47"/>
  <c r="AI59" i="47"/>
  <c r="AC60" i="47"/>
  <c r="AD60" i="47"/>
  <c r="G60" i="47"/>
  <c r="N60" i="47"/>
  <c r="AE60" i="47"/>
  <c r="O60" i="47"/>
  <c r="AF60" i="47"/>
  <c r="P60" i="47"/>
  <c r="AG60" i="47"/>
  <c r="AH60" i="47"/>
  <c r="H60" i="47"/>
  <c r="AI60" i="47"/>
  <c r="AC61" i="47"/>
  <c r="AD61" i="47"/>
  <c r="G61" i="47"/>
  <c r="N61" i="47"/>
  <c r="AE61" i="47"/>
  <c r="O61" i="47"/>
  <c r="AF61" i="47"/>
  <c r="P61" i="47"/>
  <c r="AG61" i="47"/>
  <c r="AH61" i="47"/>
  <c r="H61" i="47"/>
  <c r="AI61" i="47"/>
  <c r="AC62" i="47"/>
  <c r="AD62" i="47"/>
  <c r="G62" i="47"/>
  <c r="N62" i="47"/>
  <c r="AE62" i="47"/>
  <c r="O62" i="47"/>
  <c r="AF62" i="47"/>
  <c r="P62" i="47"/>
  <c r="AG62" i="47"/>
  <c r="AH62" i="47"/>
  <c r="H62" i="47"/>
  <c r="AI62" i="47"/>
  <c r="AC63" i="47"/>
  <c r="AD63" i="47"/>
  <c r="G63" i="47"/>
  <c r="N63" i="47"/>
  <c r="AE63" i="47"/>
  <c r="O63" i="47"/>
  <c r="AF63" i="47"/>
  <c r="P63" i="47"/>
  <c r="AG63" i="47"/>
  <c r="AH63" i="47"/>
  <c r="H63" i="47"/>
  <c r="AI63" i="47"/>
  <c r="AC64" i="47"/>
  <c r="AD64" i="47"/>
  <c r="G64" i="47"/>
  <c r="N64" i="47"/>
  <c r="AE64" i="47"/>
  <c r="O64" i="47"/>
  <c r="AF64" i="47"/>
  <c r="P64" i="47"/>
  <c r="AG64" i="47"/>
  <c r="AH64" i="47"/>
  <c r="H64" i="47"/>
  <c r="AI64" i="47"/>
  <c r="AC65" i="47"/>
  <c r="AD65" i="47"/>
  <c r="G65" i="47"/>
  <c r="N65" i="47"/>
  <c r="AE65" i="47"/>
  <c r="O65" i="47"/>
  <c r="AF65" i="47"/>
  <c r="P65" i="47"/>
  <c r="AG65" i="47"/>
  <c r="AH65" i="47"/>
  <c r="H65" i="47"/>
  <c r="AI65" i="47"/>
  <c r="AC66" i="47"/>
  <c r="AD66" i="47"/>
  <c r="G66" i="47"/>
  <c r="N66" i="47"/>
  <c r="AE66" i="47"/>
  <c r="O66" i="47"/>
  <c r="AF66" i="47"/>
  <c r="P66" i="47"/>
  <c r="AG66" i="47"/>
  <c r="AH66" i="47"/>
  <c r="H66" i="47"/>
  <c r="AI66" i="47"/>
  <c r="AC67" i="47"/>
  <c r="AD67" i="47"/>
  <c r="G67" i="47"/>
  <c r="N67" i="47"/>
  <c r="AE67" i="47"/>
  <c r="O67" i="47"/>
  <c r="AF67" i="47"/>
  <c r="P67" i="47"/>
  <c r="AG67" i="47"/>
  <c r="AH67" i="47"/>
  <c r="H67" i="47"/>
  <c r="AI67" i="47"/>
  <c r="AC68" i="47"/>
  <c r="AD68" i="47"/>
  <c r="G68" i="47"/>
  <c r="N68" i="47"/>
  <c r="AE68" i="47"/>
  <c r="O68" i="47"/>
  <c r="AF68" i="47"/>
  <c r="P68" i="47"/>
  <c r="AG68" i="47"/>
  <c r="AH68" i="47"/>
  <c r="H68" i="47"/>
  <c r="AI68" i="47"/>
  <c r="AC69" i="47"/>
  <c r="AD69" i="47"/>
  <c r="G69" i="47"/>
  <c r="N69" i="47"/>
  <c r="AE69" i="47"/>
  <c r="O69" i="47"/>
  <c r="AF69" i="47"/>
  <c r="P69" i="47"/>
  <c r="AG69" i="47"/>
  <c r="AH69" i="47"/>
  <c r="H69" i="47"/>
  <c r="AI69" i="47"/>
  <c r="AC70" i="47"/>
  <c r="AD70" i="47"/>
  <c r="G70" i="47"/>
  <c r="N70" i="47"/>
  <c r="AE70" i="47"/>
  <c r="O70" i="47"/>
  <c r="AF70" i="47"/>
  <c r="P70" i="47"/>
  <c r="AG70" i="47"/>
  <c r="AH70" i="47"/>
  <c r="H70" i="47"/>
  <c r="AI70" i="47"/>
  <c r="AC71" i="47"/>
  <c r="AD71" i="47"/>
  <c r="G71" i="47"/>
  <c r="N71" i="47"/>
  <c r="AE71" i="47"/>
  <c r="O71" i="47"/>
  <c r="AF71" i="47"/>
  <c r="P71" i="47"/>
  <c r="AG71" i="47"/>
  <c r="AH71" i="47"/>
  <c r="H71" i="47"/>
  <c r="AI71" i="47"/>
  <c r="AC72" i="47"/>
  <c r="AD72" i="47"/>
  <c r="G72" i="47"/>
  <c r="N72" i="47"/>
  <c r="AE72" i="47"/>
  <c r="O72" i="47"/>
  <c r="AF72" i="47"/>
  <c r="P72" i="47"/>
  <c r="AG72" i="47"/>
  <c r="AH72" i="47"/>
  <c r="H72" i="47"/>
  <c r="AI72" i="47"/>
  <c r="AC73" i="47"/>
  <c r="AD73" i="47"/>
  <c r="G73" i="47"/>
  <c r="N73" i="47"/>
  <c r="AE73" i="47"/>
  <c r="O73" i="47"/>
  <c r="AF73" i="47"/>
  <c r="P73" i="47"/>
  <c r="AG73" i="47"/>
  <c r="AH73" i="47"/>
  <c r="H73" i="47"/>
  <c r="AI73" i="47"/>
  <c r="AC74" i="47"/>
  <c r="AD74" i="47"/>
  <c r="G74" i="47"/>
  <c r="N74" i="47"/>
  <c r="AE74" i="47"/>
  <c r="O74" i="47"/>
  <c r="AF74" i="47"/>
  <c r="P74" i="47"/>
  <c r="AG74" i="47"/>
  <c r="AH74" i="47"/>
  <c r="H74" i="47"/>
  <c r="AI74" i="47"/>
  <c r="AC75" i="47"/>
  <c r="AD75" i="47"/>
  <c r="G75" i="47"/>
  <c r="N75" i="47"/>
  <c r="AE75" i="47"/>
  <c r="O75" i="47"/>
  <c r="AF75" i="47"/>
  <c r="P75" i="47"/>
  <c r="AG75" i="47"/>
  <c r="AH75" i="47"/>
  <c r="H75" i="47"/>
  <c r="AI75" i="47"/>
  <c r="AC76" i="47"/>
  <c r="AD76" i="47"/>
  <c r="G76" i="47"/>
  <c r="N76" i="47"/>
  <c r="AE76" i="47"/>
  <c r="O76" i="47"/>
  <c r="AF76" i="47"/>
  <c r="P76" i="47"/>
  <c r="AG76" i="47"/>
  <c r="AH76" i="47"/>
  <c r="H76" i="47"/>
  <c r="AI76" i="47"/>
  <c r="AC77" i="47"/>
  <c r="AD77" i="47"/>
  <c r="G77" i="47"/>
  <c r="N77" i="47"/>
  <c r="AE77" i="47"/>
  <c r="O77" i="47"/>
  <c r="AF77" i="47"/>
  <c r="P77" i="47"/>
  <c r="AG77" i="47"/>
  <c r="AH77" i="47"/>
  <c r="H77" i="47"/>
  <c r="AI77" i="47"/>
  <c r="AC78" i="47"/>
  <c r="AD78" i="47"/>
  <c r="G78" i="47"/>
  <c r="N78" i="47"/>
  <c r="AE78" i="47"/>
  <c r="O78" i="47"/>
  <c r="AF78" i="47"/>
  <c r="P78" i="47"/>
  <c r="AG78" i="47"/>
  <c r="AH78" i="47"/>
  <c r="H78" i="47"/>
  <c r="AI78" i="47"/>
  <c r="AC79" i="47"/>
  <c r="AD79" i="47"/>
  <c r="G79" i="47"/>
  <c r="N79" i="47"/>
  <c r="AE79" i="47"/>
  <c r="O79" i="47"/>
  <c r="AF79" i="47"/>
  <c r="P79" i="47"/>
  <c r="AG79" i="47"/>
  <c r="AH79" i="47"/>
  <c r="H79" i="47"/>
  <c r="AI79" i="47"/>
  <c r="AC80" i="47"/>
  <c r="AD80" i="47"/>
  <c r="G80" i="47"/>
  <c r="N80" i="47"/>
  <c r="AE80" i="47"/>
  <c r="O80" i="47"/>
  <c r="AF80" i="47"/>
  <c r="P80" i="47"/>
  <c r="AG80" i="47"/>
  <c r="AH80" i="47"/>
  <c r="H80" i="47"/>
  <c r="AI80" i="47"/>
  <c r="AC81" i="47"/>
  <c r="AD81" i="47"/>
  <c r="G81" i="47"/>
  <c r="N81" i="47"/>
  <c r="AE81" i="47"/>
  <c r="O81" i="47"/>
  <c r="AF81" i="47"/>
  <c r="P81" i="47"/>
  <c r="AG81" i="47"/>
  <c r="AH81" i="47"/>
  <c r="H81" i="47"/>
  <c r="AI81" i="47"/>
  <c r="AC82" i="47"/>
  <c r="AD82" i="47"/>
  <c r="G82" i="47"/>
  <c r="N82" i="47"/>
  <c r="AE82" i="47"/>
  <c r="O82" i="47"/>
  <c r="AF82" i="47"/>
  <c r="P82" i="47"/>
  <c r="AG82" i="47"/>
  <c r="AH82" i="47"/>
  <c r="H82" i="47"/>
  <c r="AI82" i="47"/>
  <c r="AC83" i="47"/>
  <c r="AD83" i="47"/>
  <c r="G83" i="47"/>
  <c r="N83" i="47"/>
  <c r="AE83" i="47"/>
  <c r="O83" i="47"/>
  <c r="AF83" i="47"/>
  <c r="P83" i="47"/>
  <c r="AG83" i="47"/>
  <c r="AH83" i="47"/>
  <c r="H83" i="47"/>
  <c r="AI83" i="47"/>
  <c r="AC84" i="47"/>
  <c r="AD84" i="47"/>
  <c r="G84" i="47"/>
  <c r="N84" i="47"/>
  <c r="AE84" i="47"/>
  <c r="O84" i="47"/>
  <c r="AF84" i="47"/>
  <c r="P84" i="47"/>
  <c r="AG84" i="47"/>
  <c r="AH84" i="47"/>
  <c r="H84" i="47"/>
  <c r="AI84" i="47"/>
  <c r="AC85" i="47"/>
  <c r="AD85" i="47"/>
  <c r="G85" i="47"/>
  <c r="N85" i="47"/>
  <c r="AE85" i="47"/>
  <c r="O85" i="47"/>
  <c r="AF85" i="47"/>
  <c r="P85" i="47"/>
  <c r="AG85" i="47"/>
  <c r="AH85" i="47"/>
  <c r="H85" i="47"/>
  <c r="AI85" i="47"/>
  <c r="AC86" i="47"/>
  <c r="AD86" i="47"/>
  <c r="G86" i="47"/>
  <c r="N86" i="47"/>
  <c r="AE86" i="47"/>
  <c r="O86" i="47"/>
  <c r="AF86" i="47"/>
  <c r="P86" i="47"/>
  <c r="AG86" i="47"/>
  <c r="AH86" i="47"/>
  <c r="H86" i="47"/>
  <c r="AI86" i="47"/>
  <c r="AC87" i="47"/>
  <c r="AD87" i="47"/>
  <c r="G87" i="47"/>
  <c r="N87" i="47"/>
  <c r="AE87" i="47"/>
  <c r="O87" i="47"/>
  <c r="AF87" i="47"/>
  <c r="P87" i="47"/>
  <c r="AG87" i="47"/>
  <c r="AH87" i="47"/>
  <c r="H87" i="47"/>
  <c r="AI87" i="47"/>
  <c r="AC88" i="47"/>
  <c r="AD88" i="47"/>
  <c r="G88" i="47"/>
  <c r="N88" i="47"/>
  <c r="AE88" i="47"/>
  <c r="O88" i="47"/>
  <c r="AF88" i="47"/>
  <c r="P88" i="47"/>
  <c r="AG88" i="47"/>
  <c r="AH88" i="47"/>
  <c r="H88" i="47"/>
  <c r="AI88" i="47"/>
  <c r="AC89" i="47"/>
  <c r="AD89" i="47"/>
  <c r="G89" i="47"/>
  <c r="N89" i="47"/>
  <c r="AE89" i="47"/>
  <c r="O89" i="47"/>
  <c r="AF89" i="47"/>
  <c r="P89" i="47"/>
  <c r="AG89" i="47"/>
  <c r="AH89" i="47"/>
  <c r="H89" i="47"/>
  <c r="AI89" i="47"/>
  <c r="AC90" i="47"/>
  <c r="AD90" i="47"/>
  <c r="G90" i="47"/>
  <c r="N90" i="47"/>
  <c r="AE90" i="47"/>
  <c r="O90" i="47"/>
  <c r="AF90" i="47"/>
  <c r="P90" i="47"/>
  <c r="AG90" i="47"/>
  <c r="AH90" i="47"/>
  <c r="H90" i="47"/>
  <c r="AI90" i="47"/>
  <c r="AC91" i="47"/>
  <c r="AD91" i="47"/>
  <c r="G91" i="47"/>
  <c r="N91" i="47"/>
  <c r="AE91" i="47"/>
  <c r="O91" i="47"/>
  <c r="AF91" i="47"/>
  <c r="P91" i="47"/>
  <c r="AG91" i="47"/>
  <c r="AH91" i="47"/>
  <c r="H91" i="47"/>
  <c r="AI91" i="47"/>
  <c r="AC92" i="47"/>
  <c r="AD92" i="47"/>
  <c r="G92" i="47"/>
  <c r="N92" i="47"/>
  <c r="AE92" i="47"/>
  <c r="O92" i="47"/>
  <c r="AF92" i="47"/>
  <c r="P92" i="47"/>
  <c r="AG92" i="47"/>
  <c r="AH92" i="47"/>
  <c r="H92" i="47"/>
  <c r="AI92" i="47"/>
  <c r="AC93" i="47"/>
  <c r="AD93" i="47"/>
  <c r="G93" i="47"/>
  <c r="N93" i="47"/>
  <c r="AE93" i="47"/>
  <c r="O93" i="47"/>
  <c r="AF93" i="47"/>
  <c r="P93" i="47"/>
  <c r="AG93" i="47"/>
  <c r="AH93" i="47"/>
  <c r="H93" i="47"/>
  <c r="AI93" i="47"/>
  <c r="AC94" i="47"/>
  <c r="AD94" i="47"/>
  <c r="G94" i="47"/>
  <c r="N94" i="47"/>
  <c r="AE94" i="47"/>
  <c r="O94" i="47"/>
  <c r="AF94" i="47"/>
  <c r="P94" i="47"/>
  <c r="AG94" i="47"/>
  <c r="AH94" i="47"/>
  <c r="H94" i="47"/>
  <c r="AI94" i="47"/>
  <c r="AC95" i="47"/>
  <c r="AD95" i="47"/>
  <c r="G95" i="47"/>
  <c r="N95" i="47"/>
  <c r="AE95" i="47"/>
  <c r="O95" i="47"/>
  <c r="AF95" i="47"/>
  <c r="P95" i="47"/>
  <c r="AG95" i="47"/>
  <c r="AH95" i="47"/>
  <c r="H95" i="47"/>
  <c r="AI95" i="47"/>
  <c r="AC96" i="47"/>
  <c r="AD96" i="47"/>
  <c r="G96" i="47"/>
  <c r="N96" i="47"/>
  <c r="AE96" i="47"/>
  <c r="O96" i="47"/>
  <c r="AF96" i="47"/>
  <c r="P96" i="47"/>
  <c r="AG96" i="47"/>
  <c r="AH96" i="47"/>
  <c r="H96" i="47"/>
  <c r="AI96" i="47"/>
  <c r="AC97" i="47"/>
  <c r="AD97" i="47"/>
  <c r="G97" i="47"/>
  <c r="N97" i="47"/>
  <c r="AE97" i="47"/>
  <c r="O97" i="47"/>
  <c r="AF97" i="47"/>
  <c r="P97" i="47"/>
  <c r="AG97" i="47"/>
  <c r="AH97" i="47"/>
  <c r="H97" i="47"/>
  <c r="AI97" i="47"/>
  <c r="AC98" i="47"/>
  <c r="AD98" i="47"/>
  <c r="G98" i="47"/>
  <c r="N98" i="47"/>
  <c r="AE98" i="47"/>
  <c r="O98" i="47"/>
  <c r="AF98" i="47"/>
  <c r="P98" i="47"/>
  <c r="AG98" i="47"/>
  <c r="AH98" i="47"/>
  <c r="H98" i="47"/>
  <c r="AI98" i="47"/>
  <c r="AC99" i="47"/>
  <c r="AD99" i="47"/>
  <c r="G99" i="47"/>
  <c r="N99" i="47"/>
  <c r="AE99" i="47"/>
  <c r="O99" i="47"/>
  <c r="AF99" i="47"/>
  <c r="P99" i="47"/>
  <c r="AG99" i="47"/>
  <c r="AH99" i="47"/>
  <c r="H99" i="47"/>
  <c r="AI99" i="47"/>
  <c r="AC100" i="47"/>
  <c r="AD100" i="47"/>
  <c r="G100" i="47"/>
  <c r="N100" i="47"/>
  <c r="AE100" i="47"/>
  <c r="O100" i="47"/>
  <c r="AF100" i="47"/>
  <c r="P100" i="47"/>
  <c r="AG100" i="47"/>
  <c r="AH100" i="47"/>
  <c r="H100" i="47"/>
  <c r="AI100" i="47"/>
  <c r="AC101" i="47"/>
  <c r="AD101" i="47"/>
  <c r="G101" i="47"/>
  <c r="N101" i="47"/>
  <c r="AE101" i="47"/>
  <c r="O101" i="47"/>
  <c r="AF101" i="47"/>
  <c r="P101" i="47"/>
  <c r="AG101" i="47"/>
  <c r="AH101" i="47"/>
  <c r="H101" i="47"/>
  <c r="AI101" i="47"/>
  <c r="AC102" i="47"/>
  <c r="AD102" i="47"/>
  <c r="G102" i="47"/>
  <c r="N102" i="47"/>
  <c r="AE102" i="47"/>
  <c r="O102" i="47"/>
  <c r="AF102" i="47"/>
  <c r="P102" i="47"/>
  <c r="AG102" i="47"/>
  <c r="AH102" i="47"/>
  <c r="H102" i="47"/>
  <c r="AI102" i="47"/>
  <c r="AC103" i="47"/>
  <c r="AD103" i="47"/>
  <c r="G103" i="47"/>
  <c r="N103" i="47"/>
  <c r="AE103" i="47"/>
  <c r="O103" i="47"/>
  <c r="AF103" i="47"/>
  <c r="P103" i="47"/>
  <c r="AG103" i="47"/>
  <c r="AH103" i="47"/>
  <c r="H103" i="47"/>
  <c r="AI103" i="47"/>
  <c r="AC104" i="47"/>
  <c r="AD104" i="47"/>
  <c r="G104" i="47"/>
  <c r="N104" i="47"/>
  <c r="AE104" i="47"/>
  <c r="O104" i="47"/>
  <c r="AF104" i="47"/>
  <c r="P104" i="47"/>
  <c r="AG104" i="47"/>
  <c r="AH104" i="47"/>
  <c r="H104" i="47"/>
  <c r="AI104" i="47"/>
  <c r="AI107" i="47"/>
  <c r="H19" i="41"/>
  <c r="M20" i="25"/>
  <c r="M21" i="25"/>
  <c r="M28" i="25"/>
  <c r="C29" i="25"/>
  <c r="M29" i="25"/>
  <c r="C30" i="25"/>
  <c r="M30" i="25"/>
  <c r="C31" i="25"/>
  <c r="M31" i="25"/>
  <c r="C32" i="25"/>
  <c r="M32" i="25"/>
  <c r="C33" i="25"/>
  <c r="M33" i="25"/>
  <c r="C34" i="25"/>
  <c r="M34" i="25"/>
  <c r="C35" i="25"/>
  <c r="M35" i="25"/>
  <c r="C36" i="25"/>
  <c r="M36" i="25"/>
  <c r="C37" i="25"/>
  <c r="M37" i="25"/>
  <c r="C38" i="25"/>
  <c r="M38" i="25"/>
  <c r="C39" i="25"/>
  <c r="M39" i="25"/>
  <c r="C40" i="25"/>
  <c r="M40" i="25"/>
  <c r="C41" i="25"/>
  <c r="M41" i="25"/>
  <c r="C42" i="25"/>
  <c r="M42" i="25"/>
  <c r="C43" i="25"/>
  <c r="M43" i="25"/>
  <c r="C44" i="25"/>
  <c r="M44" i="25"/>
  <c r="C45" i="25"/>
  <c r="M45" i="25"/>
  <c r="C46" i="25"/>
  <c r="M46" i="25"/>
  <c r="C47" i="25"/>
  <c r="M47" i="25"/>
  <c r="C48" i="25"/>
  <c r="M48" i="25"/>
  <c r="C49" i="25"/>
  <c r="M49" i="25"/>
  <c r="C50" i="25"/>
  <c r="M50" i="25"/>
  <c r="C51" i="25"/>
  <c r="M51" i="25"/>
  <c r="C52" i="25"/>
  <c r="M52" i="25"/>
  <c r="C53" i="25"/>
  <c r="M53" i="25"/>
  <c r="C54" i="25"/>
  <c r="M54" i="25"/>
  <c r="C55" i="25"/>
  <c r="M55" i="25"/>
  <c r="C56" i="25"/>
  <c r="M56" i="25"/>
  <c r="C57" i="25"/>
  <c r="M57" i="25"/>
  <c r="N29" i="25"/>
  <c r="N30" i="25"/>
  <c r="N31" i="25"/>
  <c r="N32" i="25"/>
  <c r="N33" i="25"/>
  <c r="N34" i="25"/>
  <c r="N35" i="25"/>
  <c r="N36" i="25"/>
  <c r="N37" i="25"/>
  <c r="N38" i="25"/>
  <c r="N39" i="25"/>
  <c r="N40" i="25"/>
  <c r="N41" i="25"/>
  <c r="N42" i="25"/>
  <c r="N43" i="25"/>
  <c r="N44" i="25"/>
  <c r="N45" i="25"/>
  <c r="N46" i="25"/>
  <c r="N47" i="25"/>
  <c r="N48" i="25"/>
  <c r="N49" i="25"/>
  <c r="N50" i="25"/>
  <c r="N51" i="25"/>
  <c r="N52" i="25"/>
  <c r="N53" i="25"/>
  <c r="N54" i="25"/>
  <c r="N55" i="25"/>
  <c r="N56" i="25"/>
  <c r="N57" i="25"/>
  <c r="H9" i="25"/>
  <c r="I19" i="41"/>
  <c r="J19" i="41"/>
  <c r="AC12" i="39"/>
  <c r="AD12" i="39"/>
  <c r="AE12" i="39"/>
  <c r="AF12" i="39"/>
  <c r="AG12" i="39"/>
  <c r="AH12" i="39"/>
  <c r="H12" i="39"/>
  <c r="AI12" i="39"/>
  <c r="AC13" i="39"/>
  <c r="AD13" i="39"/>
  <c r="AE13" i="39"/>
  <c r="AF13" i="39"/>
  <c r="AG13" i="39"/>
  <c r="AH13" i="39"/>
  <c r="H13" i="39"/>
  <c r="AI13" i="39"/>
  <c r="AC14" i="39"/>
  <c r="AD14" i="39"/>
  <c r="AE14" i="39"/>
  <c r="AF14" i="39"/>
  <c r="AG14" i="39"/>
  <c r="AH14" i="39"/>
  <c r="H14" i="39"/>
  <c r="AI14" i="39"/>
  <c r="AC15" i="39"/>
  <c r="AD15" i="39"/>
  <c r="AE15" i="39"/>
  <c r="AF15" i="39"/>
  <c r="AG15" i="39"/>
  <c r="AH15" i="39"/>
  <c r="H15" i="39"/>
  <c r="AI15" i="39"/>
  <c r="AC16" i="39"/>
  <c r="AD16" i="39"/>
  <c r="AE16" i="39"/>
  <c r="AF16" i="39"/>
  <c r="AG16" i="39"/>
  <c r="AH16" i="39"/>
  <c r="H16" i="39"/>
  <c r="AI16" i="39"/>
  <c r="AC17" i="39"/>
  <c r="AD17" i="39"/>
  <c r="AE17" i="39"/>
  <c r="AF17" i="39"/>
  <c r="AG17" i="39"/>
  <c r="AH17" i="39"/>
  <c r="H17" i="39"/>
  <c r="AI17" i="39"/>
  <c r="AC18" i="39"/>
  <c r="AD18" i="39"/>
  <c r="AE18" i="39"/>
  <c r="AF18" i="39"/>
  <c r="AG18" i="39"/>
  <c r="AH18" i="39"/>
  <c r="H18" i="39"/>
  <c r="AI18" i="39"/>
  <c r="AC19" i="39"/>
  <c r="AD19" i="39"/>
  <c r="AE19" i="39"/>
  <c r="AF19" i="39"/>
  <c r="AG19" i="39"/>
  <c r="AH19" i="39"/>
  <c r="H19" i="39"/>
  <c r="AI19" i="39"/>
  <c r="AC20" i="39"/>
  <c r="AD20" i="39"/>
  <c r="AE20" i="39"/>
  <c r="AF20" i="39"/>
  <c r="AG20" i="39"/>
  <c r="AH20" i="39"/>
  <c r="H20" i="39"/>
  <c r="AI20" i="39"/>
  <c r="AC21" i="39"/>
  <c r="AD21" i="39"/>
  <c r="AE21" i="39"/>
  <c r="AF21" i="39"/>
  <c r="AG21" i="39"/>
  <c r="AH21" i="39"/>
  <c r="H21" i="39"/>
  <c r="AI21" i="39"/>
  <c r="AC22" i="39"/>
  <c r="AD22" i="39"/>
  <c r="AE22" i="39"/>
  <c r="AF22" i="39"/>
  <c r="AG22" i="39"/>
  <c r="AH22" i="39"/>
  <c r="H22" i="39"/>
  <c r="AI22" i="39"/>
  <c r="AC23" i="39"/>
  <c r="AD23" i="39"/>
  <c r="AE23" i="39"/>
  <c r="AF23" i="39"/>
  <c r="AG23" i="39"/>
  <c r="AH23" i="39"/>
  <c r="H23" i="39"/>
  <c r="AI23" i="39"/>
  <c r="AC24" i="39"/>
  <c r="AD24" i="39"/>
  <c r="AE24" i="39"/>
  <c r="AF24" i="39"/>
  <c r="AG24" i="39"/>
  <c r="AH24" i="39"/>
  <c r="H24" i="39"/>
  <c r="AI24" i="39"/>
  <c r="AC25" i="39"/>
  <c r="AD25" i="39"/>
  <c r="AE25" i="39"/>
  <c r="AF25" i="39"/>
  <c r="AG25" i="39"/>
  <c r="AH25" i="39"/>
  <c r="H25" i="39"/>
  <c r="AI25" i="39"/>
  <c r="AC26" i="39"/>
  <c r="AD26" i="39"/>
  <c r="AE26" i="39"/>
  <c r="AF26" i="39"/>
  <c r="AG26" i="39"/>
  <c r="AH26" i="39"/>
  <c r="H26" i="39"/>
  <c r="AI26" i="39"/>
  <c r="AC27" i="39"/>
  <c r="AD27" i="39"/>
  <c r="AE27" i="39"/>
  <c r="AF27" i="39"/>
  <c r="AG27" i="39"/>
  <c r="AH27" i="39"/>
  <c r="H27" i="39"/>
  <c r="AI27" i="39"/>
  <c r="AC28" i="39"/>
  <c r="AD28" i="39"/>
  <c r="D74" i="42"/>
  <c r="G28" i="39"/>
  <c r="N28" i="39"/>
  <c r="AE28" i="39"/>
  <c r="O28" i="39"/>
  <c r="AF28" i="39"/>
  <c r="P28" i="39"/>
  <c r="AG28" i="39"/>
  <c r="AH28" i="39"/>
  <c r="H28" i="39"/>
  <c r="AI28" i="39"/>
  <c r="AC29" i="39"/>
  <c r="AD29" i="39"/>
  <c r="G29" i="39"/>
  <c r="N29" i="39"/>
  <c r="AE29" i="39"/>
  <c r="O29" i="39"/>
  <c r="AF29" i="39"/>
  <c r="P29" i="39"/>
  <c r="AG29" i="39"/>
  <c r="AH29" i="39"/>
  <c r="H29" i="39"/>
  <c r="AI29" i="39"/>
  <c r="AC30" i="39"/>
  <c r="AD30" i="39"/>
  <c r="G30" i="39"/>
  <c r="N30" i="39"/>
  <c r="AE30" i="39"/>
  <c r="O30" i="39"/>
  <c r="AF30" i="39"/>
  <c r="P30" i="39"/>
  <c r="AG30" i="39"/>
  <c r="AH30" i="39"/>
  <c r="H30" i="39"/>
  <c r="AI30" i="39"/>
  <c r="AC31" i="39"/>
  <c r="AD31" i="39"/>
  <c r="G31" i="39"/>
  <c r="N31" i="39"/>
  <c r="AE31" i="39"/>
  <c r="O31" i="39"/>
  <c r="AF31" i="39"/>
  <c r="P31" i="39"/>
  <c r="AG31" i="39"/>
  <c r="AH31" i="39"/>
  <c r="H31" i="39"/>
  <c r="AI31" i="39"/>
  <c r="AC32" i="39"/>
  <c r="AD32" i="39"/>
  <c r="G32" i="39"/>
  <c r="N32" i="39"/>
  <c r="AE32" i="39"/>
  <c r="O32" i="39"/>
  <c r="AF32" i="39"/>
  <c r="P32" i="39"/>
  <c r="AG32" i="39"/>
  <c r="AH32" i="39"/>
  <c r="H32" i="39"/>
  <c r="AI32" i="39"/>
  <c r="AC33" i="39"/>
  <c r="AD33" i="39"/>
  <c r="G33" i="39"/>
  <c r="N33" i="39"/>
  <c r="AE33" i="39"/>
  <c r="O33" i="39"/>
  <c r="AF33" i="39"/>
  <c r="P33" i="39"/>
  <c r="AG33" i="39"/>
  <c r="AH33" i="39"/>
  <c r="H33" i="39"/>
  <c r="AI33" i="39"/>
  <c r="AC34" i="39"/>
  <c r="AD34" i="39"/>
  <c r="G34" i="39"/>
  <c r="N34" i="39"/>
  <c r="AE34" i="39"/>
  <c r="O34" i="39"/>
  <c r="AF34" i="39"/>
  <c r="P34" i="39"/>
  <c r="AG34" i="39"/>
  <c r="AH34" i="39"/>
  <c r="H34" i="39"/>
  <c r="AI34" i="39"/>
  <c r="AC35" i="39"/>
  <c r="AD35" i="39"/>
  <c r="G35" i="39"/>
  <c r="N35" i="39"/>
  <c r="AE35" i="39"/>
  <c r="O35" i="39"/>
  <c r="AF35" i="39"/>
  <c r="P35" i="39"/>
  <c r="AG35" i="39"/>
  <c r="AH35" i="39"/>
  <c r="H35" i="39"/>
  <c r="AI35" i="39"/>
  <c r="AC36" i="39"/>
  <c r="AD36" i="39"/>
  <c r="G36" i="39"/>
  <c r="N36" i="39"/>
  <c r="AE36" i="39"/>
  <c r="O36" i="39"/>
  <c r="AF36" i="39"/>
  <c r="P36" i="39"/>
  <c r="AG36" i="39"/>
  <c r="AH36" i="39"/>
  <c r="H36" i="39"/>
  <c r="AI36" i="39"/>
  <c r="AC37" i="39"/>
  <c r="AD37" i="39"/>
  <c r="G37" i="39"/>
  <c r="N37" i="39"/>
  <c r="AE37" i="39"/>
  <c r="O37" i="39"/>
  <c r="AF37" i="39"/>
  <c r="P37" i="39"/>
  <c r="AG37" i="39"/>
  <c r="AH37" i="39"/>
  <c r="H37" i="39"/>
  <c r="AI37" i="39"/>
  <c r="AC38" i="39"/>
  <c r="AD38" i="39"/>
  <c r="G38" i="39"/>
  <c r="N38" i="39"/>
  <c r="AE38" i="39"/>
  <c r="O38" i="39"/>
  <c r="AF38" i="39"/>
  <c r="P38" i="39"/>
  <c r="AG38" i="39"/>
  <c r="AH38" i="39"/>
  <c r="H38" i="39"/>
  <c r="AI38" i="39"/>
  <c r="AC39" i="39"/>
  <c r="AD39" i="39"/>
  <c r="G39" i="39"/>
  <c r="N39" i="39"/>
  <c r="AE39" i="39"/>
  <c r="O39" i="39"/>
  <c r="AF39" i="39"/>
  <c r="P39" i="39"/>
  <c r="AG39" i="39"/>
  <c r="AH39" i="39"/>
  <c r="H39" i="39"/>
  <c r="AI39" i="39"/>
  <c r="AC40" i="39"/>
  <c r="AD40" i="39"/>
  <c r="G40" i="39"/>
  <c r="N40" i="39"/>
  <c r="AE40" i="39"/>
  <c r="O40" i="39"/>
  <c r="AF40" i="39"/>
  <c r="P40" i="39"/>
  <c r="AG40" i="39"/>
  <c r="AH40" i="39"/>
  <c r="H40" i="39"/>
  <c r="AI40" i="39"/>
  <c r="AC41" i="39"/>
  <c r="AD41" i="39"/>
  <c r="G41" i="39"/>
  <c r="N41" i="39"/>
  <c r="AE41" i="39"/>
  <c r="O41" i="39"/>
  <c r="AF41" i="39"/>
  <c r="P41" i="39"/>
  <c r="AG41" i="39"/>
  <c r="AH41" i="39"/>
  <c r="H41" i="39"/>
  <c r="AI41" i="39"/>
  <c r="AC42" i="39"/>
  <c r="AD42" i="39"/>
  <c r="G42" i="39"/>
  <c r="N42" i="39"/>
  <c r="AE42" i="39"/>
  <c r="O42" i="39"/>
  <c r="AF42" i="39"/>
  <c r="P42" i="39"/>
  <c r="AG42" i="39"/>
  <c r="AH42" i="39"/>
  <c r="H42" i="39"/>
  <c r="AI42" i="39"/>
  <c r="AC43" i="39"/>
  <c r="AD43" i="39"/>
  <c r="G43" i="39"/>
  <c r="N43" i="39"/>
  <c r="AE43" i="39"/>
  <c r="O43" i="39"/>
  <c r="AF43" i="39"/>
  <c r="P43" i="39"/>
  <c r="AG43" i="39"/>
  <c r="AH43" i="39"/>
  <c r="H43" i="39"/>
  <c r="AI43" i="39"/>
  <c r="AC44" i="39"/>
  <c r="AD44" i="39"/>
  <c r="G44" i="39"/>
  <c r="N44" i="39"/>
  <c r="AE44" i="39"/>
  <c r="O44" i="39"/>
  <c r="AF44" i="39"/>
  <c r="P44" i="39"/>
  <c r="AG44" i="39"/>
  <c r="AH44" i="39"/>
  <c r="H44" i="39"/>
  <c r="AI44" i="39"/>
  <c r="AC45" i="39"/>
  <c r="AD45" i="39"/>
  <c r="G45" i="39"/>
  <c r="N45" i="39"/>
  <c r="AE45" i="39"/>
  <c r="O45" i="39"/>
  <c r="AF45" i="39"/>
  <c r="P45" i="39"/>
  <c r="AG45" i="39"/>
  <c r="AH45" i="39"/>
  <c r="H45" i="39"/>
  <c r="AI45" i="39"/>
  <c r="AC46" i="39"/>
  <c r="AD46" i="39"/>
  <c r="G46" i="39"/>
  <c r="N46" i="39"/>
  <c r="AE46" i="39"/>
  <c r="O46" i="39"/>
  <c r="AF46" i="39"/>
  <c r="P46" i="39"/>
  <c r="AG46" i="39"/>
  <c r="AH46" i="39"/>
  <c r="H46" i="39"/>
  <c r="AI46" i="39"/>
  <c r="AC47" i="39"/>
  <c r="AD47" i="39"/>
  <c r="G47" i="39"/>
  <c r="N47" i="39"/>
  <c r="AE47" i="39"/>
  <c r="O47" i="39"/>
  <c r="AF47" i="39"/>
  <c r="P47" i="39"/>
  <c r="AG47" i="39"/>
  <c r="AH47" i="39"/>
  <c r="H47" i="39"/>
  <c r="AI47" i="39"/>
  <c r="AC48" i="39"/>
  <c r="AD48" i="39"/>
  <c r="G48" i="39"/>
  <c r="N48" i="39"/>
  <c r="AE48" i="39"/>
  <c r="O48" i="39"/>
  <c r="AF48" i="39"/>
  <c r="P48" i="39"/>
  <c r="AG48" i="39"/>
  <c r="AH48" i="39"/>
  <c r="H48" i="39"/>
  <c r="AI48" i="39"/>
  <c r="AC49" i="39"/>
  <c r="AD49" i="39"/>
  <c r="G49" i="39"/>
  <c r="N49" i="39"/>
  <c r="AE49" i="39"/>
  <c r="O49" i="39"/>
  <c r="AF49" i="39"/>
  <c r="P49" i="39"/>
  <c r="AG49" i="39"/>
  <c r="AH49" i="39"/>
  <c r="H49" i="39"/>
  <c r="AI49" i="39"/>
  <c r="AC50" i="39"/>
  <c r="AD50" i="39"/>
  <c r="G50" i="39"/>
  <c r="N50" i="39"/>
  <c r="AE50" i="39"/>
  <c r="O50" i="39"/>
  <c r="AF50" i="39"/>
  <c r="P50" i="39"/>
  <c r="AG50" i="39"/>
  <c r="AH50" i="39"/>
  <c r="H50" i="39"/>
  <c r="AI50" i="39"/>
  <c r="AC51" i="39"/>
  <c r="AD51" i="39"/>
  <c r="G51" i="39"/>
  <c r="N51" i="39"/>
  <c r="AE51" i="39"/>
  <c r="O51" i="39"/>
  <c r="AF51" i="39"/>
  <c r="P51" i="39"/>
  <c r="AG51" i="39"/>
  <c r="AH51" i="39"/>
  <c r="H51" i="39"/>
  <c r="AI51" i="39"/>
  <c r="AC52" i="39"/>
  <c r="AD52" i="39"/>
  <c r="G52" i="39"/>
  <c r="N52" i="39"/>
  <c r="AE52" i="39"/>
  <c r="O52" i="39"/>
  <c r="AF52" i="39"/>
  <c r="P52" i="39"/>
  <c r="AG52" i="39"/>
  <c r="AH52" i="39"/>
  <c r="H52" i="39"/>
  <c r="AI52" i="39"/>
  <c r="AC53" i="39"/>
  <c r="AD53" i="39"/>
  <c r="G53" i="39"/>
  <c r="N53" i="39"/>
  <c r="AE53" i="39"/>
  <c r="O53" i="39"/>
  <c r="AF53" i="39"/>
  <c r="P53" i="39"/>
  <c r="AG53" i="39"/>
  <c r="AH53" i="39"/>
  <c r="H53" i="39"/>
  <c r="AI53" i="39"/>
  <c r="AC54" i="39"/>
  <c r="AD54" i="39"/>
  <c r="G54" i="39"/>
  <c r="N54" i="39"/>
  <c r="AE54" i="39"/>
  <c r="O54" i="39"/>
  <c r="AF54" i="39"/>
  <c r="P54" i="39"/>
  <c r="AG54" i="39"/>
  <c r="AH54" i="39"/>
  <c r="H54" i="39"/>
  <c r="AI54" i="39"/>
  <c r="AC55" i="39"/>
  <c r="AD55" i="39"/>
  <c r="G55" i="39"/>
  <c r="N55" i="39"/>
  <c r="AE55" i="39"/>
  <c r="O55" i="39"/>
  <c r="AF55" i="39"/>
  <c r="P55" i="39"/>
  <c r="AG55" i="39"/>
  <c r="AH55" i="39"/>
  <c r="H55" i="39"/>
  <c r="AI55" i="39"/>
  <c r="AC56" i="39"/>
  <c r="AD56" i="39"/>
  <c r="G56" i="39"/>
  <c r="N56" i="39"/>
  <c r="AE56" i="39"/>
  <c r="O56" i="39"/>
  <c r="AF56" i="39"/>
  <c r="P56" i="39"/>
  <c r="AG56" i="39"/>
  <c r="AH56" i="39"/>
  <c r="H56" i="39"/>
  <c r="AI56" i="39"/>
  <c r="AC57" i="39"/>
  <c r="AD57" i="39"/>
  <c r="G57" i="39"/>
  <c r="N57" i="39"/>
  <c r="AE57" i="39"/>
  <c r="O57" i="39"/>
  <c r="AF57" i="39"/>
  <c r="P57" i="39"/>
  <c r="AG57" i="39"/>
  <c r="AH57" i="39"/>
  <c r="H57" i="39"/>
  <c r="AI57" i="39"/>
  <c r="AC58" i="39"/>
  <c r="AD58" i="39"/>
  <c r="G58" i="39"/>
  <c r="N58" i="39"/>
  <c r="AE58" i="39"/>
  <c r="O58" i="39"/>
  <c r="AF58" i="39"/>
  <c r="P58" i="39"/>
  <c r="AG58" i="39"/>
  <c r="AH58" i="39"/>
  <c r="H58" i="39"/>
  <c r="AI58" i="39"/>
  <c r="AC59" i="39"/>
  <c r="AD59" i="39"/>
  <c r="G59" i="39"/>
  <c r="N59" i="39"/>
  <c r="AE59" i="39"/>
  <c r="O59" i="39"/>
  <c r="AF59" i="39"/>
  <c r="P59" i="39"/>
  <c r="AG59" i="39"/>
  <c r="AH59" i="39"/>
  <c r="H59" i="39"/>
  <c r="AI59" i="39"/>
  <c r="AC60" i="39"/>
  <c r="AD60" i="39"/>
  <c r="G60" i="39"/>
  <c r="N60" i="39"/>
  <c r="AE60" i="39"/>
  <c r="O60" i="39"/>
  <c r="AF60" i="39"/>
  <c r="P60" i="39"/>
  <c r="AG60" i="39"/>
  <c r="AH60" i="39"/>
  <c r="H60" i="39"/>
  <c r="AI60" i="39"/>
  <c r="AC61" i="39"/>
  <c r="AD61" i="39"/>
  <c r="G61" i="39"/>
  <c r="N61" i="39"/>
  <c r="AE61" i="39"/>
  <c r="O61" i="39"/>
  <c r="AF61" i="39"/>
  <c r="P61" i="39"/>
  <c r="AG61" i="39"/>
  <c r="AH61" i="39"/>
  <c r="H61" i="39"/>
  <c r="AI61" i="39"/>
  <c r="AC62" i="39"/>
  <c r="AD62" i="39"/>
  <c r="G62" i="39"/>
  <c r="N62" i="39"/>
  <c r="AE62" i="39"/>
  <c r="O62" i="39"/>
  <c r="AF62" i="39"/>
  <c r="P62" i="39"/>
  <c r="AG62" i="39"/>
  <c r="AH62" i="39"/>
  <c r="H62" i="39"/>
  <c r="AI62" i="39"/>
  <c r="AC63" i="39"/>
  <c r="AD63" i="39"/>
  <c r="G63" i="39"/>
  <c r="N63" i="39"/>
  <c r="AE63" i="39"/>
  <c r="O63" i="39"/>
  <c r="AF63" i="39"/>
  <c r="P63" i="39"/>
  <c r="AG63" i="39"/>
  <c r="AH63" i="39"/>
  <c r="H63" i="39"/>
  <c r="AI63" i="39"/>
  <c r="AC64" i="39"/>
  <c r="AD64" i="39"/>
  <c r="G64" i="39"/>
  <c r="N64" i="39"/>
  <c r="AE64" i="39"/>
  <c r="O64" i="39"/>
  <c r="AF64" i="39"/>
  <c r="P64" i="39"/>
  <c r="AG64" i="39"/>
  <c r="AH64" i="39"/>
  <c r="H64" i="39"/>
  <c r="AI64" i="39"/>
  <c r="AC65" i="39"/>
  <c r="AD65" i="39"/>
  <c r="G65" i="39"/>
  <c r="N65" i="39"/>
  <c r="AE65" i="39"/>
  <c r="O65" i="39"/>
  <c r="AF65" i="39"/>
  <c r="P65" i="39"/>
  <c r="AG65" i="39"/>
  <c r="AH65" i="39"/>
  <c r="H65" i="39"/>
  <c r="AI65" i="39"/>
  <c r="AC66" i="39"/>
  <c r="AD66" i="39"/>
  <c r="G66" i="39"/>
  <c r="N66" i="39"/>
  <c r="AE66" i="39"/>
  <c r="O66" i="39"/>
  <c r="AF66" i="39"/>
  <c r="P66" i="39"/>
  <c r="AG66" i="39"/>
  <c r="AH66" i="39"/>
  <c r="H66" i="39"/>
  <c r="AI66" i="39"/>
  <c r="AC67" i="39"/>
  <c r="AD67" i="39"/>
  <c r="G67" i="39"/>
  <c r="N67" i="39"/>
  <c r="AE67" i="39"/>
  <c r="O67" i="39"/>
  <c r="AF67" i="39"/>
  <c r="P67" i="39"/>
  <c r="AG67" i="39"/>
  <c r="AH67" i="39"/>
  <c r="H67" i="39"/>
  <c r="AI67" i="39"/>
  <c r="AC68" i="39"/>
  <c r="AD68" i="39"/>
  <c r="G68" i="39"/>
  <c r="N68" i="39"/>
  <c r="AE68" i="39"/>
  <c r="O68" i="39"/>
  <c r="AF68" i="39"/>
  <c r="P68" i="39"/>
  <c r="AG68" i="39"/>
  <c r="AH68" i="39"/>
  <c r="H68" i="39"/>
  <c r="AI68" i="39"/>
  <c r="AC69" i="39"/>
  <c r="AD69" i="39"/>
  <c r="G69" i="39"/>
  <c r="N69" i="39"/>
  <c r="AE69" i="39"/>
  <c r="O69" i="39"/>
  <c r="AF69" i="39"/>
  <c r="P69" i="39"/>
  <c r="AG69" i="39"/>
  <c r="AH69" i="39"/>
  <c r="H69" i="39"/>
  <c r="AI69" i="39"/>
  <c r="AC70" i="39"/>
  <c r="AD70" i="39"/>
  <c r="G70" i="39"/>
  <c r="N70" i="39"/>
  <c r="AE70" i="39"/>
  <c r="O70" i="39"/>
  <c r="AF70" i="39"/>
  <c r="P70" i="39"/>
  <c r="AG70" i="39"/>
  <c r="AH70" i="39"/>
  <c r="H70" i="39"/>
  <c r="AI70" i="39"/>
  <c r="AC71" i="39"/>
  <c r="AD71" i="39"/>
  <c r="G71" i="39"/>
  <c r="N71" i="39"/>
  <c r="AE71" i="39"/>
  <c r="O71" i="39"/>
  <c r="AF71" i="39"/>
  <c r="P71" i="39"/>
  <c r="AG71" i="39"/>
  <c r="AH71" i="39"/>
  <c r="H71" i="39"/>
  <c r="AI71" i="39"/>
  <c r="AC72" i="39"/>
  <c r="AD72" i="39"/>
  <c r="G72" i="39"/>
  <c r="N72" i="39"/>
  <c r="AE72" i="39"/>
  <c r="O72" i="39"/>
  <c r="AF72" i="39"/>
  <c r="P72" i="39"/>
  <c r="AG72" i="39"/>
  <c r="AH72" i="39"/>
  <c r="H72" i="39"/>
  <c r="AI72" i="39"/>
  <c r="AC73" i="39"/>
  <c r="AD73" i="39"/>
  <c r="G73" i="39"/>
  <c r="N73" i="39"/>
  <c r="AE73" i="39"/>
  <c r="O73" i="39"/>
  <c r="AF73" i="39"/>
  <c r="P73" i="39"/>
  <c r="AG73" i="39"/>
  <c r="AH73" i="39"/>
  <c r="H73" i="39"/>
  <c r="AI73" i="39"/>
  <c r="AC74" i="39"/>
  <c r="AD74" i="39"/>
  <c r="G74" i="39"/>
  <c r="N74" i="39"/>
  <c r="AE74" i="39"/>
  <c r="O74" i="39"/>
  <c r="AF74" i="39"/>
  <c r="P74" i="39"/>
  <c r="AG74" i="39"/>
  <c r="AH74" i="39"/>
  <c r="H74" i="39"/>
  <c r="AI74" i="39"/>
  <c r="AC75" i="39"/>
  <c r="AD75" i="39"/>
  <c r="G75" i="39"/>
  <c r="N75" i="39"/>
  <c r="AE75" i="39"/>
  <c r="O75" i="39"/>
  <c r="AF75" i="39"/>
  <c r="P75" i="39"/>
  <c r="AG75" i="39"/>
  <c r="AH75" i="39"/>
  <c r="H75" i="39"/>
  <c r="AI75" i="39"/>
  <c r="AC76" i="39"/>
  <c r="AD76" i="39"/>
  <c r="G76" i="39"/>
  <c r="N76" i="39"/>
  <c r="AE76" i="39"/>
  <c r="O76" i="39"/>
  <c r="AF76" i="39"/>
  <c r="P76" i="39"/>
  <c r="AG76" i="39"/>
  <c r="AH76" i="39"/>
  <c r="H76" i="39"/>
  <c r="AI76" i="39"/>
  <c r="AC77" i="39"/>
  <c r="AD77" i="39"/>
  <c r="G77" i="39"/>
  <c r="N77" i="39"/>
  <c r="AE77" i="39"/>
  <c r="O77" i="39"/>
  <c r="AF77" i="39"/>
  <c r="P77" i="39"/>
  <c r="AG77" i="39"/>
  <c r="AH77" i="39"/>
  <c r="H77" i="39"/>
  <c r="AI77" i="39"/>
  <c r="AC78" i="39"/>
  <c r="AD78" i="39"/>
  <c r="G78" i="39"/>
  <c r="N78" i="39"/>
  <c r="AE78" i="39"/>
  <c r="O78" i="39"/>
  <c r="AF78" i="39"/>
  <c r="P78" i="39"/>
  <c r="AG78" i="39"/>
  <c r="AH78" i="39"/>
  <c r="H78" i="39"/>
  <c r="AI78" i="39"/>
  <c r="AC79" i="39"/>
  <c r="AD79" i="39"/>
  <c r="G79" i="39"/>
  <c r="N79" i="39"/>
  <c r="AE79" i="39"/>
  <c r="O79" i="39"/>
  <c r="AF79" i="39"/>
  <c r="P79" i="39"/>
  <c r="AG79" i="39"/>
  <c r="AH79" i="39"/>
  <c r="H79" i="39"/>
  <c r="AI79" i="39"/>
  <c r="AC80" i="39"/>
  <c r="AD80" i="39"/>
  <c r="G80" i="39"/>
  <c r="N80" i="39"/>
  <c r="AE80" i="39"/>
  <c r="O80" i="39"/>
  <c r="AF80" i="39"/>
  <c r="P80" i="39"/>
  <c r="AG80" i="39"/>
  <c r="AH80" i="39"/>
  <c r="H80" i="39"/>
  <c r="AI80" i="39"/>
  <c r="AC81" i="39"/>
  <c r="AD81" i="39"/>
  <c r="G81" i="39"/>
  <c r="N81" i="39"/>
  <c r="AE81" i="39"/>
  <c r="O81" i="39"/>
  <c r="AF81" i="39"/>
  <c r="P81" i="39"/>
  <c r="AG81" i="39"/>
  <c r="AH81" i="39"/>
  <c r="H81" i="39"/>
  <c r="AI81" i="39"/>
  <c r="AC82" i="39"/>
  <c r="AD82" i="39"/>
  <c r="G82" i="39"/>
  <c r="N82" i="39"/>
  <c r="AE82" i="39"/>
  <c r="O82" i="39"/>
  <c r="AF82" i="39"/>
  <c r="P82" i="39"/>
  <c r="AG82" i="39"/>
  <c r="AH82" i="39"/>
  <c r="H82" i="39"/>
  <c r="AI82" i="39"/>
  <c r="AC83" i="39"/>
  <c r="AD83" i="39"/>
  <c r="G83" i="39"/>
  <c r="N83" i="39"/>
  <c r="AE83" i="39"/>
  <c r="O83" i="39"/>
  <c r="AF83" i="39"/>
  <c r="P83" i="39"/>
  <c r="AG83" i="39"/>
  <c r="AH83" i="39"/>
  <c r="H83" i="39"/>
  <c r="AI83" i="39"/>
  <c r="AC84" i="39"/>
  <c r="AD84" i="39"/>
  <c r="G84" i="39"/>
  <c r="N84" i="39"/>
  <c r="AE84" i="39"/>
  <c r="O84" i="39"/>
  <c r="AF84" i="39"/>
  <c r="P84" i="39"/>
  <c r="AG84" i="39"/>
  <c r="AH84" i="39"/>
  <c r="H84" i="39"/>
  <c r="AI84" i="39"/>
  <c r="AC85" i="39"/>
  <c r="AD85" i="39"/>
  <c r="G85" i="39"/>
  <c r="N85" i="39"/>
  <c r="AE85" i="39"/>
  <c r="O85" i="39"/>
  <c r="AF85" i="39"/>
  <c r="P85" i="39"/>
  <c r="AG85" i="39"/>
  <c r="AH85" i="39"/>
  <c r="H85" i="39"/>
  <c r="AI85" i="39"/>
  <c r="AC86" i="39"/>
  <c r="AD86" i="39"/>
  <c r="G86" i="39"/>
  <c r="N86" i="39"/>
  <c r="AE86" i="39"/>
  <c r="O86" i="39"/>
  <c r="AF86" i="39"/>
  <c r="P86" i="39"/>
  <c r="AG86" i="39"/>
  <c r="AH86" i="39"/>
  <c r="H86" i="39"/>
  <c r="AI86" i="39"/>
  <c r="AC87" i="39"/>
  <c r="AD87" i="39"/>
  <c r="G87" i="39"/>
  <c r="N87" i="39"/>
  <c r="AE87" i="39"/>
  <c r="O87" i="39"/>
  <c r="AF87" i="39"/>
  <c r="P87" i="39"/>
  <c r="AG87" i="39"/>
  <c r="AH87" i="39"/>
  <c r="H87" i="39"/>
  <c r="AI87" i="39"/>
  <c r="AC88" i="39"/>
  <c r="AD88" i="39"/>
  <c r="G88" i="39"/>
  <c r="N88" i="39"/>
  <c r="AE88" i="39"/>
  <c r="O88" i="39"/>
  <c r="AF88" i="39"/>
  <c r="P88" i="39"/>
  <c r="AG88" i="39"/>
  <c r="AH88" i="39"/>
  <c r="H88" i="39"/>
  <c r="AI88" i="39"/>
  <c r="AC89" i="39"/>
  <c r="AD89" i="39"/>
  <c r="G89" i="39"/>
  <c r="N89" i="39"/>
  <c r="AE89" i="39"/>
  <c r="O89" i="39"/>
  <c r="AF89" i="39"/>
  <c r="P89" i="39"/>
  <c r="AG89" i="39"/>
  <c r="AH89" i="39"/>
  <c r="H89" i="39"/>
  <c r="AI89" i="39"/>
  <c r="AC90" i="39"/>
  <c r="AD90" i="39"/>
  <c r="G90" i="39"/>
  <c r="N90" i="39"/>
  <c r="AE90" i="39"/>
  <c r="O90" i="39"/>
  <c r="AF90" i="39"/>
  <c r="P90" i="39"/>
  <c r="AG90" i="39"/>
  <c r="AH90" i="39"/>
  <c r="H90" i="39"/>
  <c r="AI90" i="39"/>
  <c r="AC91" i="39"/>
  <c r="AD91" i="39"/>
  <c r="G91" i="39"/>
  <c r="N91" i="39"/>
  <c r="AE91" i="39"/>
  <c r="O91" i="39"/>
  <c r="AF91" i="39"/>
  <c r="P91" i="39"/>
  <c r="AG91" i="39"/>
  <c r="AH91" i="39"/>
  <c r="H91" i="39"/>
  <c r="AI91" i="39"/>
  <c r="AC92" i="39"/>
  <c r="AD92" i="39"/>
  <c r="G92" i="39"/>
  <c r="N92" i="39"/>
  <c r="AE92" i="39"/>
  <c r="O92" i="39"/>
  <c r="AF92" i="39"/>
  <c r="P92" i="39"/>
  <c r="AG92" i="39"/>
  <c r="AH92" i="39"/>
  <c r="H92" i="39"/>
  <c r="AI92" i="39"/>
  <c r="AC93" i="39"/>
  <c r="AD93" i="39"/>
  <c r="G93" i="39"/>
  <c r="N93" i="39"/>
  <c r="AE93" i="39"/>
  <c r="O93" i="39"/>
  <c r="AF93" i="39"/>
  <c r="P93" i="39"/>
  <c r="AG93" i="39"/>
  <c r="AH93" i="39"/>
  <c r="H93" i="39"/>
  <c r="AI93" i="39"/>
  <c r="AC94" i="39"/>
  <c r="AD94" i="39"/>
  <c r="G94" i="39"/>
  <c r="N94" i="39"/>
  <c r="AE94" i="39"/>
  <c r="O94" i="39"/>
  <c r="AF94" i="39"/>
  <c r="P94" i="39"/>
  <c r="AG94" i="39"/>
  <c r="AH94" i="39"/>
  <c r="H94" i="39"/>
  <c r="AI94" i="39"/>
  <c r="AC95" i="39"/>
  <c r="AD95" i="39"/>
  <c r="G95" i="39"/>
  <c r="N95" i="39"/>
  <c r="AE95" i="39"/>
  <c r="O95" i="39"/>
  <c r="AF95" i="39"/>
  <c r="P95" i="39"/>
  <c r="AG95" i="39"/>
  <c r="AH95" i="39"/>
  <c r="H95" i="39"/>
  <c r="AI95" i="39"/>
  <c r="AC96" i="39"/>
  <c r="AD96" i="39"/>
  <c r="G96" i="39"/>
  <c r="N96" i="39"/>
  <c r="AE96" i="39"/>
  <c r="O96" i="39"/>
  <c r="AF96" i="39"/>
  <c r="P96" i="39"/>
  <c r="AG96" i="39"/>
  <c r="AH96" i="39"/>
  <c r="H96" i="39"/>
  <c r="AI96" i="39"/>
  <c r="AC97" i="39"/>
  <c r="AD97" i="39"/>
  <c r="G97" i="39"/>
  <c r="N97" i="39"/>
  <c r="AE97" i="39"/>
  <c r="O97" i="39"/>
  <c r="AF97" i="39"/>
  <c r="P97" i="39"/>
  <c r="AG97" i="39"/>
  <c r="AH97" i="39"/>
  <c r="H97" i="39"/>
  <c r="AI97" i="39"/>
  <c r="AC98" i="39"/>
  <c r="AD98" i="39"/>
  <c r="G98" i="39"/>
  <c r="N98" i="39"/>
  <c r="AE98" i="39"/>
  <c r="O98" i="39"/>
  <c r="AF98" i="39"/>
  <c r="P98" i="39"/>
  <c r="AG98" i="39"/>
  <c r="AH98" i="39"/>
  <c r="H98" i="39"/>
  <c r="AI98" i="39"/>
  <c r="AC99" i="39"/>
  <c r="AD99" i="39"/>
  <c r="G99" i="39"/>
  <c r="N99" i="39"/>
  <c r="AE99" i="39"/>
  <c r="O99" i="39"/>
  <c r="AF99" i="39"/>
  <c r="P99" i="39"/>
  <c r="AG99" i="39"/>
  <c r="AH99" i="39"/>
  <c r="H99" i="39"/>
  <c r="AI99" i="39"/>
  <c r="AC100" i="39"/>
  <c r="AD100" i="39"/>
  <c r="G100" i="39"/>
  <c r="N100" i="39"/>
  <c r="AE100" i="39"/>
  <c r="O100" i="39"/>
  <c r="AF100" i="39"/>
  <c r="P100" i="39"/>
  <c r="AG100" i="39"/>
  <c r="AH100" i="39"/>
  <c r="H100" i="39"/>
  <c r="AI100" i="39"/>
  <c r="AC101" i="39"/>
  <c r="AD101" i="39"/>
  <c r="G101" i="39"/>
  <c r="N101" i="39"/>
  <c r="AE101" i="39"/>
  <c r="O101" i="39"/>
  <c r="AF101" i="39"/>
  <c r="P101" i="39"/>
  <c r="AG101" i="39"/>
  <c r="AH101" i="39"/>
  <c r="H101" i="39"/>
  <c r="AI101" i="39"/>
  <c r="AC102" i="39"/>
  <c r="AD102" i="39"/>
  <c r="G102" i="39"/>
  <c r="N102" i="39"/>
  <c r="AE102" i="39"/>
  <c r="O102" i="39"/>
  <c r="AF102" i="39"/>
  <c r="P102" i="39"/>
  <c r="AG102" i="39"/>
  <c r="AH102" i="39"/>
  <c r="H102" i="39"/>
  <c r="AI102" i="39"/>
  <c r="AC103" i="39"/>
  <c r="AD103" i="39"/>
  <c r="G103" i="39"/>
  <c r="N103" i="39"/>
  <c r="AE103" i="39"/>
  <c r="O103" i="39"/>
  <c r="AF103" i="39"/>
  <c r="P103" i="39"/>
  <c r="AG103" i="39"/>
  <c r="AH103" i="39"/>
  <c r="H103" i="39"/>
  <c r="AI103" i="39"/>
  <c r="AC104" i="39"/>
  <c r="AD104" i="39"/>
  <c r="G104" i="39"/>
  <c r="N104" i="39"/>
  <c r="AE104" i="39"/>
  <c r="O104" i="39"/>
  <c r="AF104" i="39"/>
  <c r="P104" i="39"/>
  <c r="AG104" i="39"/>
  <c r="AH104" i="39"/>
  <c r="H104" i="39"/>
  <c r="AI104" i="39"/>
  <c r="AI107" i="39"/>
  <c r="H18" i="41"/>
  <c r="J18" i="41"/>
  <c r="J20" i="41"/>
  <c r="D36" i="41"/>
  <c r="J12" i="8"/>
  <c r="D12" i="8"/>
  <c r="J16" i="8"/>
  <c r="D16" i="8"/>
  <c r="T12" i="47"/>
  <c r="U12" i="47"/>
  <c r="J56" i="8"/>
  <c r="D56" i="8"/>
  <c r="V12" i="47"/>
  <c r="J57" i="8"/>
  <c r="D57" i="8"/>
  <c r="W12" i="47"/>
  <c r="J58" i="8"/>
  <c r="D58" i="8"/>
  <c r="X12" i="47"/>
  <c r="J59" i="8"/>
  <c r="D59" i="8"/>
  <c r="Y12" i="47"/>
  <c r="Z12" i="47"/>
  <c r="AA12" i="47"/>
  <c r="T13" i="47"/>
  <c r="U13" i="47"/>
  <c r="V13" i="47"/>
  <c r="W13" i="47"/>
  <c r="X13" i="47"/>
  <c r="Y13" i="47"/>
  <c r="Z13" i="47"/>
  <c r="AA13" i="47"/>
  <c r="T14" i="47"/>
  <c r="U14" i="47"/>
  <c r="V14" i="47"/>
  <c r="W14" i="47"/>
  <c r="X14" i="47"/>
  <c r="Y14" i="47"/>
  <c r="Z14" i="47"/>
  <c r="AA14" i="47"/>
  <c r="T15" i="47"/>
  <c r="U15" i="47"/>
  <c r="V15" i="47"/>
  <c r="W15" i="47"/>
  <c r="X15" i="47"/>
  <c r="Y15" i="47"/>
  <c r="Z15" i="47"/>
  <c r="AA15" i="47"/>
  <c r="T16" i="47"/>
  <c r="U16" i="47"/>
  <c r="V16" i="47"/>
  <c r="W16" i="47"/>
  <c r="X16" i="47"/>
  <c r="Y16" i="47"/>
  <c r="Z16" i="47"/>
  <c r="AA16" i="47"/>
  <c r="T17" i="47"/>
  <c r="U17" i="47"/>
  <c r="V17" i="47"/>
  <c r="W17" i="47"/>
  <c r="X17" i="47"/>
  <c r="Y17" i="47"/>
  <c r="Z17" i="47"/>
  <c r="AA17" i="47"/>
  <c r="T18" i="47"/>
  <c r="U18" i="47"/>
  <c r="V18" i="47"/>
  <c r="W18" i="47"/>
  <c r="X18" i="47"/>
  <c r="Y18" i="47"/>
  <c r="Z18" i="47"/>
  <c r="AA18" i="47"/>
  <c r="T19" i="47"/>
  <c r="U19" i="47"/>
  <c r="V19" i="47"/>
  <c r="W19" i="47"/>
  <c r="X19" i="47"/>
  <c r="Y19" i="47"/>
  <c r="Z19" i="47"/>
  <c r="AA19" i="47"/>
  <c r="T20" i="47"/>
  <c r="U20" i="47"/>
  <c r="V20" i="47"/>
  <c r="W20" i="47"/>
  <c r="X20" i="47"/>
  <c r="Y20" i="47"/>
  <c r="Z20" i="47"/>
  <c r="AA20" i="47"/>
  <c r="T21" i="47"/>
  <c r="U21" i="47"/>
  <c r="V21" i="47"/>
  <c r="W21" i="47"/>
  <c r="X21" i="47"/>
  <c r="Y21" i="47"/>
  <c r="Z21" i="47"/>
  <c r="AA21" i="47"/>
  <c r="T22" i="47"/>
  <c r="U22" i="47"/>
  <c r="V22" i="47"/>
  <c r="W22" i="47"/>
  <c r="X22" i="47"/>
  <c r="Y22" i="47"/>
  <c r="Z22" i="47"/>
  <c r="AA22" i="47"/>
  <c r="T23" i="47"/>
  <c r="U23" i="47"/>
  <c r="V23" i="47"/>
  <c r="W23" i="47"/>
  <c r="X23" i="47"/>
  <c r="Y23" i="47"/>
  <c r="Z23" i="47"/>
  <c r="AA23" i="47"/>
  <c r="T24" i="47"/>
  <c r="U24" i="47"/>
  <c r="V24" i="47"/>
  <c r="W24" i="47"/>
  <c r="X24" i="47"/>
  <c r="Y24" i="47"/>
  <c r="Z24" i="47"/>
  <c r="AA24" i="47"/>
  <c r="T25" i="47"/>
  <c r="U25" i="47"/>
  <c r="V25" i="47"/>
  <c r="W25" i="47"/>
  <c r="X25" i="47"/>
  <c r="Y25" i="47"/>
  <c r="Z25" i="47"/>
  <c r="AA25" i="47"/>
  <c r="T26" i="47"/>
  <c r="U26" i="47"/>
  <c r="V26" i="47"/>
  <c r="W26" i="47"/>
  <c r="X26" i="47"/>
  <c r="Y26" i="47"/>
  <c r="Z26" i="47"/>
  <c r="AA26" i="47"/>
  <c r="T27" i="47"/>
  <c r="U27" i="47"/>
  <c r="V27" i="47"/>
  <c r="W27" i="47"/>
  <c r="X27" i="47"/>
  <c r="Y27" i="47"/>
  <c r="Z27" i="47"/>
  <c r="AA27" i="47"/>
  <c r="T28" i="47"/>
  <c r="U28" i="47"/>
  <c r="V28" i="47"/>
  <c r="W28" i="47"/>
  <c r="X28" i="47"/>
  <c r="Y28" i="47"/>
  <c r="Z28" i="47"/>
  <c r="AA28" i="47"/>
  <c r="T29" i="47"/>
  <c r="U29" i="47"/>
  <c r="V29" i="47"/>
  <c r="W29" i="47"/>
  <c r="X29" i="47"/>
  <c r="Y29" i="47"/>
  <c r="Z29" i="47"/>
  <c r="AA29" i="47"/>
  <c r="T30" i="47"/>
  <c r="U30" i="47"/>
  <c r="V30" i="47"/>
  <c r="W30" i="47"/>
  <c r="X30" i="47"/>
  <c r="Y30" i="47"/>
  <c r="Z30" i="47"/>
  <c r="AA30" i="47"/>
  <c r="T31" i="47"/>
  <c r="U31" i="47"/>
  <c r="V31" i="47"/>
  <c r="W31" i="47"/>
  <c r="X31" i="47"/>
  <c r="Y31" i="47"/>
  <c r="Z31" i="47"/>
  <c r="AA31" i="47"/>
  <c r="T32" i="47"/>
  <c r="U32" i="47"/>
  <c r="V32" i="47"/>
  <c r="W32" i="47"/>
  <c r="X32" i="47"/>
  <c r="Y32" i="47"/>
  <c r="Z32" i="47"/>
  <c r="AA32" i="47"/>
  <c r="T33" i="47"/>
  <c r="U33" i="47"/>
  <c r="V33" i="47"/>
  <c r="W33" i="47"/>
  <c r="X33" i="47"/>
  <c r="Y33" i="47"/>
  <c r="Z33" i="47"/>
  <c r="AA33" i="47"/>
  <c r="T34" i="47"/>
  <c r="U34" i="47"/>
  <c r="V34" i="47"/>
  <c r="W34" i="47"/>
  <c r="X34" i="47"/>
  <c r="Y34" i="47"/>
  <c r="Z34" i="47"/>
  <c r="AA34" i="47"/>
  <c r="T35" i="47"/>
  <c r="U35" i="47"/>
  <c r="V35" i="47"/>
  <c r="W35" i="47"/>
  <c r="X35" i="47"/>
  <c r="Y35" i="47"/>
  <c r="Z35" i="47"/>
  <c r="AA35" i="47"/>
  <c r="T36" i="47"/>
  <c r="U36" i="47"/>
  <c r="V36" i="47"/>
  <c r="W36" i="47"/>
  <c r="X36" i="47"/>
  <c r="Y36" i="47"/>
  <c r="Z36" i="47"/>
  <c r="AA36" i="47"/>
  <c r="T37" i="47"/>
  <c r="U37" i="47"/>
  <c r="V37" i="47"/>
  <c r="W37" i="47"/>
  <c r="X37" i="47"/>
  <c r="Y37" i="47"/>
  <c r="Z37" i="47"/>
  <c r="AA37" i="47"/>
  <c r="T38" i="47"/>
  <c r="U38" i="47"/>
  <c r="V38" i="47"/>
  <c r="W38" i="47"/>
  <c r="X38" i="47"/>
  <c r="Y38" i="47"/>
  <c r="Z38" i="47"/>
  <c r="AA38" i="47"/>
  <c r="T39" i="47"/>
  <c r="U39" i="47"/>
  <c r="V39" i="47"/>
  <c r="W39" i="47"/>
  <c r="X39" i="47"/>
  <c r="Y39" i="47"/>
  <c r="Z39" i="47"/>
  <c r="AA39" i="47"/>
  <c r="T40" i="47"/>
  <c r="U40" i="47"/>
  <c r="V40" i="47"/>
  <c r="W40" i="47"/>
  <c r="X40" i="47"/>
  <c r="Y40" i="47"/>
  <c r="Z40" i="47"/>
  <c r="AA40" i="47"/>
  <c r="T41" i="47"/>
  <c r="U41" i="47"/>
  <c r="V41" i="47"/>
  <c r="W41" i="47"/>
  <c r="X41" i="47"/>
  <c r="Y41" i="47"/>
  <c r="Z41" i="47"/>
  <c r="AA41" i="47"/>
  <c r="T42" i="47"/>
  <c r="U42" i="47"/>
  <c r="V42" i="47"/>
  <c r="W42" i="47"/>
  <c r="X42" i="47"/>
  <c r="Y42" i="47"/>
  <c r="Z42" i="47"/>
  <c r="AA42" i="47"/>
  <c r="T43" i="47"/>
  <c r="U43" i="47"/>
  <c r="V43" i="47"/>
  <c r="W43" i="47"/>
  <c r="X43" i="47"/>
  <c r="Y43" i="47"/>
  <c r="Z43" i="47"/>
  <c r="AA43" i="47"/>
  <c r="T44" i="47"/>
  <c r="U44" i="47"/>
  <c r="V44" i="47"/>
  <c r="W44" i="47"/>
  <c r="X44" i="47"/>
  <c r="Y44" i="47"/>
  <c r="Z44" i="47"/>
  <c r="AA44" i="47"/>
  <c r="T45" i="47"/>
  <c r="U45" i="47"/>
  <c r="V45" i="47"/>
  <c r="W45" i="47"/>
  <c r="X45" i="47"/>
  <c r="Y45" i="47"/>
  <c r="Z45" i="47"/>
  <c r="AA45" i="47"/>
  <c r="T46" i="47"/>
  <c r="U46" i="47"/>
  <c r="V46" i="47"/>
  <c r="W46" i="47"/>
  <c r="X46" i="47"/>
  <c r="Y46" i="47"/>
  <c r="Z46" i="47"/>
  <c r="AA46" i="47"/>
  <c r="T47" i="47"/>
  <c r="U47" i="47"/>
  <c r="V47" i="47"/>
  <c r="W47" i="47"/>
  <c r="X47" i="47"/>
  <c r="Y47" i="47"/>
  <c r="Z47" i="47"/>
  <c r="AA47" i="47"/>
  <c r="T48" i="47"/>
  <c r="U48" i="47"/>
  <c r="V48" i="47"/>
  <c r="W48" i="47"/>
  <c r="X48" i="47"/>
  <c r="Y48" i="47"/>
  <c r="Z48" i="47"/>
  <c r="AA48" i="47"/>
  <c r="T49" i="47"/>
  <c r="U49" i="47"/>
  <c r="V49" i="47"/>
  <c r="W49" i="47"/>
  <c r="X49" i="47"/>
  <c r="Y49" i="47"/>
  <c r="Z49" i="47"/>
  <c r="AA49" i="47"/>
  <c r="T50" i="47"/>
  <c r="U50" i="47"/>
  <c r="V50" i="47"/>
  <c r="W50" i="47"/>
  <c r="X50" i="47"/>
  <c r="Y50" i="47"/>
  <c r="Z50" i="47"/>
  <c r="AA50" i="47"/>
  <c r="T51" i="47"/>
  <c r="U51" i="47"/>
  <c r="V51" i="47"/>
  <c r="W51" i="47"/>
  <c r="X51" i="47"/>
  <c r="Y51" i="47"/>
  <c r="Z51" i="47"/>
  <c r="AA51" i="47"/>
  <c r="T52" i="47"/>
  <c r="U52" i="47"/>
  <c r="V52" i="47"/>
  <c r="W52" i="47"/>
  <c r="X52" i="47"/>
  <c r="Y52" i="47"/>
  <c r="Z52" i="47"/>
  <c r="AA52" i="47"/>
  <c r="T53" i="47"/>
  <c r="U53" i="47"/>
  <c r="V53" i="47"/>
  <c r="W53" i="47"/>
  <c r="X53" i="47"/>
  <c r="Y53" i="47"/>
  <c r="Z53" i="47"/>
  <c r="AA53" i="47"/>
  <c r="T54" i="47"/>
  <c r="U54" i="47"/>
  <c r="V54" i="47"/>
  <c r="W54" i="47"/>
  <c r="X54" i="47"/>
  <c r="Y54" i="47"/>
  <c r="Z54" i="47"/>
  <c r="AA54" i="47"/>
  <c r="T55" i="47"/>
  <c r="U55" i="47"/>
  <c r="V55" i="47"/>
  <c r="W55" i="47"/>
  <c r="X55" i="47"/>
  <c r="Y55" i="47"/>
  <c r="Z55" i="47"/>
  <c r="AA55" i="47"/>
  <c r="T56" i="47"/>
  <c r="U56" i="47"/>
  <c r="V56" i="47"/>
  <c r="W56" i="47"/>
  <c r="X56" i="47"/>
  <c r="Y56" i="47"/>
  <c r="Z56" i="47"/>
  <c r="AA56" i="47"/>
  <c r="T57" i="47"/>
  <c r="U57" i="47"/>
  <c r="V57" i="47"/>
  <c r="W57" i="47"/>
  <c r="X57" i="47"/>
  <c r="Y57" i="47"/>
  <c r="Z57" i="47"/>
  <c r="AA57" i="47"/>
  <c r="T58" i="47"/>
  <c r="U58" i="47"/>
  <c r="V58" i="47"/>
  <c r="W58" i="47"/>
  <c r="X58" i="47"/>
  <c r="Y58" i="47"/>
  <c r="Z58" i="47"/>
  <c r="AA58" i="47"/>
  <c r="T59" i="47"/>
  <c r="U59" i="47"/>
  <c r="V59" i="47"/>
  <c r="W59" i="47"/>
  <c r="X59" i="47"/>
  <c r="Y59" i="47"/>
  <c r="Z59" i="47"/>
  <c r="AA59" i="47"/>
  <c r="T60" i="47"/>
  <c r="U60" i="47"/>
  <c r="V60" i="47"/>
  <c r="W60" i="47"/>
  <c r="X60" i="47"/>
  <c r="Y60" i="47"/>
  <c r="Z60" i="47"/>
  <c r="AA60" i="47"/>
  <c r="T61" i="47"/>
  <c r="U61" i="47"/>
  <c r="V61" i="47"/>
  <c r="W61" i="47"/>
  <c r="X61" i="47"/>
  <c r="Y61" i="47"/>
  <c r="Z61" i="47"/>
  <c r="AA61" i="47"/>
  <c r="T62" i="47"/>
  <c r="U62" i="47"/>
  <c r="V62" i="47"/>
  <c r="W62" i="47"/>
  <c r="X62" i="47"/>
  <c r="Y62" i="47"/>
  <c r="Z62" i="47"/>
  <c r="AA62" i="47"/>
  <c r="T63" i="47"/>
  <c r="U63" i="47"/>
  <c r="V63" i="47"/>
  <c r="W63" i="47"/>
  <c r="X63" i="47"/>
  <c r="Y63" i="47"/>
  <c r="Z63" i="47"/>
  <c r="AA63" i="47"/>
  <c r="T64" i="47"/>
  <c r="U64" i="47"/>
  <c r="V64" i="47"/>
  <c r="W64" i="47"/>
  <c r="X64" i="47"/>
  <c r="Y64" i="47"/>
  <c r="Z64" i="47"/>
  <c r="AA64" i="47"/>
  <c r="T65" i="47"/>
  <c r="U65" i="47"/>
  <c r="V65" i="47"/>
  <c r="W65" i="47"/>
  <c r="X65" i="47"/>
  <c r="Y65" i="47"/>
  <c r="Z65" i="47"/>
  <c r="AA65" i="47"/>
  <c r="T66" i="47"/>
  <c r="U66" i="47"/>
  <c r="V66" i="47"/>
  <c r="W66" i="47"/>
  <c r="X66" i="47"/>
  <c r="Y66" i="47"/>
  <c r="Z66" i="47"/>
  <c r="AA66" i="47"/>
  <c r="T67" i="47"/>
  <c r="U67" i="47"/>
  <c r="V67" i="47"/>
  <c r="W67" i="47"/>
  <c r="X67" i="47"/>
  <c r="Y67" i="47"/>
  <c r="Z67" i="47"/>
  <c r="AA67" i="47"/>
  <c r="T68" i="47"/>
  <c r="U68" i="47"/>
  <c r="V68" i="47"/>
  <c r="W68" i="47"/>
  <c r="X68" i="47"/>
  <c r="Y68" i="47"/>
  <c r="Z68" i="47"/>
  <c r="AA68" i="47"/>
  <c r="T69" i="47"/>
  <c r="U69" i="47"/>
  <c r="V69" i="47"/>
  <c r="W69" i="47"/>
  <c r="X69" i="47"/>
  <c r="Y69" i="47"/>
  <c r="Z69" i="47"/>
  <c r="AA69" i="47"/>
  <c r="T70" i="47"/>
  <c r="U70" i="47"/>
  <c r="V70" i="47"/>
  <c r="W70" i="47"/>
  <c r="X70" i="47"/>
  <c r="Y70" i="47"/>
  <c r="Z70" i="47"/>
  <c r="AA70" i="47"/>
  <c r="T71" i="47"/>
  <c r="U71" i="47"/>
  <c r="V71" i="47"/>
  <c r="W71" i="47"/>
  <c r="X71" i="47"/>
  <c r="Y71" i="47"/>
  <c r="Z71" i="47"/>
  <c r="AA71" i="47"/>
  <c r="T72" i="47"/>
  <c r="U72" i="47"/>
  <c r="V72" i="47"/>
  <c r="W72" i="47"/>
  <c r="X72" i="47"/>
  <c r="Y72" i="47"/>
  <c r="Z72" i="47"/>
  <c r="AA72" i="47"/>
  <c r="T73" i="47"/>
  <c r="U73" i="47"/>
  <c r="V73" i="47"/>
  <c r="W73" i="47"/>
  <c r="X73" i="47"/>
  <c r="Y73" i="47"/>
  <c r="Z73" i="47"/>
  <c r="AA73" i="47"/>
  <c r="T74" i="47"/>
  <c r="U74" i="47"/>
  <c r="V74" i="47"/>
  <c r="W74" i="47"/>
  <c r="X74" i="47"/>
  <c r="Y74" i="47"/>
  <c r="Z74" i="47"/>
  <c r="AA74" i="47"/>
  <c r="T75" i="47"/>
  <c r="U75" i="47"/>
  <c r="V75" i="47"/>
  <c r="W75" i="47"/>
  <c r="X75" i="47"/>
  <c r="Y75" i="47"/>
  <c r="Z75" i="47"/>
  <c r="AA75" i="47"/>
  <c r="T76" i="47"/>
  <c r="U76" i="47"/>
  <c r="V76" i="47"/>
  <c r="W76" i="47"/>
  <c r="X76" i="47"/>
  <c r="Y76" i="47"/>
  <c r="Z76" i="47"/>
  <c r="AA76" i="47"/>
  <c r="T77" i="47"/>
  <c r="U77" i="47"/>
  <c r="V77" i="47"/>
  <c r="W77" i="47"/>
  <c r="X77" i="47"/>
  <c r="Y77" i="47"/>
  <c r="Z77" i="47"/>
  <c r="AA77" i="47"/>
  <c r="T78" i="47"/>
  <c r="U78" i="47"/>
  <c r="V78" i="47"/>
  <c r="W78" i="47"/>
  <c r="X78" i="47"/>
  <c r="Y78" i="47"/>
  <c r="Z78" i="47"/>
  <c r="AA78" i="47"/>
  <c r="T79" i="47"/>
  <c r="U79" i="47"/>
  <c r="V79" i="47"/>
  <c r="W79" i="47"/>
  <c r="X79" i="47"/>
  <c r="Y79" i="47"/>
  <c r="Z79" i="47"/>
  <c r="AA79" i="47"/>
  <c r="T80" i="47"/>
  <c r="U80" i="47"/>
  <c r="V80" i="47"/>
  <c r="W80" i="47"/>
  <c r="X80" i="47"/>
  <c r="Y80" i="47"/>
  <c r="Z80" i="47"/>
  <c r="AA80" i="47"/>
  <c r="T81" i="47"/>
  <c r="U81" i="47"/>
  <c r="V81" i="47"/>
  <c r="W81" i="47"/>
  <c r="X81" i="47"/>
  <c r="Y81" i="47"/>
  <c r="Z81" i="47"/>
  <c r="AA81" i="47"/>
  <c r="T82" i="47"/>
  <c r="U82" i="47"/>
  <c r="V82" i="47"/>
  <c r="W82" i="47"/>
  <c r="X82" i="47"/>
  <c r="Y82" i="47"/>
  <c r="Z82" i="47"/>
  <c r="AA82" i="47"/>
  <c r="T83" i="47"/>
  <c r="U83" i="47"/>
  <c r="V83" i="47"/>
  <c r="W83" i="47"/>
  <c r="X83" i="47"/>
  <c r="Y83" i="47"/>
  <c r="Z83" i="47"/>
  <c r="AA83" i="47"/>
  <c r="T84" i="47"/>
  <c r="U84" i="47"/>
  <c r="V84" i="47"/>
  <c r="W84" i="47"/>
  <c r="X84" i="47"/>
  <c r="Y84" i="47"/>
  <c r="Z84" i="47"/>
  <c r="AA84" i="47"/>
  <c r="T85" i="47"/>
  <c r="U85" i="47"/>
  <c r="V85" i="47"/>
  <c r="W85" i="47"/>
  <c r="X85" i="47"/>
  <c r="Y85" i="47"/>
  <c r="Z85" i="47"/>
  <c r="AA85" i="47"/>
  <c r="T86" i="47"/>
  <c r="U86" i="47"/>
  <c r="V86" i="47"/>
  <c r="W86" i="47"/>
  <c r="X86" i="47"/>
  <c r="Y86" i="47"/>
  <c r="Z86" i="47"/>
  <c r="AA86" i="47"/>
  <c r="T87" i="47"/>
  <c r="U87" i="47"/>
  <c r="V87" i="47"/>
  <c r="W87" i="47"/>
  <c r="X87" i="47"/>
  <c r="Y87" i="47"/>
  <c r="Z87" i="47"/>
  <c r="AA87" i="47"/>
  <c r="T88" i="47"/>
  <c r="U88" i="47"/>
  <c r="V88" i="47"/>
  <c r="W88" i="47"/>
  <c r="X88" i="47"/>
  <c r="Y88" i="47"/>
  <c r="Z88" i="47"/>
  <c r="AA88" i="47"/>
  <c r="T89" i="47"/>
  <c r="U89" i="47"/>
  <c r="V89" i="47"/>
  <c r="W89" i="47"/>
  <c r="X89" i="47"/>
  <c r="Y89" i="47"/>
  <c r="Z89" i="47"/>
  <c r="AA89" i="47"/>
  <c r="T90" i="47"/>
  <c r="U90" i="47"/>
  <c r="V90" i="47"/>
  <c r="W90" i="47"/>
  <c r="X90" i="47"/>
  <c r="Y90" i="47"/>
  <c r="Z90" i="47"/>
  <c r="AA90" i="47"/>
  <c r="T91" i="47"/>
  <c r="U91" i="47"/>
  <c r="V91" i="47"/>
  <c r="W91" i="47"/>
  <c r="X91" i="47"/>
  <c r="Y91" i="47"/>
  <c r="Z91" i="47"/>
  <c r="AA91" i="47"/>
  <c r="T92" i="47"/>
  <c r="U92" i="47"/>
  <c r="V92" i="47"/>
  <c r="W92" i="47"/>
  <c r="X92" i="47"/>
  <c r="Y92" i="47"/>
  <c r="Z92" i="47"/>
  <c r="AA92" i="47"/>
  <c r="T93" i="47"/>
  <c r="U93" i="47"/>
  <c r="V93" i="47"/>
  <c r="W93" i="47"/>
  <c r="X93" i="47"/>
  <c r="Y93" i="47"/>
  <c r="Z93" i="47"/>
  <c r="AA93" i="47"/>
  <c r="T94" i="47"/>
  <c r="U94" i="47"/>
  <c r="V94" i="47"/>
  <c r="W94" i="47"/>
  <c r="X94" i="47"/>
  <c r="Y94" i="47"/>
  <c r="Z94" i="47"/>
  <c r="AA94" i="47"/>
  <c r="T95" i="47"/>
  <c r="U95" i="47"/>
  <c r="V95" i="47"/>
  <c r="W95" i="47"/>
  <c r="X95" i="47"/>
  <c r="Y95" i="47"/>
  <c r="Z95" i="47"/>
  <c r="AA95" i="47"/>
  <c r="T96" i="47"/>
  <c r="U96" i="47"/>
  <c r="V96" i="47"/>
  <c r="W96" i="47"/>
  <c r="X96" i="47"/>
  <c r="Y96" i="47"/>
  <c r="Z96" i="47"/>
  <c r="AA96" i="47"/>
  <c r="T97" i="47"/>
  <c r="U97" i="47"/>
  <c r="V97" i="47"/>
  <c r="W97" i="47"/>
  <c r="X97" i="47"/>
  <c r="Y97" i="47"/>
  <c r="Z97" i="47"/>
  <c r="AA97" i="47"/>
  <c r="T98" i="47"/>
  <c r="U98" i="47"/>
  <c r="V98" i="47"/>
  <c r="W98" i="47"/>
  <c r="X98" i="47"/>
  <c r="Y98" i="47"/>
  <c r="Z98" i="47"/>
  <c r="AA98" i="47"/>
  <c r="T99" i="47"/>
  <c r="U99" i="47"/>
  <c r="V99" i="47"/>
  <c r="W99" i="47"/>
  <c r="X99" i="47"/>
  <c r="Y99" i="47"/>
  <c r="Z99" i="47"/>
  <c r="AA99" i="47"/>
  <c r="T100" i="47"/>
  <c r="U100" i="47"/>
  <c r="V100" i="47"/>
  <c r="W100" i="47"/>
  <c r="X100" i="47"/>
  <c r="Y100" i="47"/>
  <c r="Z100" i="47"/>
  <c r="AA100" i="47"/>
  <c r="T101" i="47"/>
  <c r="U101" i="47"/>
  <c r="V101" i="47"/>
  <c r="W101" i="47"/>
  <c r="X101" i="47"/>
  <c r="Y101" i="47"/>
  <c r="Z101" i="47"/>
  <c r="AA101" i="47"/>
  <c r="T102" i="47"/>
  <c r="U102" i="47"/>
  <c r="V102" i="47"/>
  <c r="W102" i="47"/>
  <c r="X102" i="47"/>
  <c r="Y102" i="47"/>
  <c r="Z102" i="47"/>
  <c r="AA102" i="47"/>
  <c r="T103" i="47"/>
  <c r="U103" i="47"/>
  <c r="V103" i="47"/>
  <c r="W103" i="47"/>
  <c r="X103" i="47"/>
  <c r="Y103" i="47"/>
  <c r="Z103" i="47"/>
  <c r="AA103" i="47"/>
  <c r="V104" i="47"/>
  <c r="W104" i="47"/>
  <c r="X104" i="47"/>
  <c r="Y104" i="47"/>
  <c r="Z104" i="47"/>
  <c r="AA104" i="47"/>
  <c r="AA107" i="47"/>
  <c r="K19" i="41"/>
  <c r="T12" i="39"/>
  <c r="U12" i="39"/>
  <c r="V12" i="39"/>
  <c r="W12" i="39"/>
  <c r="X12" i="39"/>
  <c r="Y12" i="39"/>
  <c r="Z12" i="39"/>
  <c r="AA12" i="39"/>
  <c r="T13" i="39"/>
  <c r="U13" i="39"/>
  <c r="V13" i="39"/>
  <c r="W13" i="39"/>
  <c r="X13" i="39"/>
  <c r="Y13" i="39"/>
  <c r="Z13" i="39"/>
  <c r="AA13" i="39"/>
  <c r="T14" i="39"/>
  <c r="U14" i="39"/>
  <c r="V14" i="39"/>
  <c r="W14" i="39"/>
  <c r="X14" i="39"/>
  <c r="Y14" i="39"/>
  <c r="Z14" i="39"/>
  <c r="AA14" i="39"/>
  <c r="T15" i="39"/>
  <c r="U15" i="39"/>
  <c r="V15" i="39"/>
  <c r="W15" i="39"/>
  <c r="X15" i="39"/>
  <c r="Y15" i="39"/>
  <c r="Z15" i="39"/>
  <c r="AA15" i="39"/>
  <c r="T16" i="39"/>
  <c r="U16" i="39"/>
  <c r="V16" i="39"/>
  <c r="W16" i="39"/>
  <c r="X16" i="39"/>
  <c r="Y16" i="39"/>
  <c r="Z16" i="39"/>
  <c r="AA16" i="39"/>
  <c r="T17" i="39"/>
  <c r="U17" i="39"/>
  <c r="V17" i="39"/>
  <c r="W17" i="39"/>
  <c r="X17" i="39"/>
  <c r="Y17" i="39"/>
  <c r="Z17" i="39"/>
  <c r="AA17" i="39"/>
  <c r="T18" i="39"/>
  <c r="U18" i="39"/>
  <c r="V18" i="39"/>
  <c r="W18" i="39"/>
  <c r="X18" i="39"/>
  <c r="Y18" i="39"/>
  <c r="Z18" i="39"/>
  <c r="AA18" i="39"/>
  <c r="T19" i="39"/>
  <c r="U19" i="39"/>
  <c r="V19" i="39"/>
  <c r="W19" i="39"/>
  <c r="X19" i="39"/>
  <c r="Y19" i="39"/>
  <c r="Z19" i="39"/>
  <c r="AA19" i="39"/>
  <c r="T20" i="39"/>
  <c r="U20" i="39"/>
  <c r="V20" i="39"/>
  <c r="W20" i="39"/>
  <c r="X20" i="39"/>
  <c r="Y20" i="39"/>
  <c r="Z20" i="39"/>
  <c r="AA20" i="39"/>
  <c r="T21" i="39"/>
  <c r="U21" i="39"/>
  <c r="V21" i="39"/>
  <c r="W21" i="39"/>
  <c r="X21" i="39"/>
  <c r="Y21" i="39"/>
  <c r="Z21" i="39"/>
  <c r="AA21" i="39"/>
  <c r="T22" i="39"/>
  <c r="U22" i="39"/>
  <c r="V22" i="39"/>
  <c r="W22" i="39"/>
  <c r="X22" i="39"/>
  <c r="Y22" i="39"/>
  <c r="Z22" i="39"/>
  <c r="AA22" i="39"/>
  <c r="T23" i="39"/>
  <c r="U23" i="39"/>
  <c r="V23" i="39"/>
  <c r="W23" i="39"/>
  <c r="X23" i="39"/>
  <c r="Y23" i="39"/>
  <c r="Z23" i="39"/>
  <c r="AA23" i="39"/>
  <c r="T24" i="39"/>
  <c r="U24" i="39"/>
  <c r="V24" i="39"/>
  <c r="W24" i="39"/>
  <c r="X24" i="39"/>
  <c r="Y24" i="39"/>
  <c r="Z24" i="39"/>
  <c r="AA24" i="39"/>
  <c r="T25" i="39"/>
  <c r="U25" i="39"/>
  <c r="V25" i="39"/>
  <c r="W25" i="39"/>
  <c r="X25" i="39"/>
  <c r="Y25" i="39"/>
  <c r="Z25" i="39"/>
  <c r="AA25" i="39"/>
  <c r="T26" i="39"/>
  <c r="U26" i="39"/>
  <c r="V26" i="39"/>
  <c r="W26" i="39"/>
  <c r="X26" i="39"/>
  <c r="Y26" i="39"/>
  <c r="Z26" i="39"/>
  <c r="AA26" i="39"/>
  <c r="T27" i="39"/>
  <c r="U27" i="39"/>
  <c r="V27" i="39"/>
  <c r="W27" i="39"/>
  <c r="X27" i="39"/>
  <c r="Y27" i="39"/>
  <c r="Z27" i="39"/>
  <c r="AA27" i="39"/>
  <c r="T28" i="39"/>
  <c r="U28" i="39"/>
  <c r="V28" i="39"/>
  <c r="W28" i="39"/>
  <c r="X28" i="39"/>
  <c r="Y28" i="39"/>
  <c r="Z28" i="39"/>
  <c r="AA28" i="39"/>
  <c r="T29" i="39"/>
  <c r="U29" i="39"/>
  <c r="V29" i="39"/>
  <c r="W29" i="39"/>
  <c r="X29" i="39"/>
  <c r="Y29" i="39"/>
  <c r="Z29" i="39"/>
  <c r="AA29" i="39"/>
  <c r="T30" i="39"/>
  <c r="U30" i="39"/>
  <c r="V30" i="39"/>
  <c r="W30" i="39"/>
  <c r="X30" i="39"/>
  <c r="Y30" i="39"/>
  <c r="Z30" i="39"/>
  <c r="AA30" i="39"/>
  <c r="T31" i="39"/>
  <c r="U31" i="39"/>
  <c r="V31" i="39"/>
  <c r="W31" i="39"/>
  <c r="X31" i="39"/>
  <c r="Y31" i="39"/>
  <c r="Z31" i="39"/>
  <c r="AA31" i="39"/>
  <c r="T32" i="39"/>
  <c r="U32" i="39"/>
  <c r="V32" i="39"/>
  <c r="W32" i="39"/>
  <c r="X32" i="39"/>
  <c r="Y32" i="39"/>
  <c r="Z32" i="39"/>
  <c r="AA32" i="39"/>
  <c r="T33" i="39"/>
  <c r="U33" i="39"/>
  <c r="V33" i="39"/>
  <c r="W33" i="39"/>
  <c r="X33" i="39"/>
  <c r="Y33" i="39"/>
  <c r="Z33" i="39"/>
  <c r="AA33" i="39"/>
  <c r="T34" i="39"/>
  <c r="U34" i="39"/>
  <c r="V34" i="39"/>
  <c r="W34" i="39"/>
  <c r="X34" i="39"/>
  <c r="Y34" i="39"/>
  <c r="Z34" i="39"/>
  <c r="AA34" i="39"/>
  <c r="T35" i="39"/>
  <c r="U35" i="39"/>
  <c r="V35" i="39"/>
  <c r="W35" i="39"/>
  <c r="X35" i="39"/>
  <c r="Y35" i="39"/>
  <c r="Z35" i="39"/>
  <c r="AA35" i="39"/>
  <c r="T36" i="39"/>
  <c r="U36" i="39"/>
  <c r="V36" i="39"/>
  <c r="W36" i="39"/>
  <c r="X36" i="39"/>
  <c r="Y36" i="39"/>
  <c r="Z36" i="39"/>
  <c r="AA36" i="39"/>
  <c r="T37" i="39"/>
  <c r="U37" i="39"/>
  <c r="V37" i="39"/>
  <c r="W37" i="39"/>
  <c r="X37" i="39"/>
  <c r="Y37" i="39"/>
  <c r="Z37" i="39"/>
  <c r="AA37" i="39"/>
  <c r="T38" i="39"/>
  <c r="U38" i="39"/>
  <c r="V38" i="39"/>
  <c r="W38" i="39"/>
  <c r="X38" i="39"/>
  <c r="Y38" i="39"/>
  <c r="Z38" i="39"/>
  <c r="AA38" i="39"/>
  <c r="T39" i="39"/>
  <c r="U39" i="39"/>
  <c r="V39" i="39"/>
  <c r="W39" i="39"/>
  <c r="X39" i="39"/>
  <c r="Y39" i="39"/>
  <c r="Z39" i="39"/>
  <c r="AA39" i="39"/>
  <c r="T40" i="39"/>
  <c r="U40" i="39"/>
  <c r="V40" i="39"/>
  <c r="W40" i="39"/>
  <c r="X40" i="39"/>
  <c r="Y40" i="39"/>
  <c r="Z40" i="39"/>
  <c r="AA40" i="39"/>
  <c r="T41" i="39"/>
  <c r="U41" i="39"/>
  <c r="V41" i="39"/>
  <c r="W41" i="39"/>
  <c r="X41" i="39"/>
  <c r="Y41" i="39"/>
  <c r="Z41" i="39"/>
  <c r="AA41" i="39"/>
  <c r="T42" i="39"/>
  <c r="U42" i="39"/>
  <c r="V42" i="39"/>
  <c r="W42" i="39"/>
  <c r="X42" i="39"/>
  <c r="Y42" i="39"/>
  <c r="Z42" i="39"/>
  <c r="AA42" i="39"/>
  <c r="T43" i="39"/>
  <c r="U43" i="39"/>
  <c r="V43" i="39"/>
  <c r="W43" i="39"/>
  <c r="X43" i="39"/>
  <c r="Y43" i="39"/>
  <c r="Z43" i="39"/>
  <c r="AA43" i="39"/>
  <c r="T44" i="39"/>
  <c r="U44" i="39"/>
  <c r="V44" i="39"/>
  <c r="W44" i="39"/>
  <c r="X44" i="39"/>
  <c r="Y44" i="39"/>
  <c r="Z44" i="39"/>
  <c r="AA44" i="39"/>
  <c r="T45" i="39"/>
  <c r="U45" i="39"/>
  <c r="V45" i="39"/>
  <c r="W45" i="39"/>
  <c r="X45" i="39"/>
  <c r="Y45" i="39"/>
  <c r="Z45" i="39"/>
  <c r="AA45" i="39"/>
  <c r="T46" i="39"/>
  <c r="U46" i="39"/>
  <c r="V46" i="39"/>
  <c r="W46" i="39"/>
  <c r="X46" i="39"/>
  <c r="Y46" i="39"/>
  <c r="Z46" i="39"/>
  <c r="AA46" i="39"/>
  <c r="T47" i="39"/>
  <c r="U47" i="39"/>
  <c r="V47" i="39"/>
  <c r="W47" i="39"/>
  <c r="X47" i="39"/>
  <c r="Y47" i="39"/>
  <c r="Z47" i="39"/>
  <c r="AA47" i="39"/>
  <c r="T48" i="39"/>
  <c r="U48" i="39"/>
  <c r="V48" i="39"/>
  <c r="W48" i="39"/>
  <c r="X48" i="39"/>
  <c r="Y48" i="39"/>
  <c r="Z48" i="39"/>
  <c r="AA48" i="39"/>
  <c r="T49" i="39"/>
  <c r="U49" i="39"/>
  <c r="V49" i="39"/>
  <c r="W49" i="39"/>
  <c r="X49" i="39"/>
  <c r="Y49" i="39"/>
  <c r="Z49" i="39"/>
  <c r="AA49" i="39"/>
  <c r="T50" i="39"/>
  <c r="U50" i="39"/>
  <c r="V50" i="39"/>
  <c r="W50" i="39"/>
  <c r="X50" i="39"/>
  <c r="Y50" i="39"/>
  <c r="Z50" i="39"/>
  <c r="AA50" i="39"/>
  <c r="T51" i="39"/>
  <c r="U51" i="39"/>
  <c r="V51" i="39"/>
  <c r="W51" i="39"/>
  <c r="X51" i="39"/>
  <c r="Y51" i="39"/>
  <c r="Z51" i="39"/>
  <c r="AA51" i="39"/>
  <c r="T52" i="39"/>
  <c r="U52" i="39"/>
  <c r="V52" i="39"/>
  <c r="W52" i="39"/>
  <c r="X52" i="39"/>
  <c r="Y52" i="39"/>
  <c r="Z52" i="39"/>
  <c r="AA52" i="39"/>
  <c r="T53" i="39"/>
  <c r="U53" i="39"/>
  <c r="V53" i="39"/>
  <c r="W53" i="39"/>
  <c r="X53" i="39"/>
  <c r="Y53" i="39"/>
  <c r="Z53" i="39"/>
  <c r="AA53" i="39"/>
  <c r="T54" i="39"/>
  <c r="U54" i="39"/>
  <c r="V54" i="39"/>
  <c r="W54" i="39"/>
  <c r="X54" i="39"/>
  <c r="Y54" i="39"/>
  <c r="Z54" i="39"/>
  <c r="AA54" i="39"/>
  <c r="T55" i="39"/>
  <c r="U55" i="39"/>
  <c r="V55" i="39"/>
  <c r="W55" i="39"/>
  <c r="X55" i="39"/>
  <c r="Y55" i="39"/>
  <c r="Z55" i="39"/>
  <c r="AA55" i="39"/>
  <c r="T56" i="39"/>
  <c r="U56" i="39"/>
  <c r="V56" i="39"/>
  <c r="W56" i="39"/>
  <c r="X56" i="39"/>
  <c r="Y56" i="39"/>
  <c r="Z56" i="39"/>
  <c r="AA56" i="39"/>
  <c r="T57" i="39"/>
  <c r="U57" i="39"/>
  <c r="V57" i="39"/>
  <c r="W57" i="39"/>
  <c r="X57" i="39"/>
  <c r="Y57" i="39"/>
  <c r="Z57" i="39"/>
  <c r="AA57" i="39"/>
  <c r="T58" i="39"/>
  <c r="U58" i="39"/>
  <c r="V58" i="39"/>
  <c r="W58" i="39"/>
  <c r="X58" i="39"/>
  <c r="Y58" i="39"/>
  <c r="Z58" i="39"/>
  <c r="AA58" i="39"/>
  <c r="T59" i="39"/>
  <c r="U59" i="39"/>
  <c r="V59" i="39"/>
  <c r="W59" i="39"/>
  <c r="X59" i="39"/>
  <c r="Y59" i="39"/>
  <c r="Z59" i="39"/>
  <c r="AA59" i="39"/>
  <c r="T60" i="39"/>
  <c r="U60" i="39"/>
  <c r="V60" i="39"/>
  <c r="W60" i="39"/>
  <c r="X60" i="39"/>
  <c r="Y60" i="39"/>
  <c r="Z60" i="39"/>
  <c r="AA60" i="39"/>
  <c r="T61" i="39"/>
  <c r="U61" i="39"/>
  <c r="V61" i="39"/>
  <c r="W61" i="39"/>
  <c r="X61" i="39"/>
  <c r="Y61" i="39"/>
  <c r="Z61" i="39"/>
  <c r="AA61" i="39"/>
  <c r="T62" i="39"/>
  <c r="U62" i="39"/>
  <c r="V62" i="39"/>
  <c r="W62" i="39"/>
  <c r="X62" i="39"/>
  <c r="Y62" i="39"/>
  <c r="Z62" i="39"/>
  <c r="AA62" i="39"/>
  <c r="T63" i="39"/>
  <c r="U63" i="39"/>
  <c r="V63" i="39"/>
  <c r="W63" i="39"/>
  <c r="X63" i="39"/>
  <c r="Y63" i="39"/>
  <c r="Z63" i="39"/>
  <c r="AA63" i="39"/>
  <c r="T64" i="39"/>
  <c r="U64" i="39"/>
  <c r="V64" i="39"/>
  <c r="W64" i="39"/>
  <c r="X64" i="39"/>
  <c r="Y64" i="39"/>
  <c r="Z64" i="39"/>
  <c r="AA64" i="39"/>
  <c r="T65" i="39"/>
  <c r="U65" i="39"/>
  <c r="V65" i="39"/>
  <c r="W65" i="39"/>
  <c r="X65" i="39"/>
  <c r="Y65" i="39"/>
  <c r="Z65" i="39"/>
  <c r="AA65" i="39"/>
  <c r="T66" i="39"/>
  <c r="U66" i="39"/>
  <c r="V66" i="39"/>
  <c r="W66" i="39"/>
  <c r="X66" i="39"/>
  <c r="Y66" i="39"/>
  <c r="Z66" i="39"/>
  <c r="AA66" i="39"/>
  <c r="T67" i="39"/>
  <c r="U67" i="39"/>
  <c r="V67" i="39"/>
  <c r="W67" i="39"/>
  <c r="X67" i="39"/>
  <c r="Y67" i="39"/>
  <c r="Z67" i="39"/>
  <c r="AA67" i="39"/>
  <c r="T68" i="39"/>
  <c r="U68" i="39"/>
  <c r="V68" i="39"/>
  <c r="W68" i="39"/>
  <c r="X68" i="39"/>
  <c r="Y68" i="39"/>
  <c r="Z68" i="39"/>
  <c r="AA68" i="39"/>
  <c r="T69" i="39"/>
  <c r="U69" i="39"/>
  <c r="V69" i="39"/>
  <c r="W69" i="39"/>
  <c r="X69" i="39"/>
  <c r="Y69" i="39"/>
  <c r="Z69" i="39"/>
  <c r="AA69" i="39"/>
  <c r="T70" i="39"/>
  <c r="U70" i="39"/>
  <c r="V70" i="39"/>
  <c r="W70" i="39"/>
  <c r="X70" i="39"/>
  <c r="Y70" i="39"/>
  <c r="Z70" i="39"/>
  <c r="AA70" i="39"/>
  <c r="T71" i="39"/>
  <c r="U71" i="39"/>
  <c r="V71" i="39"/>
  <c r="W71" i="39"/>
  <c r="X71" i="39"/>
  <c r="Y71" i="39"/>
  <c r="Z71" i="39"/>
  <c r="AA71" i="39"/>
  <c r="T72" i="39"/>
  <c r="U72" i="39"/>
  <c r="V72" i="39"/>
  <c r="W72" i="39"/>
  <c r="X72" i="39"/>
  <c r="Y72" i="39"/>
  <c r="Z72" i="39"/>
  <c r="AA72" i="39"/>
  <c r="T73" i="39"/>
  <c r="U73" i="39"/>
  <c r="V73" i="39"/>
  <c r="W73" i="39"/>
  <c r="X73" i="39"/>
  <c r="Y73" i="39"/>
  <c r="Z73" i="39"/>
  <c r="AA73" i="39"/>
  <c r="T74" i="39"/>
  <c r="U74" i="39"/>
  <c r="V74" i="39"/>
  <c r="W74" i="39"/>
  <c r="X74" i="39"/>
  <c r="Y74" i="39"/>
  <c r="Z74" i="39"/>
  <c r="AA74" i="39"/>
  <c r="T75" i="39"/>
  <c r="U75" i="39"/>
  <c r="V75" i="39"/>
  <c r="W75" i="39"/>
  <c r="X75" i="39"/>
  <c r="Y75" i="39"/>
  <c r="Z75" i="39"/>
  <c r="AA75" i="39"/>
  <c r="T76" i="39"/>
  <c r="U76" i="39"/>
  <c r="V76" i="39"/>
  <c r="W76" i="39"/>
  <c r="X76" i="39"/>
  <c r="Y76" i="39"/>
  <c r="Z76" i="39"/>
  <c r="AA76" i="39"/>
  <c r="T77" i="39"/>
  <c r="U77" i="39"/>
  <c r="V77" i="39"/>
  <c r="W77" i="39"/>
  <c r="X77" i="39"/>
  <c r="Y77" i="39"/>
  <c r="Z77" i="39"/>
  <c r="AA77" i="39"/>
  <c r="T78" i="39"/>
  <c r="U78" i="39"/>
  <c r="V78" i="39"/>
  <c r="W78" i="39"/>
  <c r="X78" i="39"/>
  <c r="Y78" i="39"/>
  <c r="Z78" i="39"/>
  <c r="AA78" i="39"/>
  <c r="T79" i="39"/>
  <c r="U79" i="39"/>
  <c r="V79" i="39"/>
  <c r="W79" i="39"/>
  <c r="X79" i="39"/>
  <c r="Y79" i="39"/>
  <c r="Z79" i="39"/>
  <c r="AA79" i="39"/>
  <c r="T80" i="39"/>
  <c r="U80" i="39"/>
  <c r="V80" i="39"/>
  <c r="W80" i="39"/>
  <c r="X80" i="39"/>
  <c r="Y80" i="39"/>
  <c r="Z80" i="39"/>
  <c r="AA80" i="39"/>
  <c r="T81" i="39"/>
  <c r="U81" i="39"/>
  <c r="V81" i="39"/>
  <c r="W81" i="39"/>
  <c r="X81" i="39"/>
  <c r="Y81" i="39"/>
  <c r="Z81" i="39"/>
  <c r="AA81" i="39"/>
  <c r="T82" i="39"/>
  <c r="U82" i="39"/>
  <c r="V82" i="39"/>
  <c r="W82" i="39"/>
  <c r="X82" i="39"/>
  <c r="Y82" i="39"/>
  <c r="Z82" i="39"/>
  <c r="AA82" i="39"/>
  <c r="T83" i="39"/>
  <c r="U83" i="39"/>
  <c r="V83" i="39"/>
  <c r="W83" i="39"/>
  <c r="X83" i="39"/>
  <c r="Y83" i="39"/>
  <c r="Z83" i="39"/>
  <c r="AA83" i="39"/>
  <c r="T84" i="39"/>
  <c r="U84" i="39"/>
  <c r="V84" i="39"/>
  <c r="W84" i="39"/>
  <c r="X84" i="39"/>
  <c r="Y84" i="39"/>
  <c r="Z84" i="39"/>
  <c r="AA84" i="39"/>
  <c r="T85" i="39"/>
  <c r="U85" i="39"/>
  <c r="V85" i="39"/>
  <c r="W85" i="39"/>
  <c r="X85" i="39"/>
  <c r="Y85" i="39"/>
  <c r="Z85" i="39"/>
  <c r="AA85" i="39"/>
  <c r="T86" i="39"/>
  <c r="U86" i="39"/>
  <c r="V86" i="39"/>
  <c r="W86" i="39"/>
  <c r="X86" i="39"/>
  <c r="Y86" i="39"/>
  <c r="Z86" i="39"/>
  <c r="AA86" i="39"/>
  <c r="T87" i="39"/>
  <c r="U87" i="39"/>
  <c r="V87" i="39"/>
  <c r="W87" i="39"/>
  <c r="X87" i="39"/>
  <c r="Y87" i="39"/>
  <c r="Z87" i="39"/>
  <c r="AA87" i="39"/>
  <c r="T88" i="39"/>
  <c r="U88" i="39"/>
  <c r="V88" i="39"/>
  <c r="W88" i="39"/>
  <c r="X88" i="39"/>
  <c r="Y88" i="39"/>
  <c r="Z88" i="39"/>
  <c r="AA88" i="39"/>
  <c r="T89" i="39"/>
  <c r="U89" i="39"/>
  <c r="V89" i="39"/>
  <c r="W89" i="39"/>
  <c r="X89" i="39"/>
  <c r="Y89" i="39"/>
  <c r="Z89" i="39"/>
  <c r="AA89" i="39"/>
  <c r="T90" i="39"/>
  <c r="U90" i="39"/>
  <c r="V90" i="39"/>
  <c r="W90" i="39"/>
  <c r="X90" i="39"/>
  <c r="Y90" i="39"/>
  <c r="Z90" i="39"/>
  <c r="AA90" i="39"/>
  <c r="T91" i="39"/>
  <c r="U91" i="39"/>
  <c r="V91" i="39"/>
  <c r="W91" i="39"/>
  <c r="X91" i="39"/>
  <c r="Y91" i="39"/>
  <c r="Z91" i="39"/>
  <c r="AA91" i="39"/>
  <c r="T92" i="39"/>
  <c r="U92" i="39"/>
  <c r="V92" i="39"/>
  <c r="W92" i="39"/>
  <c r="X92" i="39"/>
  <c r="Y92" i="39"/>
  <c r="Z92" i="39"/>
  <c r="AA92" i="39"/>
  <c r="T93" i="39"/>
  <c r="U93" i="39"/>
  <c r="V93" i="39"/>
  <c r="W93" i="39"/>
  <c r="X93" i="39"/>
  <c r="Y93" i="39"/>
  <c r="Z93" i="39"/>
  <c r="AA93" i="39"/>
  <c r="T94" i="39"/>
  <c r="U94" i="39"/>
  <c r="V94" i="39"/>
  <c r="W94" i="39"/>
  <c r="X94" i="39"/>
  <c r="Y94" i="39"/>
  <c r="Z94" i="39"/>
  <c r="AA94" i="39"/>
  <c r="T95" i="39"/>
  <c r="U95" i="39"/>
  <c r="V95" i="39"/>
  <c r="W95" i="39"/>
  <c r="X95" i="39"/>
  <c r="Y95" i="39"/>
  <c r="Z95" i="39"/>
  <c r="AA95" i="39"/>
  <c r="T96" i="39"/>
  <c r="U96" i="39"/>
  <c r="V96" i="39"/>
  <c r="W96" i="39"/>
  <c r="X96" i="39"/>
  <c r="Y96" i="39"/>
  <c r="Z96" i="39"/>
  <c r="AA96" i="39"/>
  <c r="T97" i="39"/>
  <c r="U97" i="39"/>
  <c r="V97" i="39"/>
  <c r="W97" i="39"/>
  <c r="X97" i="39"/>
  <c r="Y97" i="39"/>
  <c r="Z97" i="39"/>
  <c r="AA97" i="39"/>
  <c r="T98" i="39"/>
  <c r="U98" i="39"/>
  <c r="V98" i="39"/>
  <c r="W98" i="39"/>
  <c r="X98" i="39"/>
  <c r="Y98" i="39"/>
  <c r="Z98" i="39"/>
  <c r="AA98" i="39"/>
  <c r="T99" i="39"/>
  <c r="U99" i="39"/>
  <c r="V99" i="39"/>
  <c r="W99" i="39"/>
  <c r="X99" i="39"/>
  <c r="Y99" i="39"/>
  <c r="Z99" i="39"/>
  <c r="AA99" i="39"/>
  <c r="T100" i="39"/>
  <c r="U100" i="39"/>
  <c r="V100" i="39"/>
  <c r="W100" i="39"/>
  <c r="X100" i="39"/>
  <c r="Y100" i="39"/>
  <c r="Z100" i="39"/>
  <c r="AA100" i="39"/>
  <c r="T101" i="39"/>
  <c r="U101" i="39"/>
  <c r="V101" i="39"/>
  <c r="W101" i="39"/>
  <c r="X101" i="39"/>
  <c r="Y101" i="39"/>
  <c r="Z101" i="39"/>
  <c r="AA101" i="39"/>
  <c r="T102" i="39"/>
  <c r="U102" i="39"/>
  <c r="V102" i="39"/>
  <c r="W102" i="39"/>
  <c r="X102" i="39"/>
  <c r="Y102" i="39"/>
  <c r="Z102" i="39"/>
  <c r="AA102" i="39"/>
  <c r="T103" i="39"/>
  <c r="U103" i="39"/>
  <c r="V103" i="39"/>
  <c r="W103" i="39"/>
  <c r="X103" i="39"/>
  <c r="Y103" i="39"/>
  <c r="Z103" i="39"/>
  <c r="AA103" i="39"/>
  <c r="V104" i="39"/>
  <c r="W104" i="39"/>
  <c r="X104" i="39"/>
  <c r="Y104" i="39"/>
  <c r="Z104" i="39"/>
  <c r="AA104" i="39"/>
  <c r="AA107" i="39"/>
  <c r="K18" i="41"/>
  <c r="K20" i="41"/>
  <c r="C36" i="41"/>
  <c r="C45" i="41"/>
  <c r="F36" i="41"/>
  <c r="G36" i="41"/>
  <c r="F35" i="41"/>
  <c r="G35" i="41"/>
  <c r="F34" i="41"/>
  <c r="G34" i="41"/>
  <c r="F45" i="41"/>
  <c r="G45" i="41"/>
  <c r="AC12" i="46"/>
  <c r="AD12" i="46"/>
  <c r="AE12" i="46"/>
  <c r="AF12" i="46"/>
  <c r="AG12" i="46"/>
  <c r="AH12" i="46"/>
  <c r="H12" i="46"/>
  <c r="AI12" i="46"/>
  <c r="AC13" i="46"/>
  <c r="AD13" i="46"/>
  <c r="AE13" i="46"/>
  <c r="AF13" i="46"/>
  <c r="AG13" i="46"/>
  <c r="AH13" i="46"/>
  <c r="H13" i="46"/>
  <c r="AI13" i="46"/>
  <c r="AC14" i="46"/>
  <c r="AD14" i="46"/>
  <c r="AE14" i="46"/>
  <c r="AF14" i="46"/>
  <c r="AG14" i="46"/>
  <c r="AH14" i="46"/>
  <c r="H14" i="46"/>
  <c r="AI14" i="46"/>
  <c r="AC15" i="46"/>
  <c r="AD15" i="46"/>
  <c r="AE15" i="46"/>
  <c r="AF15" i="46"/>
  <c r="AG15" i="46"/>
  <c r="AH15" i="46"/>
  <c r="H15" i="46"/>
  <c r="AI15" i="46"/>
  <c r="J15" i="8"/>
  <c r="D15" i="8"/>
  <c r="J33" i="8"/>
  <c r="D33" i="8"/>
  <c r="F67" i="42"/>
  <c r="F16" i="46"/>
  <c r="M16" i="46"/>
  <c r="AC16" i="46"/>
  <c r="J13" i="8"/>
  <c r="D13" i="8"/>
  <c r="J18" i="8"/>
  <c r="D18" i="8"/>
  <c r="L16" i="46"/>
  <c r="AD16" i="46"/>
  <c r="N16" i="46"/>
  <c r="AE16" i="46"/>
  <c r="O16" i="46"/>
  <c r="AF16" i="46"/>
  <c r="P16" i="46"/>
  <c r="AG16" i="46"/>
  <c r="AH16" i="46"/>
  <c r="H16" i="46"/>
  <c r="AI16" i="46"/>
  <c r="F17" i="46"/>
  <c r="M17" i="46"/>
  <c r="AC17" i="46"/>
  <c r="L17" i="46"/>
  <c r="AD17" i="46"/>
  <c r="N17" i="46"/>
  <c r="AE17" i="46"/>
  <c r="O17" i="46"/>
  <c r="AF17" i="46"/>
  <c r="P17" i="46"/>
  <c r="AG17" i="46"/>
  <c r="AH17" i="46"/>
  <c r="H17" i="46"/>
  <c r="AI17" i="46"/>
  <c r="F18" i="46"/>
  <c r="M18" i="46"/>
  <c r="AC18" i="46"/>
  <c r="L18" i="46"/>
  <c r="AD18" i="46"/>
  <c r="N18" i="46"/>
  <c r="AE18" i="46"/>
  <c r="O18" i="46"/>
  <c r="AF18" i="46"/>
  <c r="P18" i="46"/>
  <c r="AG18" i="46"/>
  <c r="AH18" i="46"/>
  <c r="H18" i="46"/>
  <c r="AI18" i="46"/>
  <c r="F19" i="46"/>
  <c r="M19" i="46"/>
  <c r="AC19" i="46"/>
  <c r="L19" i="46"/>
  <c r="AD19" i="46"/>
  <c r="N19" i="46"/>
  <c r="AE19" i="46"/>
  <c r="O19" i="46"/>
  <c r="AF19" i="46"/>
  <c r="P19" i="46"/>
  <c r="AG19" i="46"/>
  <c r="AH19" i="46"/>
  <c r="H19" i="46"/>
  <c r="AI19" i="46"/>
  <c r="F20" i="46"/>
  <c r="M20" i="46"/>
  <c r="AC20" i="46"/>
  <c r="L20" i="46"/>
  <c r="AD20" i="46"/>
  <c r="N20" i="46"/>
  <c r="AE20" i="46"/>
  <c r="O20" i="46"/>
  <c r="AF20" i="46"/>
  <c r="P20" i="46"/>
  <c r="AG20" i="46"/>
  <c r="AH20" i="46"/>
  <c r="H20" i="46"/>
  <c r="AI20" i="46"/>
  <c r="F21" i="46"/>
  <c r="M21" i="46"/>
  <c r="AC21" i="46"/>
  <c r="L21" i="46"/>
  <c r="AD21" i="46"/>
  <c r="N21" i="46"/>
  <c r="AE21" i="46"/>
  <c r="O21" i="46"/>
  <c r="AF21" i="46"/>
  <c r="P21" i="46"/>
  <c r="AG21" i="46"/>
  <c r="AH21" i="46"/>
  <c r="H21" i="46"/>
  <c r="AI21" i="46"/>
  <c r="F22" i="46"/>
  <c r="M22" i="46"/>
  <c r="AC22" i="46"/>
  <c r="L22" i="46"/>
  <c r="AD22" i="46"/>
  <c r="N22" i="46"/>
  <c r="AE22" i="46"/>
  <c r="O22" i="46"/>
  <c r="AF22" i="46"/>
  <c r="P22" i="46"/>
  <c r="AG22" i="46"/>
  <c r="AH22" i="46"/>
  <c r="H22" i="46"/>
  <c r="AI22" i="46"/>
  <c r="F23" i="46"/>
  <c r="M23" i="46"/>
  <c r="AC23" i="46"/>
  <c r="L23" i="46"/>
  <c r="AD23" i="46"/>
  <c r="N23" i="46"/>
  <c r="AE23" i="46"/>
  <c r="O23" i="46"/>
  <c r="AF23" i="46"/>
  <c r="P23" i="46"/>
  <c r="AG23" i="46"/>
  <c r="AH23" i="46"/>
  <c r="H23" i="46"/>
  <c r="AI23" i="46"/>
  <c r="F24" i="46"/>
  <c r="M24" i="46"/>
  <c r="AC24" i="46"/>
  <c r="L24" i="46"/>
  <c r="AD24" i="46"/>
  <c r="N24" i="46"/>
  <c r="AE24" i="46"/>
  <c r="O24" i="46"/>
  <c r="AF24" i="46"/>
  <c r="P24" i="46"/>
  <c r="AG24" i="46"/>
  <c r="AH24" i="46"/>
  <c r="H24" i="46"/>
  <c r="AI24" i="46"/>
  <c r="F25" i="46"/>
  <c r="M25" i="46"/>
  <c r="AC25" i="46"/>
  <c r="L25" i="46"/>
  <c r="AD25" i="46"/>
  <c r="N25" i="46"/>
  <c r="AE25" i="46"/>
  <c r="O25" i="46"/>
  <c r="AF25" i="46"/>
  <c r="P25" i="46"/>
  <c r="AG25" i="46"/>
  <c r="AH25" i="46"/>
  <c r="H25" i="46"/>
  <c r="AI25" i="46"/>
  <c r="F26" i="46"/>
  <c r="M26" i="46"/>
  <c r="AC26" i="46"/>
  <c r="L26" i="46"/>
  <c r="AD26" i="46"/>
  <c r="N26" i="46"/>
  <c r="AE26" i="46"/>
  <c r="O26" i="46"/>
  <c r="AF26" i="46"/>
  <c r="P26" i="46"/>
  <c r="AG26" i="46"/>
  <c r="AH26" i="46"/>
  <c r="H26" i="46"/>
  <c r="AI26" i="46"/>
  <c r="F27" i="46"/>
  <c r="M27" i="46"/>
  <c r="AC27" i="46"/>
  <c r="L27" i="46"/>
  <c r="AD27" i="46"/>
  <c r="N27" i="46"/>
  <c r="AE27" i="46"/>
  <c r="O27" i="46"/>
  <c r="AF27" i="46"/>
  <c r="P27" i="46"/>
  <c r="AG27" i="46"/>
  <c r="AH27" i="46"/>
  <c r="H27" i="46"/>
  <c r="AI27" i="46"/>
  <c r="F28" i="46"/>
  <c r="M28" i="46"/>
  <c r="AC28" i="46"/>
  <c r="L28" i="46"/>
  <c r="AD28" i="46"/>
  <c r="F68" i="42"/>
  <c r="G28" i="46"/>
  <c r="N28" i="46"/>
  <c r="AE28" i="46"/>
  <c r="O28" i="46"/>
  <c r="AF28" i="46"/>
  <c r="P28" i="46"/>
  <c r="AG28" i="46"/>
  <c r="AH28" i="46"/>
  <c r="H28" i="46"/>
  <c r="AI28" i="46"/>
  <c r="F29" i="46"/>
  <c r="M29" i="46"/>
  <c r="AC29" i="46"/>
  <c r="L29" i="46"/>
  <c r="AD29" i="46"/>
  <c r="G29" i="46"/>
  <c r="N29" i="46"/>
  <c r="AE29" i="46"/>
  <c r="O29" i="46"/>
  <c r="AF29" i="46"/>
  <c r="P29" i="46"/>
  <c r="AG29" i="46"/>
  <c r="AH29" i="46"/>
  <c r="H29" i="46"/>
  <c r="AI29" i="46"/>
  <c r="F30" i="46"/>
  <c r="M30" i="46"/>
  <c r="AC30" i="46"/>
  <c r="L30" i="46"/>
  <c r="AD30" i="46"/>
  <c r="G30" i="46"/>
  <c r="N30" i="46"/>
  <c r="AE30" i="46"/>
  <c r="O30" i="46"/>
  <c r="AF30" i="46"/>
  <c r="P30" i="46"/>
  <c r="AG30" i="46"/>
  <c r="AH30" i="46"/>
  <c r="H30" i="46"/>
  <c r="AI30" i="46"/>
  <c r="F31" i="46"/>
  <c r="M31" i="46"/>
  <c r="AC31" i="46"/>
  <c r="L31" i="46"/>
  <c r="AD31" i="46"/>
  <c r="G31" i="46"/>
  <c r="N31" i="46"/>
  <c r="AE31" i="46"/>
  <c r="O31" i="46"/>
  <c r="AF31" i="46"/>
  <c r="P31" i="46"/>
  <c r="AG31" i="46"/>
  <c r="AH31" i="46"/>
  <c r="H31" i="46"/>
  <c r="AI31" i="46"/>
  <c r="F32" i="46"/>
  <c r="M32" i="46"/>
  <c r="AC32" i="46"/>
  <c r="L32" i="46"/>
  <c r="AD32" i="46"/>
  <c r="G32" i="46"/>
  <c r="N32" i="46"/>
  <c r="AE32" i="46"/>
  <c r="O32" i="46"/>
  <c r="AF32" i="46"/>
  <c r="P32" i="46"/>
  <c r="AG32" i="46"/>
  <c r="AH32" i="46"/>
  <c r="H32" i="46"/>
  <c r="AI32" i="46"/>
  <c r="F33" i="46"/>
  <c r="M33" i="46"/>
  <c r="AC33" i="46"/>
  <c r="L33" i="46"/>
  <c r="AD33" i="46"/>
  <c r="G33" i="46"/>
  <c r="N33" i="46"/>
  <c r="AE33" i="46"/>
  <c r="O33" i="46"/>
  <c r="AF33" i="46"/>
  <c r="P33" i="46"/>
  <c r="AG33" i="46"/>
  <c r="AH33" i="46"/>
  <c r="H33" i="46"/>
  <c r="AI33" i="46"/>
  <c r="F34" i="46"/>
  <c r="M34" i="46"/>
  <c r="AC34" i="46"/>
  <c r="L34" i="46"/>
  <c r="AD34" i="46"/>
  <c r="G34" i="46"/>
  <c r="N34" i="46"/>
  <c r="AE34" i="46"/>
  <c r="O34" i="46"/>
  <c r="AF34" i="46"/>
  <c r="P34" i="46"/>
  <c r="AG34" i="46"/>
  <c r="AH34" i="46"/>
  <c r="H34" i="46"/>
  <c r="AI34" i="46"/>
  <c r="F35" i="46"/>
  <c r="M35" i="46"/>
  <c r="AC35" i="46"/>
  <c r="L35" i="46"/>
  <c r="AD35" i="46"/>
  <c r="G35" i="46"/>
  <c r="N35" i="46"/>
  <c r="AE35" i="46"/>
  <c r="O35" i="46"/>
  <c r="AF35" i="46"/>
  <c r="P35" i="46"/>
  <c r="AG35" i="46"/>
  <c r="AH35" i="46"/>
  <c r="H35" i="46"/>
  <c r="AI35" i="46"/>
  <c r="F36" i="46"/>
  <c r="M36" i="46"/>
  <c r="AC36" i="46"/>
  <c r="L36" i="46"/>
  <c r="AD36" i="46"/>
  <c r="G36" i="46"/>
  <c r="N36" i="46"/>
  <c r="AE36" i="46"/>
  <c r="O36" i="46"/>
  <c r="AF36" i="46"/>
  <c r="P36" i="46"/>
  <c r="AG36" i="46"/>
  <c r="AH36" i="46"/>
  <c r="H36" i="46"/>
  <c r="AI36" i="46"/>
  <c r="F37" i="46"/>
  <c r="M37" i="46"/>
  <c r="AC37" i="46"/>
  <c r="L37" i="46"/>
  <c r="AD37" i="46"/>
  <c r="G37" i="46"/>
  <c r="N37" i="46"/>
  <c r="AE37" i="46"/>
  <c r="O37" i="46"/>
  <c r="AF37" i="46"/>
  <c r="P37" i="46"/>
  <c r="AG37" i="46"/>
  <c r="AH37" i="46"/>
  <c r="H37" i="46"/>
  <c r="AI37" i="46"/>
  <c r="F38" i="46"/>
  <c r="M38" i="46"/>
  <c r="AC38" i="46"/>
  <c r="L38" i="46"/>
  <c r="AD38" i="46"/>
  <c r="G38" i="46"/>
  <c r="N38" i="46"/>
  <c r="AE38" i="46"/>
  <c r="O38" i="46"/>
  <c r="AF38" i="46"/>
  <c r="P38" i="46"/>
  <c r="AG38" i="46"/>
  <c r="AH38" i="46"/>
  <c r="H38" i="46"/>
  <c r="AI38" i="46"/>
  <c r="F39" i="46"/>
  <c r="M39" i="46"/>
  <c r="AC39" i="46"/>
  <c r="L39" i="46"/>
  <c r="AD39" i="46"/>
  <c r="G39" i="46"/>
  <c r="N39" i="46"/>
  <c r="AE39" i="46"/>
  <c r="O39" i="46"/>
  <c r="AF39" i="46"/>
  <c r="P39" i="46"/>
  <c r="AG39" i="46"/>
  <c r="AH39" i="46"/>
  <c r="H39" i="46"/>
  <c r="AI39" i="46"/>
  <c r="F40" i="46"/>
  <c r="M40" i="46"/>
  <c r="AC40" i="46"/>
  <c r="L40" i="46"/>
  <c r="AD40" i="46"/>
  <c r="G40" i="46"/>
  <c r="N40" i="46"/>
  <c r="AE40" i="46"/>
  <c r="O40" i="46"/>
  <c r="AF40" i="46"/>
  <c r="P40" i="46"/>
  <c r="AG40" i="46"/>
  <c r="AH40" i="46"/>
  <c r="H40" i="46"/>
  <c r="AI40" i="46"/>
  <c r="F41" i="46"/>
  <c r="M41" i="46"/>
  <c r="AC41" i="46"/>
  <c r="L41" i="46"/>
  <c r="AD41" i="46"/>
  <c r="G41" i="46"/>
  <c r="N41" i="46"/>
  <c r="AE41" i="46"/>
  <c r="O41" i="46"/>
  <c r="AF41" i="46"/>
  <c r="P41" i="46"/>
  <c r="AG41" i="46"/>
  <c r="AH41" i="46"/>
  <c r="H41" i="46"/>
  <c r="AI41" i="46"/>
  <c r="F42" i="46"/>
  <c r="M42" i="46"/>
  <c r="AC42" i="46"/>
  <c r="L42" i="46"/>
  <c r="AD42" i="46"/>
  <c r="G42" i="46"/>
  <c r="N42" i="46"/>
  <c r="AE42" i="46"/>
  <c r="O42" i="46"/>
  <c r="AF42" i="46"/>
  <c r="P42" i="46"/>
  <c r="AG42" i="46"/>
  <c r="AH42" i="46"/>
  <c r="H42" i="46"/>
  <c r="AI42" i="46"/>
  <c r="F43" i="46"/>
  <c r="M43" i="46"/>
  <c r="AC43" i="46"/>
  <c r="L43" i="46"/>
  <c r="AD43" i="46"/>
  <c r="G43" i="46"/>
  <c r="N43" i="46"/>
  <c r="AE43" i="46"/>
  <c r="O43" i="46"/>
  <c r="AF43" i="46"/>
  <c r="P43" i="46"/>
  <c r="AG43" i="46"/>
  <c r="AH43" i="46"/>
  <c r="H43" i="46"/>
  <c r="AI43" i="46"/>
  <c r="F44" i="46"/>
  <c r="M44" i="46"/>
  <c r="AC44" i="46"/>
  <c r="L44" i="46"/>
  <c r="AD44" i="46"/>
  <c r="G44" i="46"/>
  <c r="N44" i="46"/>
  <c r="AE44" i="46"/>
  <c r="O44" i="46"/>
  <c r="AF44" i="46"/>
  <c r="P44" i="46"/>
  <c r="AG44" i="46"/>
  <c r="AH44" i="46"/>
  <c r="H44" i="46"/>
  <c r="AI44" i="46"/>
  <c r="F45" i="46"/>
  <c r="M45" i="46"/>
  <c r="AC45" i="46"/>
  <c r="L45" i="46"/>
  <c r="AD45" i="46"/>
  <c r="G45" i="46"/>
  <c r="N45" i="46"/>
  <c r="AE45" i="46"/>
  <c r="O45" i="46"/>
  <c r="AF45" i="46"/>
  <c r="P45" i="46"/>
  <c r="AG45" i="46"/>
  <c r="AH45" i="46"/>
  <c r="H45" i="46"/>
  <c r="AI45" i="46"/>
  <c r="F46" i="46"/>
  <c r="M46" i="46"/>
  <c r="AC46" i="46"/>
  <c r="L46" i="46"/>
  <c r="AD46" i="46"/>
  <c r="G46" i="46"/>
  <c r="N46" i="46"/>
  <c r="AE46" i="46"/>
  <c r="O46" i="46"/>
  <c r="AF46" i="46"/>
  <c r="P46" i="46"/>
  <c r="AG46" i="46"/>
  <c r="AH46" i="46"/>
  <c r="H46" i="46"/>
  <c r="AI46" i="46"/>
  <c r="F47" i="46"/>
  <c r="M47" i="46"/>
  <c r="AC47" i="46"/>
  <c r="L47" i="46"/>
  <c r="AD47" i="46"/>
  <c r="G47" i="46"/>
  <c r="N47" i="46"/>
  <c r="AE47" i="46"/>
  <c r="O47" i="46"/>
  <c r="AF47" i="46"/>
  <c r="P47" i="46"/>
  <c r="AG47" i="46"/>
  <c r="AH47" i="46"/>
  <c r="H47" i="46"/>
  <c r="AI47" i="46"/>
  <c r="F48" i="46"/>
  <c r="M48" i="46"/>
  <c r="AC48" i="46"/>
  <c r="L48" i="46"/>
  <c r="AD48" i="46"/>
  <c r="G48" i="46"/>
  <c r="N48" i="46"/>
  <c r="AE48" i="46"/>
  <c r="O48" i="46"/>
  <c r="AF48" i="46"/>
  <c r="P48" i="46"/>
  <c r="AG48" i="46"/>
  <c r="AH48" i="46"/>
  <c r="H48" i="46"/>
  <c r="AI48" i="46"/>
  <c r="F49" i="46"/>
  <c r="M49" i="46"/>
  <c r="AC49" i="46"/>
  <c r="L49" i="46"/>
  <c r="AD49" i="46"/>
  <c r="G49" i="46"/>
  <c r="N49" i="46"/>
  <c r="AE49" i="46"/>
  <c r="O49" i="46"/>
  <c r="AF49" i="46"/>
  <c r="P49" i="46"/>
  <c r="AG49" i="46"/>
  <c r="AH49" i="46"/>
  <c r="H49" i="46"/>
  <c r="AI49" i="46"/>
  <c r="F50" i="46"/>
  <c r="M50" i="46"/>
  <c r="AC50" i="46"/>
  <c r="L50" i="46"/>
  <c r="AD50" i="46"/>
  <c r="G50" i="46"/>
  <c r="N50" i="46"/>
  <c r="AE50" i="46"/>
  <c r="O50" i="46"/>
  <c r="AF50" i="46"/>
  <c r="P50" i="46"/>
  <c r="AG50" i="46"/>
  <c r="AH50" i="46"/>
  <c r="H50" i="46"/>
  <c r="AI50" i="46"/>
  <c r="F51" i="46"/>
  <c r="M51" i="46"/>
  <c r="AC51" i="46"/>
  <c r="L51" i="46"/>
  <c r="AD51" i="46"/>
  <c r="G51" i="46"/>
  <c r="N51" i="46"/>
  <c r="AE51" i="46"/>
  <c r="O51" i="46"/>
  <c r="AF51" i="46"/>
  <c r="P51" i="46"/>
  <c r="AG51" i="46"/>
  <c r="AH51" i="46"/>
  <c r="H51" i="46"/>
  <c r="AI51" i="46"/>
  <c r="F52" i="46"/>
  <c r="M52" i="46"/>
  <c r="AC52" i="46"/>
  <c r="L52" i="46"/>
  <c r="AD52" i="46"/>
  <c r="G52" i="46"/>
  <c r="N52" i="46"/>
  <c r="AE52" i="46"/>
  <c r="O52" i="46"/>
  <c r="AF52" i="46"/>
  <c r="P52" i="46"/>
  <c r="AG52" i="46"/>
  <c r="AH52" i="46"/>
  <c r="H52" i="46"/>
  <c r="AI52" i="46"/>
  <c r="F53" i="46"/>
  <c r="M53" i="46"/>
  <c r="AC53" i="46"/>
  <c r="L53" i="46"/>
  <c r="AD53" i="46"/>
  <c r="G53" i="46"/>
  <c r="N53" i="46"/>
  <c r="AE53" i="46"/>
  <c r="O53" i="46"/>
  <c r="AF53" i="46"/>
  <c r="P53" i="46"/>
  <c r="AG53" i="46"/>
  <c r="AH53" i="46"/>
  <c r="H53" i="46"/>
  <c r="AI53" i="46"/>
  <c r="F54" i="46"/>
  <c r="M54" i="46"/>
  <c r="AC54" i="46"/>
  <c r="L54" i="46"/>
  <c r="AD54" i="46"/>
  <c r="G54" i="46"/>
  <c r="N54" i="46"/>
  <c r="AE54" i="46"/>
  <c r="O54" i="46"/>
  <c r="AF54" i="46"/>
  <c r="P54" i="46"/>
  <c r="AG54" i="46"/>
  <c r="AH54" i="46"/>
  <c r="H54" i="46"/>
  <c r="AI54" i="46"/>
  <c r="F55" i="46"/>
  <c r="M55" i="46"/>
  <c r="AC55" i="46"/>
  <c r="L55" i="46"/>
  <c r="AD55" i="46"/>
  <c r="G55" i="46"/>
  <c r="N55" i="46"/>
  <c r="AE55" i="46"/>
  <c r="O55" i="46"/>
  <c r="AF55" i="46"/>
  <c r="P55" i="46"/>
  <c r="AG55" i="46"/>
  <c r="AH55" i="46"/>
  <c r="H55" i="46"/>
  <c r="AI55" i="46"/>
  <c r="F56" i="46"/>
  <c r="M56" i="46"/>
  <c r="AC56" i="46"/>
  <c r="L56" i="46"/>
  <c r="AD56" i="46"/>
  <c r="G56" i="46"/>
  <c r="N56" i="46"/>
  <c r="AE56" i="46"/>
  <c r="O56" i="46"/>
  <c r="AF56" i="46"/>
  <c r="P56" i="46"/>
  <c r="AG56" i="46"/>
  <c r="AH56" i="46"/>
  <c r="H56" i="46"/>
  <c r="AI56" i="46"/>
  <c r="F57" i="46"/>
  <c r="M57" i="46"/>
  <c r="AC57" i="46"/>
  <c r="L57" i="46"/>
  <c r="AD57" i="46"/>
  <c r="G57" i="46"/>
  <c r="N57" i="46"/>
  <c r="AE57" i="46"/>
  <c r="O57" i="46"/>
  <c r="AF57" i="46"/>
  <c r="P57" i="46"/>
  <c r="AG57" i="46"/>
  <c r="AH57" i="46"/>
  <c r="H57" i="46"/>
  <c r="AI57" i="46"/>
  <c r="F58" i="46"/>
  <c r="M58" i="46"/>
  <c r="AC58" i="46"/>
  <c r="L58" i="46"/>
  <c r="AD58" i="46"/>
  <c r="G58" i="46"/>
  <c r="N58" i="46"/>
  <c r="AE58" i="46"/>
  <c r="O58" i="46"/>
  <c r="AF58" i="46"/>
  <c r="P58" i="46"/>
  <c r="AG58" i="46"/>
  <c r="AH58" i="46"/>
  <c r="H58" i="46"/>
  <c r="AI58" i="46"/>
  <c r="F59" i="46"/>
  <c r="M59" i="46"/>
  <c r="AC59" i="46"/>
  <c r="L59" i="46"/>
  <c r="AD59" i="46"/>
  <c r="G59" i="46"/>
  <c r="N59" i="46"/>
  <c r="AE59" i="46"/>
  <c r="O59" i="46"/>
  <c r="AF59" i="46"/>
  <c r="P59" i="46"/>
  <c r="AG59" i="46"/>
  <c r="AH59" i="46"/>
  <c r="H59" i="46"/>
  <c r="AI59" i="46"/>
  <c r="F60" i="46"/>
  <c r="M60" i="46"/>
  <c r="AC60" i="46"/>
  <c r="L60" i="46"/>
  <c r="AD60" i="46"/>
  <c r="G60" i="46"/>
  <c r="N60" i="46"/>
  <c r="AE60" i="46"/>
  <c r="O60" i="46"/>
  <c r="AF60" i="46"/>
  <c r="P60" i="46"/>
  <c r="AG60" i="46"/>
  <c r="AH60" i="46"/>
  <c r="H60" i="46"/>
  <c r="AI60" i="46"/>
  <c r="F61" i="46"/>
  <c r="M61" i="46"/>
  <c r="AC61" i="46"/>
  <c r="L61" i="46"/>
  <c r="AD61" i="46"/>
  <c r="G61" i="46"/>
  <c r="N61" i="46"/>
  <c r="AE61" i="46"/>
  <c r="O61" i="46"/>
  <c r="AF61" i="46"/>
  <c r="P61" i="46"/>
  <c r="AG61" i="46"/>
  <c r="AH61" i="46"/>
  <c r="H61" i="46"/>
  <c r="AI61" i="46"/>
  <c r="F62" i="46"/>
  <c r="M62" i="46"/>
  <c r="AC62" i="46"/>
  <c r="L62" i="46"/>
  <c r="AD62" i="46"/>
  <c r="G62" i="46"/>
  <c r="N62" i="46"/>
  <c r="AE62" i="46"/>
  <c r="O62" i="46"/>
  <c r="AF62" i="46"/>
  <c r="P62" i="46"/>
  <c r="AG62" i="46"/>
  <c r="AH62" i="46"/>
  <c r="H62" i="46"/>
  <c r="AI62" i="46"/>
  <c r="F63" i="46"/>
  <c r="M63" i="46"/>
  <c r="AC63" i="46"/>
  <c r="L63" i="46"/>
  <c r="AD63" i="46"/>
  <c r="G63" i="46"/>
  <c r="N63" i="46"/>
  <c r="AE63" i="46"/>
  <c r="O63" i="46"/>
  <c r="AF63" i="46"/>
  <c r="P63" i="46"/>
  <c r="AG63" i="46"/>
  <c r="AH63" i="46"/>
  <c r="H63" i="46"/>
  <c r="AI63" i="46"/>
  <c r="F64" i="46"/>
  <c r="M64" i="46"/>
  <c r="AC64" i="46"/>
  <c r="L64" i="46"/>
  <c r="AD64" i="46"/>
  <c r="G64" i="46"/>
  <c r="N64" i="46"/>
  <c r="AE64" i="46"/>
  <c r="O64" i="46"/>
  <c r="AF64" i="46"/>
  <c r="P64" i="46"/>
  <c r="AG64" i="46"/>
  <c r="AH64" i="46"/>
  <c r="H64" i="46"/>
  <c r="AI64" i="46"/>
  <c r="F65" i="46"/>
  <c r="M65" i="46"/>
  <c r="AC65" i="46"/>
  <c r="L65" i="46"/>
  <c r="AD65" i="46"/>
  <c r="G65" i="46"/>
  <c r="N65" i="46"/>
  <c r="AE65" i="46"/>
  <c r="O65" i="46"/>
  <c r="AF65" i="46"/>
  <c r="P65" i="46"/>
  <c r="AG65" i="46"/>
  <c r="AH65" i="46"/>
  <c r="H65" i="46"/>
  <c r="AI65" i="46"/>
  <c r="F66" i="46"/>
  <c r="M66" i="46"/>
  <c r="AC66" i="46"/>
  <c r="L66" i="46"/>
  <c r="AD66" i="46"/>
  <c r="G66" i="46"/>
  <c r="N66" i="46"/>
  <c r="AE66" i="46"/>
  <c r="O66" i="46"/>
  <c r="AF66" i="46"/>
  <c r="P66" i="46"/>
  <c r="AG66" i="46"/>
  <c r="AH66" i="46"/>
  <c r="H66" i="46"/>
  <c r="AI66" i="46"/>
  <c r="F67" i="46"/>
  <c r="M67" i="46"/>
  <c r="AC67" i="46"/>
  <c r="L67" i="46"/>
  <c r="AD67" i="46"/>
  <c r="G67" i="46"/>
  <c r="N67" i="46"/>
  <c r="AE67" i="46"/>
  <c r="O67" i="46"/>
  <c r="AF67" i="46"/>
  <c r="P67" i="46"/>
  <c r="AG67" i="46"/>
  <c r="AH67" i="46"/>
  <c r="H67" i="46"/>
  <c r="AI67" i="46"/>
  <c r="F68" i="46"/>
  <c r="M68" i="46"/>
  <c r="AC68" i="46"/>
  <c r="L68" i="46"/>
  <c r="AD68" i="46"/>
  <c r="G68" i="46"/>
  <c r="N68" i="46"/>
  <c r="AE68" i="46"/>
  <c r="O68" i="46"/>
  <c r="AF68" i="46"/>
  <c r="P68" i="46"/>
  <c r="AG68" i="46"/>
  <c r="AH68" i="46"/>
  <c r="H68" i="46"/>
  <c r="AI68" i="46"/>
  <c r="F69" i="46"/>
  <c r="M69" i="46"/>
  <c r="AC69" i="46"/>
  <c r="L69" i="46"/>
  <c r="AD69" i="46"/>
  <c r="G69" i="46"/>
  <c r="N69" i="46"/>
  <c r="AE69" i="46"/>
  <c r="O69" i="46"/>
  <c r="AF69" i="46"/>
  <c r="P69" i="46"/>
  <c r="AG69" i="46"/>
  <c r="AH69" i="46"/>
  <c r="H69" i="46"/>
  <c r="AI69" i="46"/>
  <c r="F70" i="46"/>
  <c r="M70" i="46"/>
  <c r="AC70" i="46"/>
  <c r="L70" i="46"/>
  <c r="AD70" i="46"/>
  <c r="G70" i="46"/>
  <c r="N70" i="46"/>
  <c r="AE70" i="46"/>
  <c r="O70" i="46"/>
  <c r="AF70" i="46"/>
  <c r="P70" i="46"/>
  <c r="AG70" i="46"/>
  <c r="AH70" i="46"/>
  <c r="H70" i="46"/>
  <c r="AI70" i="46"/>
  <c r="F71" i="46"/>
  <c r="M71" i="46"/>
  <c r="AC71" i="46"/>
  <c r="L71" i="46"/>
  <c r="AD71" i="46"/>
  <c r="G71" i="46"/>
  <c r="N71" i="46"/>
  <c r="AE71" i="46"/>
  <c r="O71" i="46"/>
  <c r="AF71" i="46"/>
  <c r="P71" i="46"/>
  <c r="AG71" i="46"/>
  <c r="AH71" i="46"/>
  <c r="H71" i="46"/>
  <c r="AI71" i="46"/>
  <c r="F72" i="46"/>
  <c r="M72" i="46"/>
  <c r="AC72" i="46"/>
  <c r="L72" i="46"/>
  <c r="AD72" i="46"/>
  <c r="G72" i="46"/>
  <c r="N72" i="46"/>
  <c r="AE72" i="46"/>
  <c r="O72" i="46"/>
  <c r="AF72" i="46"/>
  <c r="P72" i="46"/>
  <c r="AG72" i="46"/>
  <c r="AH72" i="46"/>
  <c r="H72" i="46"/>
  <c r="AI72" i="46"/>
  <c r="F73" i="46"/>
  <c r="M73" i="46"/>
  <c r="AC73" i="46"/>
  <c r="L73" i="46"/>
  <c r="AD73" i="46"/>
  <c r="G73" i="46"/>
  <c r="N73" i="46"/>
  <c r="AE73" i="46"/>
  <c r="O73" i="46"/>
  <c r="AF73" i="46"/>
  <c r="P73" i="46"/>
  <c r="AG73" i="46"/>
  <c r="AH73" i="46"/>
  <c r="H73" i="46"/>
  <c r="AI73" i="46"/>
  <c r="F74" i="46"/>
  <c r="M74" i="46"/>
  <c r="AC74" i="46"/>
  <c r="L74" i="46"/>
  <c r="AD74" i="46"/>
  <c r="G74" i="46"/>
  <c r="N74" i="46"/>
  <c r="AE74" i="46"/>
  <c r="O74" i="46"/>
  <c r="AF74" i="46"/>
  <c r="P74" i="46"/>
  <c r="AG74" i="46"/>
  <c r="AH74" i="46"/>
  <c r="H74" i="46"/>
  <c r="AI74" i="46"/>
  <c r="F75" i="46"/>
  <c r="M75" i="46"/>
  <c r="AC75" i="46"/>
  <c r="L75" i="46"/>
  <c r="AD75" i="46"/>
  <c r="G75" i="46"/>
  <c r="N75" i="46"/>
  <c r="AE75" i="46"/>
  <c r="O75" i="46"/>
  <c r="AF75" i="46"/>
  <c r="P75" i="46"/>
  <c r="AG75" i="46"/>
  <c r="AH75" i="46"/>
  <c r="H75" i="46"/>
  <c r="AI75" i="46"/>
  <c r="F76" i="46"/>
  <c r="M76" i="46"/>
  <c r="AC76" i="46"/>
  <c r="L76" i="46"/>
  <c r="AD76" i="46"/>
  <c r="G76" i="46"/>
  <c r="N76" i="46"/>
  <c r="AE76" i="46"/>
  <c r="O76" i="46"/>
  <c r="AF76" i="46"/>
  <c r="P76" i="46"/>
  <c r="AG76" i="46"/>
  <c r="AH76" i="46"/>
  <c r="H76" i="46"/>
  <c r="AI76" i="46"/>
  <c r="F77" i="46"/>
  <c r="M77" i="46"/>
  <c r="AC77" i="46"/>
  <c r="L77" i="46"/>
  <c r="AD77" i="46"/>
  <c r="G77" i="46"/>
  <c r="N77" i="46"/>
  <c r="AE77" i="46"/>
  <c r="O77" i="46"/>
  <c r="AF77" i="46"/>
  <c r="P77" i="46"/>
  <c r="AG77" i="46"/>
  <c r="AH77" i="46"/>
  <c r="H77" i="46"/>
  <c r="AI77" i="46"/>
  <c r="F78" i="46"/>
  <c r="M78" i="46"/>
  <c r="AC78" i="46"/>
  <c r="L78" i="46"/>
  <c r="AD78" i="46"/>
  <c r="G78" i="46"/>
  <c r="N78" i="46"/>
  <c r="AE78" i="46"/>
  <c r="O78" i="46"/>
  <c r="AF78" i="46"/>
  <c r="P78" i="46"/>
  <c r="AG78" i="46"/>
  <c r="AH78" i="46"/>
  <c r="H78" i="46"/>
  <c r="AI78" i="46"/>
  <c r="F79" i="46"/>
  <c r="M79" i="46"/>
  <c r="AC79" i="46"/>
  <c r="L79" i="46"/>
  <c r="AD79" i="46"/>
  <c r="G79" i="46"/>
  <c r="N79" i="46"/>
  <c r="AE79" i="46"/>
  <c r="O79" i="46"/>
  <c r="AF79" i="46"/>
  <c r="P79" i="46"/>
  <c r="AG79" i="46"/>
  <c r="AH79" i="46"/>
  <c r="H79" i="46"/>
  <c r="AI79" i="46"/>
  <c r="F80" i="46"/>
  <c r="M80" i="46"/>
  <c r="AC80" i="46"/>
  <c r="L80" i="46"/>
  <c r="AD80" i="46"/>
  <c r="G80" i="46"/>
  <c r="N80" i="46"/>
  <c r="AE80" i="46"/>
  <c r="O80" i="46"/>
  <c r="AF80" i="46"/>
  <c r="P80" i="46"/>
  <c r="AG80" i="46"/>
  <c r="AH80" i="46"/>
  <c r="H80" i="46"/>
  <c r="AI80" i="46"/>
  <c r="F81" i="46"/>
  <c r="M81" i="46"/>
  <c r="AC81" i="46"/>
  <c r="L81" i="46"/>
  <c r="AD81" i="46"/>
  <c r="G81" i="46"/>
  <c r="N81" i="46"/>
  <c r="AE81" i="46"/>
  <c r="O81" i="46"/>
  <c r="AF81" i="46"/>
  <c r="P81" i="46"/>
  <c r="AG81" i="46"/>
  <c r="AH81" i="46"/>
  <c r="H81" i="46"/>
  <c r="AI81" i="46"/>
  <c r="F82" i="46"/>
  <c r="M82" i="46"/>
  <c r="AC82" i="46"/>
  <c r="L82" i="46"/>
  <c r="AD82" i="46"/>
  <c r="G82" i="46"/>
  <c r="N82" i="46"/>
  <c r="AE82" i="46"/>
  <c r="O82" i="46"/>
  <c r="AF82" i="46"/>
  <c r="P82" i="46"/>
  <c r="AG82" i="46"/>
  <c r="AH82" i="46"/>
  <c r="H82" i="46"/>
  <c r="AI82" i="46"/>
  <c r="F83" i="46"/>
  <c r="M83" i="46"/>
  <c r="AC83" i="46"/>
  <c r="L83" i="46"/>
  <c r="AD83" i="46"/>
  <c r="G83" i="46"/>
  <c r="N83" i="46"/>
  <c r="AE83" i="46"/>
  <c r="O83" i="46"/>
  <c r="AF83" i="46"/>
  <c r="P83" i="46"/>
  <c r="AG83" i="46"/>
  <c r="AH83" i="46"/>
  <c r="H83" i="46"/>
  <c r="AI83" i="46"/>
  <c r="F84" i="46"/>
  <c r="M84" i="46"/>
  <c r="AC84" i="46"/>
  <c r="L84" i="46"/>
  <c r="AD84" i="46"/>
  <c r="G84" i="46"/>
  <c r="N84" i="46"/>
  <c r="AE84" i="46"/>
  <c r="O84" i="46"/>
  <c r="AF84" i="46"/>
  <c r="P84" i="46"/>
  <c r="AG84" i="46"/>
  <c r="AH84" i="46"/>
  <c r="H84" i="46"/>
  <c r="AI84" i="46"/>
  <c r="F85" i="46"/>
  <c r="M85" i="46"/>
  <c r="AC85" i="46"/>
  <c r="L85" i="46"/>
  <c r="AD85" i="46"/>
  <c r="G85" i="46"/>
  <c r="N85" i="46"/>
  <c r="AE85" i="46"/>
  <c r="O85" i="46"/>
  <c r="AF85" i="46"/>
  <c r="P85" i="46"/>
  <c r="AG85" i="46"/>
  <c r="AH85" i="46"/>
  <c r="H85" i="46"/>
  <c r="AI85" i="46"/>
  <c r="F86" i="46"/>
  <c r="M86" i="46"/>
  <c r="AC86" i="46"/>
  <c r="L86" i="46"/>
  <c r="AD86" i="46"/>
  <c r="G86" i="46"/>
  <c r="N86" i="46"/>
  <c r="AE86" i="46"/>
  <c r="O86" i="46"/>
  <c r="AF86" i="46"/>
  <c r="P86" i="46"/>
  <c r="AG86" i="46"/>
  <c r="AH86" i="46"/>
  <c r="H86" i="46"/>
  <c r="AI86" i="46"/>
  <c r="F87" i="46"/>
  <c r="M87" i="46"/>
  <c r="AC87" i="46"/>
  <c r="L87" i="46"/>
  <c r="AD87" i="46"/>
  <c r="G87" i="46"/>
  <c r="N87" i="46"/>
  <c r="AE87" i="46"/>
  <c r="O87" i="46"/>
  <c r="AF87" i="46"/>
  <c r="P87" i="46"/>
  <c r="AG87" i="46"/>
  <c r="AH87" i="46"/>
  <c r="H87" i="46"/>
  <c r="AI87" i="46"/>
  <c r="F88" i="46"/>
  <c r="M88" i="46"/>
  <c r="AC88" i="46"/>
  <c r="L88" i="46"/>
  <c r="AD88" i="46"/>
  <c r="G88" i="46"/>
  <c r="N88" i="46"/>
  <c r="AE88" i="46"/>
  <c r="O88" i="46"/>
  <c r="AF88" i="46"/>
  <c r="P88" i="46"/>
  <c r="AG88" i="46"/>
  <c r="AH88" i="46"/>
  <c r="H88" i="46"/>
  <c r="AI88" i="46"/>
  <c r="F89" i="46"/>
  <c r="M89" i="46"/>
  <c r="AC89" i="46"/>
  <c r="L89" i="46"/>
  <c r="AD89" i="46"/>
  <c r="G89" i="46"/>
  <c r="N89" i="46"/>
  <c r="AE89" i="46"/>
  <c r="O89" i="46"/>
  <c r="AF89" i="46"/>
  <c r="P89" i="46"/>
  <c r="AG89" i="46"/>
  <c r="AH89" i="46"/>
  <c r="H89" i="46"/>
  <c r="AI89" i="46"/>
  <c r="F90" i="46"/>
  <c r="M90" i="46"/>
  <c r="AC90" i="46"/>
  <c r="L90" i="46"/>
  <c r="AD90" i="46"/>
  <c r="G90" i="46"/>
  <c r="N90" i="46"/>
  <c r="AE90" i="46"/>
  <c r="O90" i="46"/>
  <c r="AF90" i="46"/>
  <c r="P90" i="46"/>
  <c r="AG90" i="46"/>
  <c r="AH90" i="46"/>
  <c r="H90" i="46"/>
  <c r="AI90" i="46"/>
  <c r="F91" i="46"/>
  <c r="M91" i="46"/>
  <c r="AC91" i="46"/>
  <c r="L91" i="46"/>
  <c r="AD91" i="46"/>
  <c r="G91" i="46"/>
  <c r="N91" i="46"/>
  <c r="AE91" i="46"/>
  <c r="O91" i="46"/>
  <c r="AF91" i="46"/>
  <c r="P91" i="46"/>
  <c r="AG91" i="46"/>
  <c r="AH91" i="46"/>
  <c r="H91" i="46"/>
  <c r="AI91" i="46"/>
  <c r="F92" i="46"/>
  <c r="M92" i="46"/>
  <c r="AC92" i="46"/>
  <c r="L92" i="46"/>
  <c r="AD92" i="46"/>
  <c r="G92" i="46"/>
  <c r="N92" i="46"/>
  <c r="AE92" i="46"/>
  <c r="O92" i="46"/>
  <c r="AF92" i="46"/>
  <c r="P92" i="46"/>
  <c r="AG92" i="46"/>
  <c r="AH92" i="46"/>
  <c r="H92" i="46"/>
  <c r="AI92" i="46"/>
  <c r="F93" i="46"/>
  <c r="M93" i="46"/>
  <c r="AC93" i="46"/>
  <c r="L93" i="46"/>
  <c r="AD93" i="46"/>
  <c r="G93" i="46"/>
  <c r="N93" i="46"/>
  <c r="AE93" i="46"/>
  <c r="O93" i="46"/>
  <c r="AF93" i="46"/>
  <c r="P93" i="46"/>
  <c r="AG93" i="46"/>
  <c r="AH93" i="46"/>
  <c r="H93" i="46"/>
  <c r="AI93" i="46"/>
  <c r="F94" i="46"/>
  <c r="M94" i="46"/>
  <c r="AC94" i="46"/>
  <c r="L94" i="46"/>
  <c r="AD94" i="46"/>
  <c r="G94" i="46"/>
  <c r="N94" i="46"/>
  <c r="AE94" i="46"/>
  <c r="O94" i="46"/>
  <c r="AF94" i="46"/>
  <c r="P94" i="46"/>
  <c r="AG94" i="46"/>
  <c r="AH94" i="46"/>
  <c r="H94" i="46"/>
  <c r="AI94" i="46"/>
  <c r="F95" i="46"/>
  <c r="M95" i="46"/>
  <c r="AC95" i="46"/>
  <c r="L95" i="46"/>
  <c r="AD95" i="46"/>
  <c r="G95" i="46"/>
  <c r="N95" i="46"/>
  <c r="AE95" i="46"/>
  <c r="O95" i="46"/>
  <c r="AF95" i="46"/>
  <c r="P95" i="46"/>
  <c r="AG95" i="46"/>
  <c r="AH95" i="46"/>
  <c r="H95" i="46"/>
  <c r="AI95" i="46"/>
  <c r="F96" i="46"/>
  <c r="M96" i="46"/>
  <c r="AC96" i="46"/>
  <c r="L96" i="46"/>
  <c r="AD96" i="46"/>
  <c r="G96" i="46"/>
  <c r="N96" i="46"/>
  <c r="AE96" i="46"/>
  <c r="O96" i="46"/>
  <c r="AF96" i="46"/>
  <c r="P96" i="46"/>
  <c r="AG96" i="46"/>
  <c r="AH96" i="46"/>
  <c r="H96" i="46"/>
  <c r="AI96" i="46"/>
  <c r="F97" i="46"/>
  <c r="M97" i="46"/>
  <c r="AC97" i="46"/>
  <c r="L97" i="46"/>
  <c r="AD97" i="46"/>
  <c r="G97" i="46"/>
  <c r="N97" i="46"/>
  <c r="AE97" i="46"/>
  <c r="O97" i="46"/>
  <c r="AF97" i="46"/>
  <c r="P97" i="46"/>
  <c r="AG97" i="46"/>
  <c r="AH97" i="46"/>
  <c r="H97" i="46"/>
  <c r="AI97" i="46"/>
  <c r="F98" i="46"/>
  <c r="M98" i="46"/>
  <c r="AC98" i="46"/>
  <c r="L98" i="46"/>
  <c r="AD98" i="46"/>
  <c r="G98" i="46"/>
  <c r="N98" i="46"/>
  <c r="AE98" i="46"/>
  <c r="O98" i="46"/>
  <c r="AF98" i="46"/>
  <c r="P98" i="46"/>
  <c r="AG98" i="46"/>
  <c r="AH98" i="46"/>
  <c r="H98" i="46"/>
  <c r="AI98" i="46"/>
  <c r="F99" i="46"/>
  <c r="M99" i="46"/>
  <c r="AC99" i="46"/>
  <c r="L99" i="46"/>
  <c r="AD99" i="46"/>
  <c r="G99" i="46"/>
  <c r="N99" i="46"/>
  <c r="AE99" i="46"/>
  <c r="O99" i="46"/>
  <c r="AF99" i="46"/>
  <c r="P99" i="46"/>
  <c r="AG99" i="46"/>
  <c r="AH99" i="46"/>
  <c r="H99" i="46"/>
  <c r="AI99" i="46"/>
  <c r="F100" i="46"/>
  <c r="M100" i="46"/>
  <c r="AC100" i="46"/>
  <c r="L100" i="46"/>
  <c r="AD100" i="46"/>
  <c r="G100" i="46"/>
  <c r="N100" i="46"/>
  <c r="AE100" i="46"/>
  <c r="O100" i="46"/>
  <c r="AF100" i="46"/>
  <c r="P100" i="46"/>
  <c r="AG100" i="46"/>
  <c r="AH100" i="46"/>
  <c r="H100" i="46"/>
  <c r="AI100" i="46"/>
  <c r="F101" i="46"/>
  <c r="M101" i="46"/>
  <c r="AC101" i="46"/>
  <c r="L101" i="46"/>
  <c r="AD101" i="46"/>
  <c r="G101" i="46"/>
  <c r="N101" i="46"/>
  <c r="AE101" i="46"/>
  <c r="O101" i="46"/>
  <c r="AF101" i="46"/>
  <c r="P101" i="46"/>
  <c r="AG101" i="46"/>
  <c r="AH101" i="46"/>
  <c r="H101" i="46"/>
  <c r="AI101" i="46"/>
  <c r="F102" i="46"/>
  <c r="M102" i="46"/>
  <c r="AC102" i="46"/>
  <c r="L102" i="46"/>
  <c r="AD102" i="46"/>
  <c r="G102" i="46"/>
  <c r="N102" i="46"/>
  <c r="AE102" i="46"/>
  <c r="O102" i="46"/>
  <c r="AF102" i="46"/>
  <c r="P102" i="46"/>
  <c r="AG102" i="46"/>
  <c r="AH102" i="46"/>
  <c r="H102" i="46"/>
  <c r="AI102" i="46"/>
  <c r="F103" i="46"/>
  <c r="M103" i="46"/>
  <c r="AC103" i="46"/>
  <c r="L103" i="46"/>
  <c r="AD103" i="46"/>
  <c r="G103" i="46"/>
  <c r="N103" i="46"/>
  <c r="AE103" i="46"/>
  <c r="O103" i="46"/>
  <c r="AF103" i="46"/>
  <c r="P103" i="46"/>
  <c r="AG103" i="46"/>
  <c r="AH103" i="46"/>
  <c r="H103" i="46"/>
  <c r="AI103" i="46"/>
  <c r="F104" i="46"/>
  <c r="M104" i="46"/>
  <c r="AC104" i="46"/>
  <c r="L104" i="46"/>
  <c r="AD104" i="46"/>
  <c r="G104" i="46"/>
  <c r="N104" i="46"/>
  <c r="AE104" i="46"/>
  <c r="O104" i="46"/>
  <c r="AF104" i="46"/>
  <c r="P104" i="46"/>
  <c r="AG104" i="46"/>
  <c r="AH104" i="46"/>
  <c r="H104" i="46"/>
  <c r="AI104" i="46"/>
  <c r="AI107" i="46"/>
  <c r="H14" i="41"/>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H8" i="25"/>
  <c r="I14" i="41"/>
  <c r="J14" i="41"/>
  <c r="AC12" i="37"/>
  <c r="AD12" i="37"/>
  <c r="AE12" i="37"/>
  <c r="AF12" i="37"/>
  <c r="AG12" i="37"/>
  <c r="AH12" i="37"/>
  <c r="H12" i="37"/>
  <c r="AI12" i="37"/>
  <c r="AC13" i="37"/>
  <c r="AD13" i="37"/>
  <c r="AE13" i="37"/>
  <c r="AF13" i="37"/>
  <c r="AG13" i="37"/>
  <c r="AH13" i="37"/>
  <c r="H13" i="37"/>
  <c r="AI13" i="37"/>
  <c r="AC14" i="37"/>
  <c r="AD14" i="37"/>
  <c r="AE14" i="37"/>
  <c r="AF14" i="37"/>
  <c r="AG14" i="37"/>
  <c r="AH14" i="37"/>
  <c r="H14" i="37"/>
  <c r="AI14" i="37"/>
  <c r="AC15" i="37"/>
  <c r="AD15" i="37"/>
  <c r="AE15" i="37"/>
  <c r="AF15" i="37"/>
  <c r="AG15" i="37"/>
  <c r="AH15" i="37"/>
  <c r="H15" i="37"/>
  <c r="AI15" i="37"/>
  <c r="D67" i="42"/>
  <c r="F16" i="37"/>
  <c r="M16" i="37"/>
  <c r="AC16" i="37"/>
  <c r="L16" i="37"/>
  <c r="AD16" i="37"/>
  <c r="N16" i="37"/>
  <c r="AE16" i="37"/>
  <c r="O16" i="37"/>
  <c r="AF16" i="37"/>
  <c r="P16" i="37"/>
  <c r="AG16" i="37"/>
  <c r="AH16" i="37"/>
  <c r="H16" i="37"/>
  <c r="AI16" i="37"/>
  <c r="F17" i="37"/>
  <c r="M17" i="37"/>
  <c r="AC17" i="37"/>
  <c r="L17" i="37"/>
  <c r="AD17" i="37"/>
  <c r="N17" i="37"/>
  <c r="AE17" i="37"/>
  <c r="O17" i="37"/>
  <c r="AF17" i="37"/>
  <c r="P17" i="37"/>
  <c r="AG17" i="37"/>
  <c r="AH17" i="37"/>
  <c r="H17" i="37"/>
  <c r="AI17" i="37"/>
  <c r="F18" i="37"/>
  <c r="M18" i="37"/>
  <c r="AC18" i="37"/>
  <c r="L18" i="37"/>
  <c r="AD18" i="37"/>
  <c r="N18" i="37"/>
  <c r="AE18" i="37"/>
  <c r="O18" i="37"/>
  <c r="AF18" i="37"/>
  <c r="P18" i="37"/>
  <c r="AG18" i="37"/>
  <c r="AH18" i="37"/>
  <c r="H18" i="37"/>
  <c r="AI18" i="37"/>
  <c r="F19" i="37"/>
  <c r="M19" i="37"/>
  <c r="AC19" i="37"/>
  <c r="L19" i="37"/>
  <c r="AD19" i="37"/>
  <c r="N19" i="37"/>
  <c r="AE19" i="37"/>
  <c r="O19" i="37"/>
  <c r="AF19" i="37"/>
  <c r="P19" i="37"/>
  <c r="AG19" i="37"/>
  <c r="AH19" i="37"/>
  <c r="H19" i="37"/>
  <c r="AI19" i="37"/>
  <c r="F20" i="37"/>
  <c r="M20" i="37"/>
  <c r="AC20" i="37"/>
  <c r="L20" i="37"/>
  <c r="AD20" i="37"/>
  <c r="N20" i="37"/>
  <c r="AE20" i="37"/>
  <c r="O20" i="37"/>
  <c r="AF20" i="37"/>
  <c r="P20" i="37"/>
  <c r="AG20" i="37"/>
  <c r="AH20" i="37"/>
  <c r="H20" i="37"/>
  <c r="AI20" i="37"/>
  <c r="F21" i="37"/>
  <c r="M21" i="37"/>
  <c r="AC21" i="37"/>
  <c r="L21" i="37"/>
  <c r="AD21" i="37"/>
  <c r="N21" i="37"/>
  <c r="AE21" i="37"/>
  <c r="O21" i="37"/>
  <c r="AF21" i="37"/>
  <c r="P21" i="37"/>
  <c r="AG21" i="37"/>
  <c r="AH21" i="37"/>
  <c r="H21" i="37"/>
  <c r="AI21" i="37"/>
  <c r="F22" i="37"/>
  <c r="M22" i="37"/>
  <c r="AC22" i="37"/>
  <c r="L22" i="37"/>
  <c r="AD22" i="37"/>
  <c r="N22" i="37"/>
  <c r="AE22" i="37"/>
  <c r="O22" i="37"/>
  <c r="AF22" i="37"/>
  <c r="P22" i="37"/>
  <c r="AG22" i="37"/>
  <c r="AH22" i="37"/>
  <c r="H22" i="37"/>
  <c r="AI22" i="37"/>
  <c r="F23" i="37"/>
  <c r="M23" i="37"/>
  <c r="AC23" i="37"/>
  <c r="L23" i="37"/>
  <c r="AD23" i="37"/>
  <c r="N23" i="37"/>
  <c r="AE23" i="37"/>
  <c r="O23" i="37"/>
  <c r="AF23" i="37"/>
  <c r="P23" i="37"/>
  <c r="AG23" i="37"/>
  <c r="AH23" i="37"/>
  <c r="H23" i="37"/>
  <c r="AI23" i="37"/>
  <c r="F24" i="37"/>
  <c r="M24" i="37"/>
  <c r="AC24" i="37"/>
  <c r="L24" i="37"/>
  <c r="AD24" i="37"/>
  <c r="N24" i="37"/>
  <c r="AE24" i="37"/>
  <c r="O24" i="37"/>
  <c r="AF24" i="37"/>
  <c r="P24" i="37"/>
  <c r="AG24" i="37"/>
  <c r="AH24" i="37"/>
  <c r="H24" i="37"/>
  <c r="AI24" i="37"/>
  <c r="F25" i="37"/>
  <c r="M25" i="37"/>
  <c r="AC25" i="37"/>
  <c r="L25" i="37"/>
  <c r="AD25" i="37"/>
  <c r="N25" i="37"/>
  <c r="AE25" i="37"/>
  <c r="O25" i="37"/>
  <c r="AF25" i="37"/>
  <c r="P25" i="37"/>
  <c r="AG25" i="37"/>
  <c r="AH25" i="37"/>
  <c r="H25" i="37"/>
  <c r="AI25" i="37"/>
  <c r="F26" i="37"/>
  <c r="M26" i="37"/>
  <c r="AC26" i="37"/>
  <c r="L26" i="37"/>
  <c r="AD26" i="37"/>
  <c r="N26" i="37"/>
  <c r="AE26" i="37"/>
  <c r="O26" i="37"/>
  <c r="AF26" i="37"/>
  <c r="P26" i="37"/>
  <c r="AG26" i="37"/>
  <c r="AH26" i="37"/>
  <c r="H26" i="37"/>
  <c r="AI26" i="37"/>
  <c r="F27" i="37"/>
  <c r="M27" i="37"/>
  <c r="AC27" i="37"/>
  <c r="L27" i="37"/>
  <c r="AD27" i="37"/>
  <c r="N27" i="37"/>
  <c r="AE27" i="37"/>
  <c r="O27" i="37"/>
  <c r="AF27" i="37"/>
  <c r="P27" i="37"/>
  <c r="AG27" i="37"/>
  <c r="AH27" i="37"/>
  <c r="H27" i="37"/>
  <c r="AI27" i="37"/>
  <c r="F28" i="37"/>
  <c r="M28" i="37"/>
  <c r="AC28" i="37"/>
  <c r="L28" i="37"/>
  <c r="AD28" i="37"/>
  <c r="D68" i="42"/>
  <c r="G28" i="37"/>
  <c r="N28" i="37"/>
  <c r="AE28" i="37"/>
  <c r="O28" i="37"/>
  <c r="AF28" i="37"/>
  <c r="P28" i="37"/>
  <c r="AG28" i="37"/>
  <c r="AH28" i="37"/>
  <c r="H28" i="37"/>
  <c r="AI28" i="37"/>
  <c r="F29" i="37"/>
  <c r="M29" i="37"/>
  <c r="AC29" i="37"/>
  <c r="L29" i="37"/>
  <c r="AD29" i="37"/>
  <c r="G29" i="37"/>
  <c r="N29" i="37"/>
  <c r="AE29" i="37"/>
  <c r="O29" i="37"/>
  <c r="AF29" i="37"/>
  <c r="P29" i="37"/>
  <c r="AG29" i="37"/>
  <c r="AH29" i="37"/>
  <c r="H29" i="37"/>
  <c r="AI29" i="37"/>
  <c r="F30" i="37"/>
  <c r="M30" i="37"/>
  <c r="AC30" i="37"/>
  <c r="L30" i="37"/>
  <c r="AD30" i="37"/>
  <c r="G30" i="37"/>
  <c r="N30" i="37"/>
  <c r="AE30" i="37"/>
  <c r="O30" i="37"/>
  <c r="AF30" i="37"/>
  <c r="P30" i="37"/>
  <c r="AG30" i="37"/>
  <c r="AH30" i="37"/>
  <c r="H30" i="37"/>
  <c r="AI30" i="37"/>
  <c r="F31" i="37"/>
  <c r="M31" i="37"/>
  <c r="AC31" i="37"/>
  <c r="L31" i="37"/>
  <c r="AD31" i="37"/>
  <c r="G31" i="37"/>
  <c r="N31" i="37"/>
  <c r="AE31" i="37"/>
  <c r="O31" i="37"/>
  <c r="AF31" i="37"/>
  <c r="P31" i="37"/>
  <c r="AG31" i="37"/>
  <c r="AH31" i="37"/>
  <c r="H31" i="37"/>
  <c r="AI31" i="37"/>
  <c r="F32" i="37"/>
  <c r="M32" i="37"/>
  <c r="AC32" i="37"/>
  <c r="L32" i="37"/>
  <c r="AD32" i="37"/>
  <c r="G32" i="37"/>
  <c r="N32" i="37"/>
  <c r="AE32" i="37"/>
  <c r="O32" i="37"/>
  <c r="AF32" i="37"/>
  <c r="P32" i="37"/>
  <c r="AG32" i="37"/>
  <c r="AH32" i="37"/>
  <c r="H32" i="37"/>
  <c r="AI32" i="37"/>
  <c r="F33" i="37"/>
  <c r="M33" i="37"/>
  <c r="AC33" i="37"/>
  <c r="L33" i="37"/>
  <c r="AD33" i="37"/>
  <c r="G33" i="37"/>
  <c r="N33" i="37"/>
  <c r="AE33" i="37"/>
  <c r="O33" i="37"/>
  <c r="AF33" i="37"/>
  <c r="P33" i="37"/>
  <c r="AG33" i="37"/>
  <c r="AH33" i="37"/>
  <c r="H33" i="37"/>
  <c r="AI33" i="37"/>
  <c r="F34" i="37"/>
  <c r="M34" i="37"/>
  <c r="AC34" i="37"/>
  <c r="L34" i="37"/>
  <c r="AD34" i="37"/>
  <c r="G34" i="37"/>
  <c r="N34" i="37"/>
  <c r="AE34" i="37"/>
  <c r="O34" i="37"/>
  <c r="AF34" i="37"/>
  <c r="P34" i="37"/>
  <c r="AG34" i="37"/>
  <c r="AH34" i="37"/>
  <c r="H34" i="37"/>
  <c r="AI34" i="37"/>
  <c r="F35" i="37"/>
  <c r="M35" i="37"/>
  <c r="AC35" i="37"/>
  <c r="L35" i="37"/>
  <c r="AD35" i="37"/>
  <c r="G35" i="37"/>
  <c r="N35" i="37"/>
  <c r="AE35" i="37"/>
  <c r="O35" i="37"/>
  <c r="AF35" i="37"/>
  <c r="P35" i="37"/>
  <c r="AG35" i="37"/>
  <c r="AH35" i="37"/>
  <c r="H35" i="37"/>
  <c r="AI35" i="37"/>
  <c r="F36" i="37"/>
  <c r="M36" i="37"/>
  <c r="AC36" i="37"/>
  <c r="L36" i="37"/>
  <c r="AD36" i="37"/>
  <c r="G36" i="37"/>
  <c r="N36" i="37"/>
  <c r="AE36" i="37"/>
  <c r="O36" i="37"/>
  <c r="AF36" i="37"/>
  <c r="P36" i="37"/>
  <c r="AG36" i="37"/>
  <c r="AH36" i="37"/>
  <c r="H36" i="37"/>
  <c r="AI36" i="37"/>
  <c r="F37" i="37"/>
  <c r="M37" i="37"/>
  <c r="AC37" i="37"/>
  <c r="L37" i="37"/>
  <c r="AD37" i="37"/>
  <c r="G37" i="37"/>
  <c r="N37" i="37"/>
  <c r="AE37" i="37"/>
  <c r="O37" i="37"/>
  <c r="AF37" i="37"/>
  <c r="P37" i="37"/>
  <c r="AG37" i="37"/>
  <c r="AH37" i="37"/>
  <c r="H37" i="37"/>
  <c r="AI37" i="37"/>
  <c r="F38" i="37"/>
  <c r="M38" i="37"/>
  <c r="AC38" i="37"/>
  <c r="L38" i="37"/>
  <c r="AD38" i="37"/>
  <c r="G38" i="37"/>
  <c r="N38" i="37"/>
  <c r="AE38" i="37"/>
  <c r="O38" i="37"/>
  <c r="AF38" i="37"/>
  <c r="P38" i="37"/>
  <c r="AG38" i="37"/>
  <c r="AH38" i="37"/>
  <c r="H38" i="37"/>
  <c r="AI38" i="37"/>
  <c r="F39" i="37"/>
  <c r="M39" i="37"/>
  <c r="AC39" i="37"/>
  <c r="L39" i="37"/>
  <c r="AD39" i="37"/>
  <c r="G39" i="37"/>
  <c r="N39" i="37"/>
  <c r="AE39" i="37"/>
  <c r="O39" i="37"/>
  <c r="AF39" i="37"/>
  <c r="P39" i="37"/>
  <c r="AG39" i="37"/>
  <c r="AH39" i="37"/>
  <c r="H39" i="37"/>
  <c r="AI39" i="37"/>
  <c r="F40" i="37"/>
  <c r="M40" i="37"/>
  <c r="AC40" i="37"/>
  <c r="L40" i="37"/>
  <c r="AD40" i="37"/>
  <c r="G40" i="37"/>
  <c r="N40" i="37"/>
  <c r="AE40" i="37"/>
  <c r="O40" i="37"/>
  <c r="AF40" i="37"/>
  <c r="P40" i="37"/>
  <c r="AG40" i="37"/>
  <c r="AH40" i="37"/>
  <c r="H40" i="37"/>
  <c r="AI40" i="37"/>
  <c r="F41" i="37"/>
  <c r="M41" i="37"/>
  <c r="AC41" i="37"/>
  <c r="L41" i="37"/>
  <c r="AD41" i="37"/>
  <c r="G41" i="37"/>
  <c r="N41" i="37"/>
  <c r="AE41" i="37"/>
  <c r="O41" i="37"/>
  <c r="AF41" i="37"/>
  <c r="P41" i="37"/>
  <c r="AG41" i="37"/>
  <c r="AH41" i="37"/>
  <c r="H41" i="37"/>
  <c r="AI41" i="37"/>
  <c r="F42" i="37"/>
  <c r="M42" i="37"/>
  <c r="AC42" i="37"/>
  <c r="L42" i="37"/>
  <c r="AD42" i="37"/>
  <c r="G42" i="37"/>
  <c r="N42" i="37"/>
  <c r="AE42" i="37"/>
  <c r="O42" i="37"/>
  <c r="AF42" i="37"/>
  <c r="P42" i="37"/>
  <c r="AG42" i="37"/>
  <c r="AH42" i="37"/>
  <c r="H42" i="37"/>
  <c r="AI42" i="37"/>
  <c r="F43" i="37"/>
  <c r="M43" i="37"/>
  <c r="AC43" i="37"/>
  <c r="L43" i="37"/>
  <c r="AD43" i="37"/>
  <c r="G43" i="37"/>
  <c r="N43" i="37"/>
  <c r="AE43" i="37"/>
  <c r="O43" i="37"/>
  <c r="AF43" i="37"/>
  <c r="P43" i="37"/>
  <c r="AG43" i="37"/>
  <c r="AH43" i="37"/>
  <c r="H43" i="37"/>
  <c r="AI43" i="37"/>
  <c r="F44" i="37"/>
  <c r="M44" i="37"/>
  <c r="AC44" i="37"/>
  <c r="L44" i="37"/>
  <c r="AD44" i="37"/>
  <c r="G44" i="37"/>
  <c r="N44" i="37"/>
  <c r="AE44" i="37"/>
  <c r="O44" i="37"/>
  <c r="AF44" i="37"/>
  <c r="P44" i="37"/>
  <c r="AG44" i="37"/>
  <c r="AH44" i="37"/>
  <c r="H44" i="37"/>
  <c r="AI44" i="37"/>
  <c r="F45" i="37"/>
  <c r="M45" i="37"/>
  <c r="AC45" i="37"/>
  <c r="L45" i="37"/>
  <c r="AD45" i="37"/>
  <c r="G45" i="37"/>
  <c r="N45" i="37"/>
  <c r="AE45" i="37"/>
  <c r="O45" i="37"/>
  <c r="AF45" i="37"/>
  <c r="P45" i="37"/>
  <c r="AG45" i="37"/>
  <c r="AH45" i="37"/>
  <c r="H45" i="37"/>
  <c r="AI45" i="37"/>
  <c r="F46" i="37"/>
  <c r="M46" i="37"/>
  <c r="AC46" i="37"/>
  <c r="L46" i="37"/>
  <c r="AD46" i="37"/>
  <c r="G46" i="37"/>
  <c r="N46" i="37"/>
  <c r="AE46" i="37"/>
  <c r="O46" i="37"/>
  <c r="AF46" i="37"/>
  <c r="P46" i="37"/>
  <c r="AG46" i="37"/>
  <c r="AH46" i="37"/>
  <c r="H46" i="37"/>
  <c r="AI46" i="37"/>
  <c r="F47" i="37"/>
  <c r="M47" i="37"/>
  <c r="AC47" i="37"/>
  <c r="L47" i="37"/>
  <c r="AD47" i="37"/>
  <c r="G47" i="37"/>
  <c r="N47" i="37"/>
  <c r="AE47" i="37"/>
  <c r="O47" i="37"/>
  <c r="AF47" i="37"/>
  <c r="P47" i="37"/>
  <c r="AG47" i="37"/>
  <c r="AH47" i="37"/>
  <c r="H47" i="37"/>
  <c r="AI47" i="37"/>
  <c r="F48" i="37"/>
  <c r="M48" i="37"/>
  <c r="AC48" i="37"/>
  <c r="L48" i="37"/>
  <c r="AD48" i="37"/>
  <c r="G48" i="37"/>
  <c r="N48" i="37"/>
  <c r="AE48" i="37"/>
  <c r="O48" i="37"/>
  <c r="AF48" i="37"/>
  <c r="P48" i="37"/>
  <c r="AG48" i="37"/>
  <c r="AH48" i="37"/>
  <c r="H48" i="37"/>
  <c r="AI48" i="37"/>
  <c r="F49" i="37"/>
  <c r="M49" i="37"/>
  <c r="AC49" i="37"/>
  <c r="L49" i="37"/>
  <c r="AD49" i="37"/>
  <c r="G49" i="37"/>
  <c r="N49" i="37"/>
  <c r="AE49" i="37"/>
  <c r="O49" i="37"/>
  <c r="AF49" i="37"/>
  <c r="P49" i="37"/>
  <c r="AG49" i="37"/>
  <c r="AH49" i="37"/>
  <c r="H49" i="37"/>
  <c r="AI49" i="37"/>
  <c r="F50" i="37"/>
  <c r="M50" i="37"/>
  <c r="AC50" i="37"/>
  <c r="L50" i="37"/>
  <c r="AD50" i="37"/>
  <c r="G50" i="37"/>
  <c r="N50" i="37"/>
  <c r="AE50" i="37"/>
  <c r="O50" i="37"/>
  <c r="AF50" i="37"/>
  <c r="P50" i="37"/>
  <c r="AG50" i="37"/>
  <c r="AH50" i="37"/>
  <c r="H50" i="37"/>
  <c r="AI50" i="37"/>
  <c r="F51" i="37"/>
  <c r="M51" i="37"/>
  <c r="AC51" i="37"/>
  <c r="L51" i="37"/>
  <c r="AD51" i="37"/>
  <c r="G51" i="37"/>
  <c r="N51" i="37"/>
  <c r="AE51" i="37"/>
  <c r="O51" i="37"/>
  <c r="AF51" i="37"/>
  <c r="P51" i="37"/>
  <c r="AG51" i="37"/>
  <c r="AH51" i="37"/>
  <c r="H51" i="37"/>
  <c r="AI51" i="37"/>
  <c r="F52" i="37"/>
  <c r="M52" i="37"/>
  <c r="AC52" i="37"/>
  <c r="L52" i="37"/>
  <c r="AD52" i="37"/>
  <c r="G52" i="37"/>
  <c r="N52" i="37"/>
  <c r="AE52" i="37"/>
  <c r="O52" i="37"/>
  <c r="AF52" i="37"/>
  <c r="P52" i="37"/>
  <c r="AG52" i="37"/>
  <c r="AH52" i="37"/>
  <c r="H52" i="37"/>
  <c r="AI52" i="37"/>
  <c r="F53" i="37"/>
  <c r="M53" i="37"/>
  <c r="AC53" i="37"/>
  <c r="L53" i="37"/>
  <c r="AD53" i="37"/>
  <c r="G53" i="37"/>
  <c r="N53" i="37"/>
  <c r="AE53" i="37"/>
  <c r="O53" i="37"/>
  <c r="AF53" i="37"/>
  <c r="P53" i="37"/>
  <c r="AG53" i="37"/>
  <c r="AH53" i="37"/>
  <c r="H53" i="37"/>
  <c r="AI53" i="37"/>
  <c r="F54" i="37"/>
  <c r="M54" i="37"/>
  <c r="AC54" i="37"/>
  <c r="L54" i="37"/>
  <c r="AD54" i="37"/>
  <c r="G54" i="37"/>
  <c r="N54" i="37"/>
  <c r="AE54" i="37"/>
  <c r="O54" i="37"/>
  <c r="AF54" i="37"/>
  <c r="P54" i="37"/>
  <c r="AG54" i="37"/>
  <c r="AH54" i="37"/>
  <c r="H54" i="37"/>
  <c r="AI54" i="37"/>
  <c r="F55" i="37"/>
  <c r="M55" i="37"/>
  <c r="AC55" i="37"/>
  <c r="L55" i="37"/>
  <c r="AD55" i="37"/>
  <c r="G55" i="37"/>
  <c r="N55" i="37"/>
  <c r="AE55" i="37"/>
  <c r="O55" i="37"/>
  <c r="AF55" i="37"/>
  <c r="P55" i="37"/>
  <c r="AG55" i="37"/>
  <c r="AH55" i="37"/>
  <c r="H55" i="37"/>
  <c r="AI55" i="37"/>
  <c r="F56" i="37"/>
  <c r="M56" i="37"/>
  <c r="AC56" i="37"/>
  <c r="L56" i="37"/>
  <c r="AD56" i="37"/>
  <c r="G56" i="37"/>
  <c r="N56" i="37"/>
  <c r="AE56" i="37"/>
  <c r="O56" i="37"/>
  <c r="AF56" i="37"/>
  <c r="P56" i="37"/>
  <c r="AG56" i="37"/>
  <c r="AH56" i="37"/>
  <c r="H56" i="37"/>
  <c r="AI56" i="37"/>
  <c r="F57" i="37"/>
  <c r="M57" i="37"/>
  <c r="AC57" i="37"/>
  <c r="L57" i="37"/>
  <c r="AD57" i="37"/>
  <c r="G57" i="37"/>
  <c r="N57" i="37"/>
  <c r="AE57" i="37"/>
  <c r="O57" i="37"/>
  <c r="AF57" i="37"/>
  <c r="P57" i="37"/>
  <c r="AG57" i="37"/>
  <c r="AH57" i="37"/>
  <c r="H57" i="37"/>
  <c r="AI57" i="37"/>
  <c r="F58" i="37"/>
  <c r="M58" i="37"/>
  <c r="AC58" i="37"/>
  <c r="L58" i="37"/>
  <c r="AD58" i="37"/>
  <c r="G58" i="37"/>
  <c r="N58" i="37"/>
  <c r="AE58" i="37"/>
  <c r="O58" i="37"/>
  <c r="AF58" i="37"/>
  <c r="P58" i="37"/>
  <c r="AG58" i="37"/>
  <c r="AH58" i="37"/>
  <c r="H58" i="37"/>
  <c r="AI58" i="37"/>
  <c r="F59" i="37"/>
  <c r="M59" i="37"/>
  <c r="AC59" i="37"/>
  <c r="L59" i="37"/>
  <c r="AD59" i="37"/>
  <c r="G59" i="37"/>
  <c r="N59" i="37"/>
  <c r="AE59" i="37"/>
  <c r="O59" i="37"/>
  <c r="AF59" i="37"/>
  <c r="P59" i="37"/>
  <c r="AG59" i="37"/>
  <c r="AH59" i="37"/>
  <c r="H59" i="37"/>
  <c r="AI59" i="37"/>
  <c r="F60" i="37"/>
  <c r="M60" i="37"/>
  <c r="AC60" i="37"/>
  <c r="L60" i="37"/>
  <c r="AD60" i="37"/>
  <c r="G60" i="37"/>
  <c r="N60" i="37"/>
  <c r="AE60" i="37"/>
  <c r="O60" i="37"/>
  <c r="AF60" i="37"/>
  <c r="P60" i="37"/>
  <c r="AG60" i="37"/>
  <c r="AH60" i="37"/>
  <c r="H60" i="37"/>
  <c r="AI60" i="37"/>
  <c r="F61" i="37"/>
  <c r="M61" i="37"/>
  <c r="AC61" i="37"/>
  <c r="L61" i="37"/>
  <c r="AD61" i="37"/>
  <c r="G61" i="37"/>
  <c r="N61" i="37"/>
  <c r="AE61" i="37"/>
  <c r="O61" i="37"/>
  <c r="AF61" i="37"/>
  <c r="P61" i="37"/>
  <c r="AG61" i="37"/>
  <c r="AH61" i="37"/>
  <c r="H61" i="37"/>
  <c r="AI61" i="37"/>
  <c r="F62" i="37"/>
  <c r="M62" i="37"/>
  <c r="AC62" i="37"/>
  <c r="L62" i="37"/>
  <c r="AD62" i="37"/>
  <c r="G62" i="37"/>
  <c r="N62" i="37"/>
  <c r="AE62" i="37"/>
  <c r="O62" i="37"/>
  <c r="AF62" i="37"/>
  <c r="P62" i="37"/>
  <c r="AG62" i="37"/>
  <c r="AH62" i="37"/>
  <c r="H62" i="37"/>
  <c r="AI62" i="37"/>
  <c r="F63" i="37"/>
  <c r="M63" i="37"/>
  <c r="AC63" i="37"/>
  <c r="L63" i="37"/>
  <c r="AD63" i="37"/>
  <c r="G63" i="37"/>
  <c r="N63" i="37"/>
  <c r="AE63" i="37"/>
  <c r="O63" i="37"/>
  <c r="AF63" i="37"/>
  <c r="P63" i="37"/>
  <c r="AG63" i="37"/>
  <c r="AH63" i="37"/>
  <c r="H63" i="37"/>
  <c r="AI63" i="37"/>
  <c r="F64" i="37"/>
  <c r="M64" i="37"/>
  <c r="AC64" i="37"/>
  <c r="L64" i="37"/>
  <c r="AD64" i="37"/>
  <c r="G64" i="37"/>
  <c r="N64" i="37"/>
  <c r="AE64" i="37"/>
  <c r="O64" i="37"/>
  <c r="AF64" i="37"/>
  <c r="P64" i="37"/>
  <c r="AG64" i="37"/>
  <c r="AH64" i="37"/>
  <c r="H64" i="37"/>
  <c r="AI64" i="37"/>
  <c r="F65" i="37"/>
  <c r="M65" i="37"/>
  <c r="AC65" i="37"/>
  <c r="L65" i="37"/>
  <c r="AD65" i="37"/>
  <c r="G65" i="37"/>
  <c r="N65" i="37"/>
  <c r="AE65" i="37"/>
  <c r="O65" i="37"/>
  <c r="AF65" i="37"/>
  <c r="P65" i="37"/>
  <c r="AG65" i="37"/>
  <c r="AH65" i="37"/>
  <c r="H65" i="37"/>
  <c r="AI65" i="37"/>
  <c r="F66" i="37"/>
  <c r="M66" i="37"/>
  <c r="AC66" i="37"/>
  <c r="L66" i="37"/>
  <c r="AD66" i="37"/>
  <c r="G66" i="37"/>
  <c r="N66" i="37"/>
  <c r="AE66" i="37"/>
  <c r="O66" i="37"/>
  <c r="AF66" i="37"/>
  <c r="P66" i="37"/>
  <c r="AG66" i="37"/>
  <c r="AH66" i="37"/>
  <c r="H66" i="37"/>
  <c r="AI66" i="37"/>
  <c r="F67" i="37"/>
  <c r="M67" i="37"/>
  <c r="AC67" i="37"/>
  <c r="L67" i="37"/>
  <c r="AD67" i="37"/>
  <c r="G67" i="37"/>
  <c r="N67" i="37"/>
  <c r="AE67" i="37"/>
  <c r="O67" i="37"/>
  <c r="AF67" i="37"/>
  <c r="P67" i="37"/>
  <c r="AG67" i="37"/>
  <c r="AH67" i="37"/>
  <c r="H67" i="37"/>
  <c r="AI67" i="37"/>
  <c r="F68" i="37"/>
  <c r="M68" i="37"/>
  <c r="AC68" i="37"/>
  <c r="L68" i="37"/>
  <c r="AD68" i="37"/>
  <c r="G68" i="37"/>
  <c r="N68" i="37"/>
  <c r="AE68" i="37"/>
  <c r="O68" i="37"/>
  <c r="AF68" i="37"/>
  <c r="P68" i="37"/>
  <c r="AG68" i="37"/>
  <c r="AH68" i="37"/>
  <c r="H68" i="37"/>
  <c r="AI68" i="37"/>
  <c r="F69" i="37"/>
  <c r="M69" i="37"/>
  <c r="AC69" i="37"/>
  <c r="L69" i="37"/>
  <c r="AD69" i="37"/>
  <c r="G69" i="37"/>
  <c r="N69" i="37"/>
  <c r="AE69" i="37"/>
  <c r="O69" i="37"/>
  <c r="AF69" i="37"/>
  <c r="P69" i="37"/>
  <c r="AG69" i="37"/>
  <c r="AH69" i="37"/>
  <c r="H69" i="37"/>
  <c r="AI69" i="37"/>
  <c r="F70" i="37"/>
  <c r="M70" i="37"/>
  <c r="AC70" i="37"/>
  <c r="L70" i="37"/>
  <c r="AD70" i="37"/>
  <c r="G70" i="37"/>
  <c r="N70" i="37"/>
  <c r="AE70" i="37"/>
  <c r="O70" i="37"/>
  <c r="AF70" i="37"/>
  <c r="P70" i="37"/>
  <c r="AG70" i="37"/>
  <c r="AH70" i="37"/>
  <c r="H70" i="37"/>
  <c r="AI70" i="37"/>
  <c r="F71" i="37"/>
  <c r="M71" i="37"/>
  <c r="AC71" i="37"/>
  <c r="L71" i="37"/>
  <c r="AD71" i="37"/>
  <c r="G71" i="37"/>
  <c r="N71" i="37"/>
  <c r="AE71" i="37"/>
  <c r="O71" i="37"/>
  <c r="AF71" i="37"/>
  <c r="P71" i="37"/>
  <c r="AG71" i="37"/>
  <c r="AH71" i="37"/>
  <c r="H71" i="37"/>
  <c r="AI71" i="37"/>
  <c r="F72" i="37"/>
  <c r="M72" i="37"/>
  <c r="AC72" i="37"/>
  <c r="L72" i="37"/>
  <c r="AD72" i="37"/>
  <c r="G72" i="37"/>
  <c r="N72" i="37"/>
  <c r="AE72" i="37"/>
  <c r="O72" i="37"/>
  <c r="AF72" i="37"/>
  <c r="P72" i="37"/>
  <c r="AG72" i="37"/>
  <c r="AH72" i="37"/>
  <c r="H72" i="37"/>
  <c r="AI72" i="37"/>
  <c r="F73" i="37"/>
  <c r="M73" i="37"/>
  <c r="AC73" i="37"/>
  <c r="L73" i="37"/>
  <c r="AD73" i="37"/>
  <c r="G73" i="37"/>
  <c r="N73" i="37"/>
  <c r="AE73" i="37"/>
  <c r="O73" i="37"/>
  <c r="AF73" i="37"/>
  <c r="P73" i="37"/>
  <c r="AG73" i="37"/>
  <c r="AH73" i="37"/>
  <c r="H73" i="37"/>
  <c r="AI73" i="37"/>
  <c r="F74" i="37"/>
  <c r="M74" i="37"/>
  <c r="AC74" i="37"/>
  <c r="L74" i="37"/>
  <c r="AD74" i="37"/>
  <c r="G74" i="37"/>
  <c r="N74" i="37"/>
  <c r="AE74" i="37"/>
  <c r="O74" i="37"/>
  <c r="AF74" i="37"/>
  <c r="P74" i="37"/>
  <c r="AG74" i="37"/>
  <c r="AH74" i="37"/>
  <c r="H74" i="37"/>
  <c r="AI74" i="37"/>
  <c r="F75" i="37"/>
  <c r="M75" i="37"/>
  <c r="AC75" i="37"/>
  <c r="L75" i="37"/>
  <c r="AD75" i="37"/>
  <c r="G75" i="37"/>
  <c r="N75" i="37"/>
  <c r="AE75" i="37"/>
  <c r="O75" i="37"/>
  <c r="AF75" i="37"/>
  <c r="P75" i="37"/>
  <c r="AG75" i="37"/>
  <c r="AH75" i="37"/>
  <c r="H75" i="37"/>
  <c r="AI75" i="37"/>
  <c r="F76" i="37"/>
  <c r="M76" i="37"/>
  <c r="AC76" i="37"/>
  <c r="L76" i="37"/>
  <c r="AD76" i="37"/>
  <c r="G76" i="37"/>
  <c r="N76" i="37"/>
  <c r="AE76" i="37"/>
  <c r="O76" i="37"/>
  <c r="AF76" i="37"/>
  <c r="P76" i="37"/>
  <c r="AG76" i="37"/>
  <c r="AH76" i="37"/>
  <c r="H76" i="37"/>
  <c r="AI76" i="37"/>
  <c r="F77" i="37"/>
  <c r="M77" i="37"/>
  <c r="AC77" i="37"/>
  <c r="L77" i="37"/>
  <c r="AD77" i="37"/>
  <c r="G77" i="37"/>
  <c r="N77" i="37"/>
  <c r="AE77" i="37"/>
  <c r="O77" i="37"/>
  <c r="AF77" i="37"/>
  <c r="P77" i="37"/>
  <c r="AG77" i="37"/>
  <c r="AH77" i="37"/>
  <c r="H77" i="37"/>
  <c r="AI77" i="37"/>
  <c r="F78" i="37"/>
  <c r="M78" i="37"/>
  <c r="AC78" i="37"/>
  <c r="L78" i="37"/>
  <c r="AD78" i="37"/>
  <c r="G78" i="37"/>
  <c r="N78" i="37"/>
  <c r="AE78" i="37"/>
  <c r="O78" i="37"/>
  <c r="AF78" i="37"/>
  <c r="P78" i="37"/>
  <c r="AG78" i="37"/>
  <c r="AH78" i="37"/>
  <c r="H78" i="37"/>
  <c r="AI78" i="37"/>
  <c r="F79" i="37"/>
  <c r="M79" i="37"/>
  <c r="AC79" i="37"/>
  <c r="L79" i="37"/>
  <c r="AD79" i="37"/>
  <c r="G79" i="37"/>
  <c r="N79" i="37"/>
  <c r="AE79" i="37"/>
  <c r="O79" i="37"/>
  <c r="AF79" i="37"/>
  <c r="P79" i="37"/>
  <c r="AG79" i="37"/>
  <c r="AH79" i="37"/>
  <c r="H79" i="37"/>
  <c r="AI79" i="37"/>
  <c r="F80" i="37"/>
  <c r="M80" i="37"/>
  <c r="AC80" i="37"/>
  <c r="L80" i="37"/>
  <c r="AD80" i="37"/>
  <c r="G80" i="37"/>
  <c r="N80" i="37"/>
  <c r="AE80" i="37"/>
  <c r="O80" i="37"/>
  <c r="AF80" i="37"/>
  <c r="P80" i="37"/>
  <c r="AG80" i="37"/>
  <c r="AH80" i="37"/>
  <c r="H80" i="37"/>
  <c r="AI80" i="37"/>
  <c r="F81" i="37"/>
  <c r="M81" i="37"/>
  <c r="AC81" i="37"/>
  <c r="L81" i="37"/>
  <c r="AD81" i="37"/>
  <c r="G81" i="37"/>
  <c r="N81" i="37"/>
  <c r="AE81" i="37"/>
  <c r="O81" i="37"/>
  <c r="AF81" i="37"/>
  <c r="P81" i="37"/>
  <c r="AG81" i="37"/>
  <c r="AH81" i="37"/>
  <c r="H81" i="37"/>
  <c r="AI81" i="37"/>
  <c r="F82" i="37"/>
  <c r="M82" i="37"/>
  <c r="AC82" i="37"/>
  <c r="L82" i="37"/>
  <c r="AD82" i="37"/>
  <c r="G82" i="37"/>
  <c r="N82" i="37"/>
  <c r="AE82" i="37"/>
  <c r="O82" i="37"/>
  <c r="AF82" i="37"/>
  <c r="P82" i="37"/>
  <c r="AG82" i="37"/>
  <c r="AH82" i="37"/>
  <c r="H82" i="37"/>
  <c r="AI82" i="37"/>
  <c r="F83" i="37"/>
  <c r="M83" i="37"/>
  <c r="AC83" i="37"/>
  <c r="L83" i="37"/>
  <c r="AD83" i="37"/>
  <c r="G83" i="37"/>
  <c r="N83" i="37"/>
  <c r="AE83" i="37"/>
  <c r="O83" i="37"/>
  <c r="AF83" i="37"/>
  <c r="P83" i="37"/>
  <c r="AG83" i="37"/>
  <c r="AH83" i="37"/>
  <c r="H83" i="37"/>
  <c r="AI83" i="37"/>
  <c r="F84" i="37"/>
  <c r="M84" i="37"/>
  <c r="AC84" i="37"/>
  <c r="L84" i="37"/>
  <c r="AD84" i="37"/>
  <c r="G84" i="37"/>
  <c r="N84" i="37"/>
  <c r="AE84" i="37"/>
  <c r="O84" i="37"/>
  <c r="AF84" i="37"/>
  <c r="P84" i="37"/>
  <c r="AG84" i="37"/>
  <c r="AH84" i="37"/>
  <c r="H84" i="37"/>
  <c r="AI84" i="37"/>
  <c r="F85" i="37"/>
  <c r="M85" i="37"/>
  <c r="AC85" i="37"/>
  <c r="L85" i="37"/>
  <c r="AD85" i="37"/>
  <c r="G85" i="37"/>
  <c r="N85" i="37"/>
  <c r="AE85" i="37"/>
  <c r="O85" i="37"/>
  <c r="AF85" i="37"/>
  <c r="P85" i="37"/>
  <c r="AG85" i="37"/>
  <c r="AH85" i="37"/>
  <c r="H85" i="37"/>
  <c r="AI85" i="37"/>
  <c r="F86" i="37"/>
  <c r="M86" i="37"/>
  <c r="AC86" i="37"/>
  <c r="L86" i="37"/>
  <c r="AD86" i="37"/>
  <c r="G86" i="37"/>
  <c r="N86" i="37"/>
  <c r="AE86" i="37"/>
  <c r="O86" i="37"/>
  <c r="AF86" i="37"/>
  <c r="P86" i="37"/>
  <c r="AG86" i="37"/>
  <c r="AH86" i="37"/>
  <c r="H86" i="37"/>
  <c r="AI86" i="37"/>
  <c r="F87" i="37"/>
  <c r="M87" i="37"/>
  <c r="AC87" i="37"/>
  <c r="L87" i="37"/>
  <c r="AD87" i="37"/>
  <c r="G87" i="37"/>
  <c r="N87" i="37"/>
  <c r="AE87" i="37"/>
  <c r="O87" i="37"/>
  <c r="AF87" i="37"/>
  <c r="P87" i="37"/>
  <c r="AG87" i="37"/>
  <c r="AH87" i="37"/>
  <c r="H87" i="37"/>
  <c r="AI87" i="37"/>
  <c r="F88" i="37"/>
  <c r="M88" i="37"/>
  <c r="AC88" i="37"/>
  <c r="L88" i="37"/>
  <c r="AD88" i="37"/>
  <c r="G88" i="37"/>
  <c r="N88" i="37"/>
  <c r="AE88" i="37"/>
  <c r="O88" i="37"/>
  <c r="AF88" i="37"/>
  <c r="P88" i="37"/>
  <c r="AG88" i="37"/>
  <c r="AH88" i="37"/>
  <c r="H88" i="37"/>
  <c r="AI88" i="37"/>
  <c r="F89" i="37"/>
  <c r="M89" i="37"/>
  <c r="AC89" i="37"/>
  <c r="L89" i="37"/>
  <c r="AD89" i="37"/>
  <c r="G89" i="37"/>
  <c r="N89" i="37"/>
  <c r="AE89" i="37"/>
  <c r="O89" i="37"/>
  <c r="AF89" i="37"/>
  <c r="P89" i="37"/>
  <c r="AG89" i="37"/>
  <c r="AH89" i="37"/>
  <c r="H89" i="37"/>
  <c r="AI89" i="37"/>
  <c r="F90" i="37"/>
  <c r="M90" i="37"/>
  <c r="AC90" i="37"/>
  <c r="L90" i="37"/>
  <c r="AD90" i="37"/>
  <c r="G90" i="37"/>
  <c r="N90" i="37"/>
  <c r="AE90" i="37"/>
  <c r="O90" i="37"/>
  <c r="AF90" i="37"/>
  <c r="P90" i="37"/>
  <c r="AG90" i="37"/>
  <c r="AH90" i="37"/>
  <c r="H90" i="37"/>
  <c r="AI90" i="37"/>
  <c r="F91" i="37"/>
  <c r="M91" i="37"/>
  <c r="AC91" i="37"/>
  <c r="L91" i="37"/>
  <c r="AD91" i="37"/>
  <c r="G91" i="37"/>
  <c r="N91" i="37"/>
  <c r="AE91" i="37"/>
  <c r="O91" i="37"/>
  <c r="AF91" i="37"/>
  <c r="P91" i="37"/>
  <c r="AG91" i="37"/>
  <c r="AH91" i="37"/>
  <c r="H91" i="37"/>
  <c r="AI91" i="37"/>
  <c r="F92" i="37"/>
  <c r="M92" i="37"/>
  <c r="AC92" i="37"/>
  <c r="L92" i="37"/>
  <c r="AD92" i="37"/>
  <c r="G92" i="37"/>
  <c r="N92" i="37"/>
  <c r="AE92" i="37"/>
  <c r="O92" i="37"/>
  <c r="AF92" i="37"/>
  <c r="P92" i="37"/>
  <c r="AG92" i="37"/>
  <c r="AH92" i="37"/>
  <c r="H92" i="37"/>
  <c r="AI92" i="37"/>
  <c r="F93" i="37"/>
  <c r="M93" i="37"/>
  <c r="AC93" i="37"/>
  <c r="L93" i="37"/>
  <c r="AD93" i="37"/>
  <c r="G93" i="37"/>
  <c r="N93" i="37"/>
  <c r="AE93" i="37"/>
  <c r="O93" i="37"/>
  <c r="AF93" i="37"/>
  <c r="P93" i="37"/>
  <c r="AG93" i="37"/>
  <c r="AH93" i="37"/>
  <c r="H93" i="37"/>
  <c r="AI93" i="37"/>
  <c r="F94" i="37"/>
  <c r="M94" i="37"/>
  <c r="AC94" i="37"/>
  <c r="L94" i="37"/>
  <c r="AD94" i="37"/>
  <c r="G94" i="37"/>
  <c r="N94" i="37"/>
  <c r="AE94" i="37"/>
  <c r="O94" i="37"/>
  <c r="AF94" i="37"/>
  <c r="P94" i="37"/>
  <c r="AG94" i="37"/>
  <c r="AH94" i="37"/>
  <c r="H94" i="37"/>
  <c r="AI94" i="37"/>
  <c r="F95" i="37"/>
  <c r="M95" i="37"/>
  <c r="AC95" i="37"/>
  <c r="L95" i="37"/>
  <c r="AD95" i="37"/>
  <c r="G95" i="37"/>
  <c r="N95" i="37"/>
  <c r="AE95" i="37"/>
  <c r="O95" i="37"/>
  <c r="AF95" i="37"/>
  <c r="P95" i="37"/>
  <c r="AG95" i="37"/>
  <c r="AH95" i="37"/>
  <c r="H95" i="37"/>
  <c r="AI95" i="37"/>
  <c r="F96" i="37"/>
  <c r="M96" i="37"/>
  <c r="AC96" i="37"/>
  <c r="L96" i="37"/>
  <c r="AD96" i="37"/>
  <c r="G96" i="37"/>
  <c r="N96" i="37"/>
  <c r="AE96" i="37"/>
  <c r="O96" i="37"/>
  <c r="AF96" i="37"/>
  <c r="P96" i="37"/>
  <c r="AG96" i="37"/>
  <c r="AH96" i="37"/>
  <c r="H96" i="37"/>
  <c r="AI96" i="37"/>
  <c r="F97" i="37"/>
  <c r="M97" i="37"/>
  <c r="AC97" i="37"/>
  <c r="L97" i="37"/>
  <c r="AD97" i="37"/>
  <c r="G97" i="37"/>
  <c r="N97" i="37"/>
  <c r="AE97" i="37"/>
  <c r="O97" i="37"/>
  <c r="AF97" i="37"/>
  <c r="P97" i="37"/>
  <c r="AG97" i="37"/>
  <c r="AH97" i="37"/>
  <c r="H97" i="37"/>
  <c r="AI97" i="37"/>
  <c r="F98" i="37"/>
  <c r="M98" i="37"/>
  <c r="AC98" i="37"/>
  <c r="L98" i="37"/>
  <c r="AD98" i="37"/>
  <c r="G98" i="37"/>
  <c r="N98" i="37"/>
  <c r="AE98" i="37"/>
  <c r="O98" i="37"/>
  <c r="AF98" i="37"/>
  <c r="P98" i="37"/>
  <c r="AG98" i="37"/>
  <c r="AH98" i="37"/>
  <c r="H98" i="37"/>
  <c r="AI98" i="37"/>
  <c r="F99" i="37"/>
  <c r="M99" i="37"/>
  <c r="AC99" i="37"/>
  <c r="L99" i="37"/>
  <c r="AD99" i="37"/>
  <c r="G99" i="37"/>
  <c r="N99" i="37"/>
  <c r="AE99" i="37"/>
  <c r="O99" i="37"/>
  <c r="AF99" i="37"/>
  <c r="P99" i="37"/>
  <c r="AG99" i="37"/>
  <c r="AH99" i="37"/>
  <c r="H99" i="37"/>
  <c r="AI99" i="37"/>
  <c r="F100" i="37"/>
  <c r="M100" i="37"/>
  <c r="AC100" i="37"/>
  <c r="L100" i="37"/>
  <c r="AD100" i="37"/>
  <c r="G100" i="37"/>
  <c r="N100" i="37"/>
  <c r="AE100" i="37"/>
  <c r="O100" i="37"/>
  <c r="AF100" i="37"/>
  <c r="P100" i="37"/>
  <c r="AG100" i="37"/>
  <c r="AH100" i="37"/>
  <c r="H100" i="37"/>
  <c r="AI100" i="37"/>
  <c r="F101" i="37"/>
  <c r="M101" i="37"/>
  <c r="AC101" i="37"/>
  <c r="L101" i="37"/>
  <c r="AD101" i="37"/>
  <c r="G101" i="37"/>
  <c r="N101" i="37"/>
  <c r="AE101" i="37"/>
  <c r="O101" i="37"/>
  <c r="AF101" i="37"/>
  <c r="P101" i="37"/>
  <c r="AG101" i="37"/>
  <c r="AH101" i="37"/>
  <c r="H101" i="37"/>
  <c r="AI101" i="37"/>
  <c r="F102" i="37"/>
  <c r="M102" i="37"/>
  <c r="AC102" i="37"/>
  <c r="L102" i="37"/>
  <c r="AD102" i="37"/>
  <c r="G102" i="37"/>
  <c r="N102" i="37"/>
  <c r="AE102" i="37"/>
  <c r="O102" i="37"/>
  <c r="AF102" i="37"/>
  <c r="P102" i="37"/>
  <c r="AG102" i="37"/>
  <c r="AH102" i="37"/>
  <c r="H102" i="37"/>
  <c r="AI102" i="37"/>
  <c r="F103" i="37"/>
  <c r="M103" i="37"/>
  <c r="AC103" i="37"/>
  <c r="L103" i="37"/>
  <c r="AD103" i="37"/>
  <c r="G103" i="37"/>
  <c r="N103" i="37"/>
  <c r="AE103" i="37"/>
  <c r="O103" i="37"/>
  <c r="AF103" i="37"/>
  <c r="P103" i="37"/>
  <c r="AG103" i="37"/>
  <c r="AH103" i="37"/>
  <c r="H103" i="37"/>
  <c r="AI103" i="37"/>
  <c r="F104" i="37"/>
  <c r="M104" i="37"/>
  <c r="AC104" i="37"/>
  <c r="L104" i="37"/>
  <c r="AD104" i="37"/>
  <c r="G104" i="37"/>
  <c r="N104" i="37"/>
  <c r="AE104" i="37"/>
  <c r="O104" i="37"/>
  <c r="AF104" i="37"/>
  <c r="P104" i="37"/>
  <c r="AG104" i="37"/>
  <c r="AH104" i="37"/>
  <c r="H104" i="37"/>
  <c r="AI104" i="37"/>
  <c r="AI107" i="37"/>
  <c r="H13" i="41"/>
  <c r="J13" i="41"/>
  <c r="J15" i="41"/>
  <c r="D35" i="41"/>
  <c r="E44" i="41"/>
  <c r="F44" i="41"/>
  <c r="G44" i="41"/>
  <c r="J10" i="8"/>
  <c r="D10" i="8"/>
  <c r="J32" i="8"/>
  <c r="D32" i="8"/>
  <c r="F60" i="42"/>
  <c r="E12" i="45"/>
  <c r="K12" i="45"/>
  <c r="AC12" i="45"/>
  <c r="L12" i="45"/>
  <c r="AD12" i="45"/>
  <c r="N12" i="45"/>
  <c r="AE12" i="45"/>
  <c r="O12" i="45"/>
  <c r="AF12" i="45"/>
  <c r="P12" i="45"/>
  <c r="AG12" i="45"/>
  <c r="AH12" i="45"/>
  <c r="H12" i="45"/>
  <c r="AI12" i="45"/>
  <c r="J12" i="45"/>
  <c r="E13" i="45"/>
  <c r="K13" i="45"/>
  <c r="M13" i="45"/>
  <c r="AC13" i="45"/>
  <c r="L13" i="45"/>
  <c r="AD13" i="45"/>
  <c r="N13" i="45"/>
  <c r="AE13" i="45"/>
  <c r="O13" i="45"/>
  <c r="AF13" i="45"/>
  <c r="P13" i="45"/>
  <c r="AG13" i="45"/>
  <c r="AH13" i="45"/>
  <c r="H13" i="45"/>
  <c r="AI13" i="45"/>
  <c r="J13" i="45"/>
  <c r="E14" i="45"/>
  <c r="K14" i="45"/>
  <c r="M14" i="45"/>
  <c r="AC14" i="45"/>
  <c r="L14" i="45"/>
  <c r="AD14" i="45"/>
  <c r="N14" i="45"/>
  <c r="AE14" i="45"/>
  <c r="O14" i="45"/>
  <c r="AF14" i="45"/>
  <c r="P14" i="45"/>
  <c r="AG14" i="45"/>
  <c r="AH14" i="45"/>
  <c r="H14" i="45"/>
  <c r="AI14" i="45"/>
  <c r="J14" i="45"/>
  <c r="E15" i="45"/>
  <c r="K15" i="45"/>
  <c r="M15" i="45"/>
  <c r="AC15" i="45"/>
  <c r="L15" i="45"/>
  <c r="AD15" i="45"/>
  <c r="N15" i="45"/>
  <c r="AE15" i="45"/>
  <c r="O15" i="45"/>
  <c r="AF15" i="45"/>
  <c r="P15" i="45"/>
  <c r="AG15" i="45"/>
  <c r="AH15" i="45"/>
  <c r="H15" i="45"/>
  <c r="AI15" i="45"/>
  <c r="J15" i="45"/>
  <c r="E16" i="45"/>
  <c r="K16" i="45"/>
  <c r="F61" i="42"/>
  <c r="F16" i="45"/>
  <c r="M16" i="45"/>
  <c r="AC16" i="45"/>
  <c r="L16" i="45"/>
  <c r="AD16" i="45"/>
  <c r="N16" i="45"/>
  <c r="AE16" i="45"/>
  <c r="O16" i="45"/>
  <c r="AF16" i="45"/>
  <c r="P16" i="45"/>
  <c r="AG16" i="45"/>
  <c r="AH16" i="45"/>
  <c r="H16" i="45"/>
  <c r="AI16" i="45"/>
  <c r="J16" i="45"/>
  <c r="E17" i="45"/>
  <c r="K17" i="45"/>
  <c r="F17" i="45"/>
  <c r="M17" i="45"/>
  <c r="AC17" i="45"/>
  <c r="L17" i="45"/>
  <c r="AD17" i="45"/>
  <c r="N17" i="45"/>
  <c r="AE17" i="45"/>
  <c r="O17" i="45"/>
  <c r="AF17" i="45"/>
  <c r="P17" i="45"/>
  <c r="AG17" i="45"/>
  <c r="AH17" i="45"/>
  <c r="H17" i="45"/>
  <c r="AI17" i="45"/>
  <c r="J17" i="45"/>
  <c r="E18" i="45"/>
  <c r="K18" i="45"/>
  <c r="F18" i="45"/>
  <c r="M18" i="45"/>
  <c r="AC18" i="45"/>
  <c r="L18" i="45"/>
  <c r="AD18" i="45"/>
  <c r="N18" i="45"/>
  <c r="AE18" i="45"/>
  <c r="O18" i="45"/>
  <c r="AF18" i="45"/>
  <c r="P18" i="45"/>
  <c r="AG18" i="45"/>
  <c r="AH18" i="45"/>
  <c r="H18" i="45"/>
  <c r="AI18" i="45"/>
  <c r="J18" i="45"/>
  <c r="E19" i="45"/>
  <c r="K19" i="45"/>
  <c r="F19" i="45"/>
  <c r="M19" i="45"/>
  <c r="AC19" i="45"/>
  <c r="L19" i="45"/>
  <c r="AD19" i="45"/>
  <c r="N19" i="45"/>
  <c r="AE19" i="45"/>
  <c r="O19" i="45"/>
  <c r="AF19" i="45"/>
  <c r="P19" i="45"/>
  <c r="AG19" i="45"/>
  <c r="AH19" i="45"/>
  <c r="H19" i="45"/>
  <c r="AI19" i="45"/>
  <c r="J19" i="45"/>
  <c r="E20" i="45"/>
  <c r="K20" i="45"/>
  <c r="F20" i="45"/>
  <c r="M20" i="45"/>
  <c r="AC20" i="45"/>
  <c r="L20" i="45"/>
  <c r="AD20" i="45"/>
  <c r="N20" i="45"/>
  <c r="AE20" i="45"/>
  <c r="O20" i="45"/>
  <c r="AF20" i="45"/>
  <c r="P20" i="45"/>
  <c r="AG20" i="45"/>
  <c r="AH20" i="45"/>
  <c r="H20" i="45"/>
  <c r="AI20" i="45"/>
  <c r="J20" i="45"/>
  <c r="E21" i="45"/>
  <c r="K21" i="45"/>
  <c r="F21" i="45"/>
  <c r="M21" i="45"/>
  <c r="AC21" i="45"/>
  <c r="L21" i="45"/>
  <c r="AD21" i="45"/>
  <c r="N21" i="45"/>
  <c r="AE21" i="45"/>
  <c r="O21" i="45"/>
  <c r="AF21" i="45"/>
  <c r="P21" i="45"/>
  <c r="AG21" i="45"/>
  <c r="AH21" i="45"/>
  <c r="H21" i="45"/>
  <c r="AI21" i="45"/>
  <c r="J21" i="45"/>
  <c r="E22" i="45"/>
  <c r="K22" i="45"/>
  <c r="F22" i="45"/>
  <c r="M22" i="45"/>
  <c r="AC22" i="45"/>
  <c r="L22" i="45"/>
  <c r="AD22" i="45"/>
  <c r="N22" i="45"/>
  <c r="AE22" i="45"/>
  <c r="O22" i="45"/>
  <c r="AF22" i="45"/>
  <c r="P22" i="45"/>
  <c r="AG22" i="45"/>
  <c r="AH22" i="45"/>
  <c r="H22" i="45"/>
  <c r="AI22" i="45"/>
  <c r="J22" i="45"/>
  <c r="E23" i="45"/>
  <c r="K23" i="45"/>
  <c r="F23" i="45"/>
  <c r="M23" i="45"/>
  <c r="AC23" i="45"/>
  <c r="L23" i="45"/>
  <c r="AD23" i="45"/>
  <c r="N23" i="45"/>
  <c r="AE23" i="45"/>
  <c r="O23" i="45"/>
  <c r="AF23" i="45"/>
  <c r="P23" i="45"/>
  <c r="AG23" i="45"/>
  <c r="AH23" i="45"/>
  <c r="H23" i="45"/>
  <c r="AI23" i="45"/>
  <c r="J23" i="45"/>
  <c r="E24" i="45"/>
  <c r="K24" i="45"/>
  <c r="F24" i="45"/>
  <c r="M24" i="45"/>
  <c r="AC24" i="45"/>
  <c r="L24" i="45"/>
  <c r="AD24" i="45"/>
  <c r="N24" i="45"/>
  <c r="AE24" i="45"/>
  <c r="O24" i="45"/>
  <c r="AF24" i="45"/>
  <c r="P24" i="45"/>
  <c r="AG24" i="45"/>
  <c r="AH24" i="45"/>
  <c r="H24" i="45"/>
  <c r="AI24" i="45"/>
  <c r="J24" i="45"/>
  <c r="E25" i="45"/>
  <c r="K25" i="45"/>
  <c r="F25" i="45"/>
  <c r="M25" i="45"/>
  <c r="AC25" i="45"/>
  <c r="L25" i="45"/>
  <c r="AD25" i="45"/>
  <c r="N25" i="45"/>
  <c r="AE25" i="45"/>
  <c r="O25" i="45"/>
  <c r="AF25" i="45"/>
  <c r="P25" i="45"/>
  <c r="AG25" i="45"/>
  <c r="AH25" i="45"/>
  <c r="H25" i="45"/>
  <c r="AI25" i="45"/>
  <c r="J25" i="45"/>
  <c r="E26" i="45"/>
  <c r="K26" i="45"/>
  <c r="F26" i="45"/>
  <c r="M26" i="45"/>
  <c r="AC26" i="45"/>
  <c r="L26" i="45"/>
  <c r="AD26" i="45"/>
  <c r="N26" i="45"/>
  <c r="AE26" i="45"/>
  <c r="O26" i="45"/>
  <c r="AF26" i="45"/>
  <c r="P26" i="45"/>
  <c r="AG26" i="45"/>
  <c r="AH26" i="45"/>
  <c r="H26" i="45"/>
  <c r="AI26" i="45"/>
  <c r="J26" i="45"/>
  <c r="E27" i="45"/>
  <c r="K27" i="45"/>
  <c r="F27" i="45"/>
  <c r="M27" i="45"/>
  <c r="AC27" i="45"/>
  <c r="L27" i="45"/>
  <c r="AD27" i="45"/>
  <c r="N27" i="45"/>
  <c r="AE27" i="45"/>
  <c r="O27" i="45"/>
  <c r="AF27" i="45"/>
  <c r="P27" i="45"/>
  <c r="AG27" i="45"/>
  <c r="AH27" i="45"/>
  <c r="H27" i="45"/>
  <c r="AI27" i="45"/>
  <c r="J27" i="45"/>
  <c r="E28" i="45"/>
  <c r="K28" i="45"/>
  <c r="F28" i="45"/>
  <c r="M28" i="45"/>
  <c r="AC28" i="45"/>
  <c r="L28" i="45"/>
  <c r="AD28" i="45"/>
  <c r="F62" i="42"/>
  <c r="G28" i="45"/>
  <c r="N28" i="45"/>
  <c r="AE28" i="45"/>
  <c r="O28" i="45"/>
  <c r="AF28" i="45"/>
  <c r="P28" i="45"/>
  <c r="AG28" i="45"/>
  <c r="AH28" i="45"/>
  <c r="H28" i="45"/>
  <c r="AI28" i="45"/>
  <c r="J28" i="45"/>
  <c r="E29" i="45"/>
  <c r="K29" i="45"/>
  <c r="F29" i="45"/>
  <c r="M29" i="45"/>
  <c r="AC29" i="45"/>
  <c r="L29" i="45"/>
  <c r="AD29" i="45"/>
  <c r="G29" i="45"/>
  <c r="N29" i="45"/>
  <c r="AE29" i="45"/>
  <c r="O29" i="45"/>
  <c r="AF29" i="45"/>
  <c r="P29" i="45"/>
  <c r="AG29" i="45"/>
  <c r="AH29" i="45"/>
  <c r="H29" i="45"/>
  <c r="AI29" i="45"/>
  <c r="J29" i="45"/>
  <c r="E30" i="45"/>
  <c r="K30" i="45"/>
  <c r="F30" i="45"/>
  <c r="M30" i="45"/>
  <c r="AC30" i="45"/>
  <c r="L30" i="45"/>
  <c r="AD30" i="45"/>
  <c r="G30" i="45"/>
  <c r="N30" i="45"/>
  <c r="AE30" i="45"/>
  <c r="O30" i="45"/>
  <c r="AF30" i="45"/>
  <c r="P30" i="45"/>
  <c r="AG30" i="45"/>
  <c r="AH30" i="45"/>
  <c r="H30" i="45"/>
  <c r="AI30" i="45"/>
  <c r="J30" i="45"/>
  <c r="E31" i="45"/>
  <c r="K31" i="45"/>
  <c r="F31" i="45"/>
  <c r="M31" i="45"/>
  <c r="AC31" i="45"/>
  <c r="L31" i="45"/>
  <c r="AD31" i="45"/>
  <c r="G31" i="45"/>
  <c r="N31" i="45"/>
  <c r="AE31" i="45"/>
  <c r="O31" i="45"/>
  <c r="AF31" i="45"/>
  <c r="P31" i="45"/>
  <c r="AG31" i="45"/>
  <c r="AH31" i="45"/>
  <c r="H31" i="45"/>
  <c r="AI31" i="45"/>
  <c r="J31" i="45"/>
  <c r="E32" i="45"/>
  <c r="K32" i="45"/>
  <c r="F32" i="45"/>
  <c r="M32" i="45"/>
  <c r="AC32" i="45"/>
  <c r="L32" i="45"/>
  <c r="AD32" i="45"/>
  <c r="G32" i="45"/>
  <c r="N32" i="45"/>
  <c r="AE32" i="45"/>
  <c r="O32" i="45"/>
  <c r="AF32" i="45"/>
  <c r="P32" i="45"/>
  <c r="AG32" i="45"/>
  <c r="AH32" i="45"/>
  <c r="H32" i="45"/>
  <c r="AI32" i="45"/>
  <c r="J32" i="45"/>
  <c r="E33" i="45"/>
  <c r="K33" i="45"/>
  <c r="F33" i="45"/>
  <c r="M33" i="45"/>
  <c r="AC33" i="45"/>
  <c r="L33" i="45"/>
  <c r="AD33" i="45"/>
  <c r="G33" i="45"/>
  <c r="N33" i="45"/>
  <c r="AE33" i="45"/>
  <c r="O33" i="45"/>
  <c r="AF33" i="45"/>
  <c r="P33" i="45"/>
  <c r="AG33" i="45"/>
  <c r="AH33" i="45"/>
  <c r="H33" i="45"/>
  <c r="AI33" i="45"/>
  <c r="J33" i="45"/>
  <c r="E34" i="45"/>
  <c r="K34" i="45"/>
  <c r="F34" i="45"/>
  <c r="M34" i="45"/>
  <c r="AC34" i="45"/>
  <c r="L34" i="45"/>
  <c r="AD34" i="45"/>
  <c r="G34" i="45"/>
  <c r="N34" i="45"/>
  <c r="AE34" i="45"/>
  <c r="O34" i="45"/>
  <c r="AF34" i="45"/>
  <c r="P34" i="45"/>
  <c r="AG34" i="45"/>
  <c r="AH34" i="45"/>
  <c r="H34" i="45"/>
  <c r="AI34" i="45"/>
  <c r="J34" i="45"/>
  <c r="E35" i="45"/>
  <c r="K35" i="45"/>
  <c r="F35" i="45"/>
  <c r="M35" i="45"/>
  <c r="AC35" i="45"/>
  <c r="L35" i="45"/>
  <c r="AD35" i="45"/>
  <c r="G35" i="45"/>
  <c r="N35" i="45"/>
  <c r="AE35" i="45"/>
  <c r="O35" i="45"/>
  <c r="AF35" i="45"/>
  <c r="P35" i="45"/>
  <c r="AG35" i="45"/>
  <c r="AH35" i="45"/>
  <c r="H35" i="45"/>
  <c r="AI35" i="45"/>
  <c r="J35" i="45"/>
  <c r="E36" i="45"/>
  <c r="K36" i="45"/>
  <c r="F36" i="45"/>
  <c r="M36" i="45"/>
  <c r="AC36" i="45"/>
  <c r="L36" i="45"/>
  <c r="AD36" i="45"/>
  <c r="G36" i="45"/>
  <c r="N36" i="45"/>
  <c r="AE36" i="45"/>
  <c r="O36" i="45"/>
  <c r="AF36" i="45"/>
  <c r="P36" i="45"/>
  <c r="AG36" i="45"/>
  <c r="AH36" i="45"/>
  <c r="H36" i="45"/>
  <c r="AI36" i="45"/>
  <c r="J36" i="45"/>
  <c r="E37" i="45"/>
  <c r="K37" i="45"/>
  <c r="F37" i="45"/>
  <c r="M37" i="45"/>
  <c r="AC37" i="45"/>
  <c r="L37" i="45"/>
  <c r="AD37" i="45"/>
  <c r="G37" i="45"/>
  <c r="N37" i="45"/>
  <c r="AE37" i="45"/>
  <c r="O37" i="45"/>
  <c r="AF37" i="45"/>
  <c r="P37" i="45"/>
  <c r="AG37" i="45"/>
  <c r="AH37" i="45"/>
  <c r="H37" i="45"/>
  <c r="AI37" i="45"/>
  <c r="J37" i="45"/>
  <c r="E38" i="45"/>
  <c r="K38" i="45"/>
  <c r="F38" i="45"/>
  <c r="M38" i="45"/>
  <c r="AC38" i="45"/>
  <c r="L38" i="45"/>
  <c r="AD38" i="45"/>
  <c r="G38" i="45"/>
  <c r="N38" i="45"/>
  <c r="AE38" i="45"/>
  <c r="O38" i="45"/>
  <c r="AF38" i="45"/>
  <c r="P38" i="45"/>
  <c r="AG38" i="45"/>
  <c r="AH38" i="45"/>
  <c r="H38" i="45"/>
  <c r="AI38" i="45"/>
  <c r="J38" i="45"/>
  <c r="E39" i="45"/>
  <c r="K39" i="45"/>
  <c r="F39" i="45"/>
  <c r="M39" i="45"/>
  <c r="AC39" i="45"/>
  <c r="L39" i="45"/>
  <c r="AD39" i="45"/>
  <c r="G39" i="45"/>
  <c r="N39" i="45"/>
  <c r="AE39" i="45"/>
  <c r="O39" i="45"/>
  <c r="AF39" i="45"/>
  <c r="P39" i="45"/>
  <c r="AG39" i="45"/>
  <c r="AH39" i="45"/>
  <c r="H39" i="45"/>
  <c r="AI39" i="45"/>
  <c r="J39" i="45"/>
  <c r="K40" i="45"/>
  <c r="F40" i="45"/>
  <c r="M40" i="45"/>
  <c r="AC40" i="45"/>
  <c r="L40" i="45"/>
  <c r="AD40" i="45"/>
  <c r="G40" i="45"/>
  <c r="N40" i="45"/>
  <c r="AE40" i="45"/>
  <c r="O40" i="45"/>
  <c r="AF40" i="45"/>
  <c r="P40" i="45"/>
  <c r="AG40" i="45"/>
  <c r="AH40" i="45"/>
  <c r="H40" i="45"/>
  <c r="AI40" i="45"/>
  <c r="J40" i="45"/>
  <c r="K41" i="45"/>
  <c r="F41" i="45"/>
  <c r="M41" i="45"/>
  <c r="AC41" i="45"/>
  <c r="L41" i="45"/>
  <c r="AD41" i="45"/>
  <c r="G41" i="45"/>
  <c r="N41" i="45"/>
  <c r="AE41" i="45"/>
  <c r="O41" i="45"/>
  <c r="AF41" i="45"/>
  <c r="P41" i="45"/>
  <c r="AG41" i="45"/>
  <c r="AH41" i="45"/>
  <c r="H41" i="45"/>
  <c r="AI41" i="45"/>
  <c r="J41" i="45"/>
  <c r="K42" i="45"/>
  <c r="F42" i="45"/>
  <c r="M42" i="45"/>
  <c r="AC42" i="45"/>
  <c r="L42" i="45"/>
  <c r="AD42" i="45"/>
  <c r="G42" i="45"/>
  <c r="N42" i="45"/>
  <c r="AE42" i="45"/>
  <c r="O42" i="45"/>
  <c r="AF42" i="45"/>
  <c r="P42" i="45"/>
  <c r="AG42" i="45"/>
  <c r="AH42" i="45"/>
  <c r="H42" i="45"/>
  <c r="AI42" i="45"/>
  <c r="J42" i="45"/>
  <c r="K43" i="45"/>
  <c r="F43" i="45"/>
  <c r="M43" i="45"/>
  <c r="AC43" i="45"/>
  <c r="L43" i="45"/>
  <c r="AD43" i="45"/>
  <c r="G43" i="45"/>
  <c r="N43" i="45"/>
  <c r="AE43" i="45"/>
  <c r="O43" i="45"/>
  <c r="AF43" i="45"/>
  <c r="P43" i="45"/>
  <c r="AG43" i="45"/>
  <c r="AH43" i="45"/>
  <c r="H43" i="45"/>
  <c r="AI43" i="45"/>
  <c r="J43" i="45"/>
  <c r="K44" i="45"/>
  <c r="F44" i="45"/>
  <c r="M44" i="45"/>
  <c r="AC44" i="45"/>
  <c r="L44" i="45"/>
  <c r="AD44" i="45"/>
  <c r="G44" i="45"/>
  <c r="N44" i="45"/>
  <c r="AE44" i="45"/>
  <c r="O44" i="45"/>
  <c r="AF44" i="45"/>
  <c r="P44" i="45"/>
  <c r="AG44" i="45"/>
  <c r="AH44" i="45"/>
  <c r="H44" i="45"/>
  <c r="AI44" i="45"/>
  <c r="J44" i="45"/>
  <c r="K45" i="45"/>
  <c r="F45" i="45"/>
  <c r="M45" i="45"/>
  <c r="AC45" i="45"/>
  <c r="L45" i="45"/>
  <c r="AD45" i="45"/>
  <c r="G45" i="45"/>
  <c r="N45" i="45"/>
  <c r="AE45" i="45"/>
  <c r="O45" i="45"/>
  <c r="AF45" i="45"/>
  <c r="P45" i="45"/>
  <c r="AG45" i="45"/>
  <c r="AH45" i="45"/>
  <c r="H45" i="45"/>
  <c r="AI45" i="45"/>
  <c r="J45" i="45"/>
  <c r="K46" i="45"/>
  <c r="F46" i="45"/>
  <c r="M46" i="45"/>
  <c r="AC46" i="45"/>
  <c r="L46" i="45"/>
  <c r="AD46" i="45"/>
  <c r="G46" i="45"/>
  <c r="N46" i="45"/>
  <c r="AE46" i="45"/>
  <c r="O46" i="45"/>
  <c r="AF46" i="45"/>
  <c r="P46" i="45"/>
  <c r="AG46" i="45"/>
  <c r="AH46" i="45"/>
  <c r="H46" i="45"/>
  <c r="AI46" i="45"/>
  <c r="J46" i="45"/>
  <c r="K47" i="45"/>
  <c r="F47" i="45"/>
  <c r="M47" i="45"/>
  <c r="AC47" i="45"/>
  <c r="L47" i="45"/>
  <c r="AD47" i="45"/>
  <c r="G47" i="45"/>
  <c r="N47" i="45"/>
  <c r="AE47" i="45"/>
  <c r="O47" i="45"/>
  <c r="AF47" i="45"/>
  <c r="P47" i="45"/>
  <c r="AG47" i="45"/>
  <c r="AH47" i="45"/>
  <c r="H47" i="45"/>
  <c r="AI47" i="45"/>
  <c r="J47" i="45"/>
  <c r="K48" i="45"/>
  <c r="F48" i="45"/>
  <c r="M48" i="45"/>
  <c r="AC48" i="45"/>
  <c r="L48" i="45"/>
  <c r="AD48" i="45"/>
  <c r="G48" i="45"/>
  <c r="N48" i="45"/>
  <c r="AE48" i="45"/>
  <c r="O48" i="45"/>
  <c r="AF48" i="45"/>
  <c r="P48" i="45"/>
  <c r="AG48" i="45"/>
  <c r="AH48" i="45"/>
  <c r="H48" i="45"/>
  <c r="AI48" i="45"/>
  <c r="J48" i="45"/>
  <c r="K49" i="45"/>
  <c r="F49" i="45"/>
  <c r="M49" i="45"/>
  <c r="AC49" i="45"/>
  <c r="L49" i="45"/>
  <c r="AD49" i="45"/>
  <c r="G49" i="45"/>
  <c r="N49" i="45"/>
  <c r="AE49" i="45"/>
  <c r="O49" i="45"/>
  <c r="AF49" i="45"/>
  <c r="P49" i="45"/>
  <c r="AG49" i="45"/>
  <c r="AH49" i="45"/>
  <c r="H49" i="45"/>
  <c r="AI49" i="45"/>
  <c r="J49" i="45"/>
  <c r="K50" i="45"/>
  <c r="F50" i="45"/>
  <c r="M50" i="45"/>
  <c r="AC50" i="45"/>
  <c r="L50" i="45"/>
  <c r="AD50" i="45"/>
  <c r="G50" i="45"/>
  <c r="N50" i="45"/>
  <c r="AE50" i="45"/>
  <c r="O50" i="45"/>
  <c r="AF50" i="45"/>
  <c r="P50" i="45"/>
  <c r="AG50" i="45"/>
  <c r="AH50" i="45"/>
  <c r="H50" i="45"/>
  <c r="AI50" i="45"/>
  <c r="J50" i="45"/>
  <c r="K51" i="45"/>
  <c r="F51" i="45"/>
  <c r="M51" i="45"/>
  <c r="AC51" i="45"/>
  <c r="L51" i="45"/>
  <c r="AD51" i="45"/>
  <c r="G51" i="45"/>
  <c r="N51" i="45"/>
  <c r="AE51" i="45"/>
  <c r="O51" i="45"/>
  <c r="AF51" i="45"/>
  <c r="P51" i="45"/>
  <c r="AG51" i="45"/>
  <c r="AH51" i="45"/>
  <c r="H51" i="45"/>
  <c r="AI51" i="45"/>
  <c r="J51" i="45"/>
  <c r="K52" i="45"/>
  <c r="F52" i="45"/>
  <c r="M52" i="45"/>
  <c r="AC52" i="45"/>
  <c r="L52" i="45"/>
  <c r="AD52" i="45"/>
  <c r="G52" i="45"/>
  <c r="N52" i="45"/>
  <c r="AE52" i="45"/>
  <c r="O52" i="45"/>
  <c r="AF52" i="45"/>
  <c r="P52" i="45"/>
  <c r="AG52" i="45"/>
  <c r="AH52" i="45"/>
  <c r="H52" i="45"/>
  <c r="AI52" i="45"/>
  <c r="J52" i="45"/>
  <c r="K53" i="45"/>
  <c r="F53" i="45"/>
  <c r="M53" i="45"/>
  <c r="AC53" i="45"/>
  <c r="L53" i="45"/>
  <c r="AD53" i="45"/>
  <c r="G53" i="45"/>
  <c r="N53" i="45"/>
  <c r="AE53" i="45"/>
  <c r="O53" i="45"/>
  <c r="AF53" i="45"/>
  <c r="P53" i="45"/>
  <c r="AG53" i="45"/>
  <c r="AH53" i="45"/>
  <c r="H53" i="45"/>
  <c r="AI53" i="45"/>
  <c r="J53" i="45"/>
  <c r="K54" i="45"/>
  <c r="F54" i="45"/>
  <c r="M54" i="45"/>
  <c r="AC54" i="45"/>
  <c r="L54" i="45"/>
  <c r="AD54" i="45"/>
  <c r="G54" i="45"/>
  <c r="N54" i="45"/>
  <c r="AE54" i="45"/>
  <c r="O54" i="45"/>
  <c r="AF54" i="45"/>
  <c r="P54" i="45"/>
  <c r="AG54" i="45"/>
  <c r="AH54" i="45"/>
  <c r="H54" i="45"/>
  <c r="AI54" i="45"/>
  <c r="J54" i="45"/>
  <c r="K55" i="45"/>
  <c r="F55" i="45"/>
  <c r="M55" i="45"/>
  <c r="AC55" i="45"/>
  <c r="L55" i="45"/>
  <c r="AD55" i="45"/>
  <c r="G55" i="45"/>
  <c r="N55" i="45"/>
  <c r="AE55" i="45"/>
  <c r="O55" i="45"/>
  <c r="AF55" i="45"/>
  <c r="P55" i="45"/>
  <c r="AG55" i="45"/>
  <c r="AH55" i="45"/>
  <c r="H55" i="45"/>
  <c r="AI55" i="45"/>
  <c r="J55" i="45"/>
  <c r="K56" i="45"/>
  <c r="F56" i="45"/>
  <c r="M56" i="45"/>
  <c r="AC56" i="45"/>
  <c r="L56" i="45"/>
  <c r="AD56" i="45"/>
  <c r="G56" i="45"/>
  <c r="N56" i="45"/>
  <c r="AE56" i="45"/>
  <c r="O56" i="45"/>
  <c r="AF56" i="45"/>
  <c r="P56" i="45"/>
  <c r="AG56" i="45"/>
  <c r="AH56" i="45"/>
  <c r="H56" i="45"/>
  <c r="AI56" i="45"/>
  <c r="J56" i="45"/>
  <c r="K57" i="45"/>
  <c r="F57" i="45"/>
  <c r="M57" i="45"/>
  <c r="AC57" i="45"/>
  <c r="L57" i="45"/>
  <c r="AD57" i="45"/>
  <c r="G57" i="45"/>
  <c r="N57" i="45"/>
  <c r="AE57" i="45"/>
  <c r="O57" i="45"/>
  <c r="AF57" i="45"/>
  <c r="P57" i="45"/>
  <c r="AG57" i="45"/>
  <c r="AH57" i="45"/>
  <c r="H57" i="45"/>
  <c r="AI57" i="45"/>
  <c r="J57" i="45"/>
  <c r="K58" i="45"/>
  <c r="F58" i="45"/>
  <c r="M58" i="45"/>
  <c r="AC58" i="45"/>
  <c r="L58" i="45"/>
  <c r="AD58" i="45"/>
  <c r="G58" i="45"/>
  <c r="N58" i="45"/>
  <c r="AE58" i="45"/>
  <c r="O58" i="45"/>
  <c r="AF58" i="45"/>
  <c r="P58" i="45"/>
  <c r="AG58" i="45"/>
  <c r="AH58" i="45"/>
  <c r="H58" i="45"/>
  <c r="AI58" i="45"/>
  <c r="J58" i="45"/>
  <c r="K59" i="45"/>
  <c r="F59" i="45"/>
  <c r="M59" i="45"/>
  <c r="AC59" i="45"/>
  <c r="L59" i="45"/>
  <c r="AD59" i="45"/>
  <c r="G59" i="45"/>
  <c r="N59" i="45"/>
  <c r="AE59" i="45"/>
  <c r="O59" i="45"/>
  <c r="AF59" i="45"/>
  <c r="P59" i="45"/>
  <c r="AG59" i="45"/>
  <c r="AH59" i="45"/>
  <c r="H59" i="45"/>
  <c r="AI59" i="45"/>
  <c r="J59" i="45"/>
  <c r="K60" i="45"/>
  <c r="F60" i="45"/>
  <c r="M60" i="45"/>
  <c r="AC60" i="45"/>
  <c r="L60" i="45"/>
  <c r="AD60" i="45"/>
  <c r="G60" i="45"/>
  <c r="N60" i="45"/>
  <c r="AE60" i="45"/>
  <c r="O60" i="45"/>
  <c r="AF60" i="45"/>
  <c r="P60" i="45"/>
  <c r="AG60" i="45"/>
  <c r="AH60" i="45"/>
  <c r="H60" i="45"/>
  <c r="AI60" i="45"/>
  <c r="J60" i="45"/>
  <c r="K61" i="45"/>
  <c r="F61" i="45"/>
  <c r="M61" i="45"/>
  <c r="AC61" i="45"/>
  <c r="L61" i="45"/>
  <c r="AD61" i="45"/>
  <c r="G61" i="45"/>
  <c r="N61" i="45"/>
  <c r="AE61" i="45"/>
  <c r="O61" i="45"/>
  <c r="AF61" i="45"/>
  <c r="P61" i="45"/>
  <c r="AG61" i="45"/>
  <c r="AH61" i="45"/>
  <c r="H61" i="45"/>
  <c r="AI61" i="45"/>
  <c r="J61" i="45"/>
  <c r="K62" i="45"/>
  <c r="F62" i="45"/>
  <c r="M62" i="45"/>
  <c r="AC62" i="45"/>
  <c r="L62" i="45"/>
  <c r="AD62" i="45"/>
  <c r="G62" i="45"/>
  <c r="N62" i="45"/>
  <c r="AE62" i="45"/>
  <c r="O62" i="45"/>
  <c r="AF62" i="45"/>
  <c r="P62" i="45"/>
  <c r="AG62" i="45"/>
  <c r="AH62" i="45"/>
  <c r="H62" i="45"/>
  <c r="AI62" i="45"/>
  <c r="J62" i="45"/>
  <c r="K63" i="45"/>
  <c r="F63" i="45"/>
  <c r="M63" i="45"/>
  <c r="AC63" i="45"/>
  <c r="L63" i="45"/>
  <c r="AD63" i="45"/>
  <c r="G63" i="45"/>
  <c r="N63" i="45"/>
  <c r="AE63" i="45"/>
  <c r="O63" i="45"/>
  <c r="AF63" i="45"/>
  <c r="P63" i="45"/>
  <c r="AG63" i="45"/>
  <c r="AH63" i="45"/>
  <c r="H63" i="45"/>
  <c r="AI63" i="45"/>
  <c r="J63" i="45"/>
  <c r="K64" i="45"/>
  <c r="F64" i="45"/>
  <c r="M64" i="45"/>
  <c r="AC64" i="45"/>
  <c r="L64" i="45"/>
  <c r="AD64" i="45"/>
  <c r="G64" i="45"/>
  <c r="N64" i="45"/>
  <c r="AE64" i="45"/>
  <c r="O64" i="45"/>
  <c r="AF64" i="45"/>
  <c r="P64" i="45"/>
  <c r="AG64" i="45"/>
  <c r="AH64" i="45"/>
  <c r="H64" i="45"/>
  <c r="AI64" i="45"/>
  <c r="J64" i="45"/>
  <c r="K65" i="45"/>
  <c r="F65" i="45"/>
  <c r="M65" i="45"/>
  <c r="AC65" i="45"/>
  <c r="L65" i="45"/>
  <c r="AD65" i="45"/>
  <c r="G65" i="45"/>
  <c r="N65" i="45"/>
  <c r="AE65" i="45"/>
  <c r="O65" i="45"/>
  <c r="AF65" i="45"/>
  <c r="P65" i="45"/>
  <c r="AG65" i="45"/>
  <c r="AH65" i="45"/>
  <c r="H65" i="45"/>
  <c r="AI65" i="45"/>
  <c r="J65" i="45"/>
  <c r="K66" i="45"/>
  <c r="F66" i="45"/>
  <c r="M66" i="45"/>
  <c r="AC66" i="45"/>
  <c r="L66" i="45"/>
  <c r="AD66" i="45"/>
  <c r="G66" i="45"/>
  <c r="N66" i="45"/>
  <c r="AE66" i="45"/>
  <c r="O66" i="45"/>
  <c r="AF66" i="45"/>
  <c r="P66" i="45"/>
  <c r="AG66" i="45"/>
  <c r="AH66" i="45"/>
  <c r="H66" i="45"/>
  <c r="AI66" i="45"/>
  <c r="J66" i="45"/>
  <c r="K67" i="45"/>
  <c r="F67" i="45"/>
  <c r="M67" i="45"/>
  <c r="AC67" i="45"/>
  <c r="L67" i="45"/>
  <c r="AD67" i="45"/>
  <c r="G67" i="45"/>
  <c r="N67" i="45"/>
  <c r="AE67" i="45"/>
  <c r="O67" i="45"/>
  <c r="AF67" i="45"/>
  <c r="P67" i="45"/>
  <c r="AG67" i="45"/>
  <c r="AH67" i="45"/>
  <c r="H67" i="45"/>
  <c r="AI67" i="45"/>
  <c r="J67" i="45"/>
  <c r="K68" i="45"/>
  <c r="F68" i="45"/>
  <c r="M68" i="45"/>
  <c r="AC68" i="45"/>
  <c r="L68" i="45"/>
  <c r="AD68" i="45"/>
  <c r="G68" i="45"/>
  <c r="N68" i="45"/>
  <c r="AE68" i="45"/>
  <c r="O68" i="45"/>
  <c r="AF68" i="45"/>
  <c r="P68" i="45"/>
  <c r="AG68" i="45"/>
  <c r="AH68" i="45"/>
  <c r="H68" i="45"/>
  <c r="AI68" i="45"/>
  <c r="J68" i="45"/>
  <c r="K69" i="45"/>
  <c r="F69" i="45"/>
  <c r="M69" i="45"/>
  <c r="AC69" i="45"/>
  <c r="L69" i="45"/>
  <c r="AD69" i="45"/>
  <c r="G69" i="45"/>
  <c r="N69" i="45"/>
  <c r="AE69" i="45"/>
  <c r="O69" i="45"/>
  <c r="AF69" i="45"/>
  <c r="P69" i="45"/>
  <c r="AG69" i="45"/>
  <c r="AH69" i="45"/>
  <c r="H69" i="45"/>
  <c r="AI69" i="45"/>
  <c r="J69" i="45"/>
  <c r="K70" i="45"/>
  <c r="F70" i="45"/>
  <c r="M70" i="45"/>
  <c r="AC70" i="45"/>
  <c r="L70" i="45"/>
  <c r="AD70" i="45"/>
  <c r="G70" i="45"/>
  <c r="N70" i="45"/>
  <c r="AE70" i="45"/>
  <c r="O70" i="45"/>
  <c r="AF70" i="45"/>
  <c r="P70" i="45"/>
  <c r="AG70" i="45"/>
  <c r="AH70" i="45"/>
  <c r="H70" i="45"/>
  <c r="AI70" i="45"/>
  <c r="J70" i="45"/>
  <c r="K71" i="45"/>
  <c r="F71" i="45"/>
  <c r="M71" i="45"/>
  <c r="AC71" i="45"/>
  <c r="L71" i="45"/>
  <c r="AD71" i="45"/>
  <c r="G71" i="45"/>
  <c r="N71" i="45"/>
  <c r="AE71" i="45"/>
  <c r="O71" i="45"/>
  <c r="AF71" i="45"/>
  <c r="P71" i="45"/>
  <c r="AG71" i="45"/>
  <c r="AH71" i="45"/>
  <c r="H71" i="45"/>
  <c r="AI71" i="45"/>
  <c r="J71" i="45"/>
  <c r="K72" i="45"/>
  <c r="F72" i="45"/>
  <c r="M72" i="45"/>
  <c r="AC72" i="45"/>
  <c r="L72" i="45"/>
  <c r="AD72" i="45"/>
  <c r="G72" i="45"/>
  <c r="N72" i="45"/>
  <c r="AE72" i="45"/>
  <c r="O72" i="45"/>
  <c r="AF72" i="45"/>
  <c r="P72" i="45"/>
  <c r="AG72" i="45"/>
  <c r="AH72" i="45"/>
  <c r="H72" i="45"/>
  <c r="AI72" i="45"/>
  <c r="J72" i="45"/>
  <c r="K73" i="45"/>
  <c r="F73" i="45"/>
  <c r="M73" i="45"/>
  <c r="AC73" i="45"/>
  <c r="L73" i="45"/>
  <c r="AD73" i="45"/>
  <c r="G73" i="45"/>
  <c r="N73" i="45"/>
  <c r="AE73" i="45"/>
  <c r="O73" i="45"/>
  <c r="AF73" i="45"/>
  <c r="P73" i="45"/>
  <c r="AG73" i="45"/>
  <c r="AH73" i="45"/>
  <c r="H73" i="45"/>
  <c r="AI73" i="45"/>
  <c r="J73" i="45"/>
  <c r="K74" i="45"/>
  <c r="F74" i="45"/>
  <c r="M74" i="45"/>
  <c r="AC74" i="45"/>
  <c r="L74" i="45"/>
  <c r="AD74" i="45"/>
  <c r="G74" i="45"/>
  <c r="N74" i="45"/>
  <c r="AE74" i="45"/>
  <c r="O74" i="45"/>
  <c r="AF74" i="45"/>
  <c r="P74" i="45"/>
  <c r="AG74" i="45"/>
  <c r="AH74" i="45"/>
  <c r="H74" i="45"/>
  <c r="AI74" i="45"/>
  <c r="J74" i="45"/>
  <c r="K75" i="45"/>
  <c r="F75" i="45"/>
  <c r="M75" i="45"/>
  <c r="AC75" i="45"/>
  <c r="L75" i="45"/>
  <c r="AD75" i="45"/>
  <c r="G75" i="45"/>
  <c r="N75" i="45"/>
  <c r="AE75" i="45"/>
  <c r="O75" i="45"/>
  <c r="AF75" i="45"/>
  <c r="P75" i="45"/>
  <c r="AG75" i="45"/>
  <c r="AH75" i="45"/>
  <c r="H75" i="45"/>
  <c r="AI75" i="45"/>
  <c r="J75" i="45"/>
  <c r="K76" i="45"/>
  <c r="F76" i="45"/>
  <c r="M76" i="45"/>
  <c r="AC76" i="45"/>
  <c r="L76" i="45"/>
  <c r="AD76" i="45"/>
  <c r="G76" i="45"/>
  <c r="N76" i="45"/>
  <c r="AE76" i="45"/>
  <c r="O76" i="45"/>
  <c r="AF76" i="45"/>
  <c r="P76" i="45"/>
  <c r="AG76" i="45"/>
  <c r="AH76" i="45"/>
  <c r="H76" i="45"/>
  <c r="AI76" i="45"/>
  <c r="J76" i="45"/>
  <c r="K77" i="45"/>
  <c r="F77" i="45"/>
  <c r="M77" i="45"/>
  <c r="AC77" i="45"/>
  <c r="L77" i="45"/>
  <c r="AD77" i="45"/>
  <c r="G77" i="45"/>
  <c r="N77" i="45"/>
  <c r="AE77" i="45"/>
  <c r="O77" i="45"/>
  <c r="AF77" i="45"/>
  <c r="P77" i="45"/>
  <c r="AG77" i="45"/>
  <c r="AH77" i="45"/>
  <c r="H77" i="45"/>
  <c r="AI77" i="45"/>
  <c r="J77" i="45"/>
  <c r="K78" i="45"/>
  <c r="F78" i="45"/>
  <c r="M78" i="45"/>
  <c r="AC78" i="45"/>
  <c r="L78" i="45"/>
  <c r="AD78" i="45"/>
  <c r="G78" i="45"/>
  <c r="N78" i="45"/>
  <c r="AE78" i="45"/>
  <c r="O78" i="45"/>
  <c r="AF78" i="45"/>
  <c r="P78" i="45"/>
  <c r="AG78" i="45"/>
  <c r="AH78" i="45"/>
  <c r="H78" i="45"/>
  <c r="AI78" i="45"/>
  <c r="J78" i="45"/>
  <c r="K79" i="45"/>
  <c r="F79" i="45"/>
  <c r="M79" i="45"/>
  <c r="AC79" i="45"/>
  <c r="L79" i="45"/>
  <c r="AD79" i="45"/>
  <c r="G79" i="45"/>
  <c r="N79" i="45"/>
  <c r="AE79" i="45"/>
  <c r="O79" i="45"/>
  <c r="AF79" i="45"/>
  <c r="P79" i="45"/>
  <c r="AG79" i="45"/>
  <c r="AH79" i="45"/>
  <c r="H79" i="45"/>
  <c r="AI79" i="45"/>
  <c r="J79" i="45"/>
  <c r="K80" i="45"/>
  <c r="F80" i="45"/>
  <c r="M80" i="45"/>
  <c r="AC80" i="45"/>
  <c r="L80" i="45"/>
  <c r="AD80" i="45"/>
  <c r="G80" i="45"/>
  <c r="N80" i="45"/>
  <c r="AE80" i="45"/>
  <c r="O80" i="45"/>
  <c r="AF80" i="45"/>
  <c r="P80" i="45"/>
  <c r="AG80" i="45"/>
  <c r="AH80" i="45"/>
  <c r="H80" i="45"/>
  <c r="AI80" i="45"/>
  <c r="J80" i="45"/>
  <c r="K81" i="45"/>
  <c r="F81" i="45"/>
  <c r="M81" i="45"/>
  <c r="AC81" i="45"/>
  <c r="L81" i="45"/>
  <c r="AD81" i="45"/>
  <c r="G81" i="45"/>
  <c r="N81" i="45"/>
  <c r="AE81" i="45"/>
  <c r="O81" i="45"/>
  <c r="AF81" i="45"/>
  <c r="P81" i="45"/>
  <c r="AG81" i="45"/>
  <c r="AH81" i="45"/>
  <c r="H81" i="45"/>
  <c r="AI81" i="45"/>
  <c r="J81" i="45"/>
  <c r="K82" i="45"/>
  <c r="F82" i="45"/>
  <c r="M82" i="45"/>
  <c r="AC82" i="45"/>
  <c r="L82" i="45"/>
  <c r="AD82" i="45"/>
  <c r="G82" i="45"/>
  <c r="N82" i="45"/>
  <c r="AE82" i="45"/>
  <c r="O82" i="45"/>
  <c r="AF82" i="45"/>
  <c r="P82" i="45"/>
  <c r="AG82" i="45"/>
  <c r="AH82" i="45"/>
  <c r="H82" i="45"/>
  <c r="AI82" i="45"/>
  <c r="J82" i="45"/>
  <c r="K83" i="45"/>
  <c r="F83" i="45"/>
  <c r="M83" i="45"/>
  <c r="AC83" i="45"/>
  <c r="L83" i="45"/>
  <c r="AD83" i="45"/>
  <c r="G83" i="45"/>
  <c r="N83" i="45"/>
  <c r="AE83" i="45"/>
  <c r="O83" i="45"/>
  <c r="AF83" i="45"/>
  <c r="P83" i="45"/>
  <c r="AG83" i="45"/>
  <c r="AH83" i="45"/>
  <c r="H83" i="45"/>
  <c r="AI83" i="45"/>
  <c r="J83" i="45"/>
  <c r="K84" i="45"/>
  <c r="F84" i="45"/>
  <c r="M84" i="45"/>
  <c r="AC84" i="45"/>
  <c r="L84" i="45"/>
  <c r="AD84" i="45"/>
  <c r="G84" i="45"/>
  <c r="N84" i="45"/>
  <c r="AE84" i="45"/>
  <c r="O84" i="45"/>
  <c r="AF84" i="45"/>
  <c r="P84" i="45"/>
  <c r="AG84" i="45"/>
  <c r="AH84" i="45"/>
  <c r="H84" i="45"/>
  <c r="AI84" i="45"/>
  <c r="J84" i="45"/>
  <c r="K85" i="45"/>
  <c r="F85" i="45"/>
  <c r="M85" i="45"/>
  <c r="AC85" i="45"/>
  <c r="L85" i="45"/>
  <c r="AD85" i="45"/>
  <c r="G85" i="45"/>
  <c r="N85" i="45"/>
  <c r="AE85" i="45"/>
  <c r="O85" i="45"/>
  <c r="AF85" i="45"/>
  <c r="P85" i="45"/>
  <c r="AG85" i="45"/>
  <c r="AH85" i="45"/>
  <c r="H85" i="45"/>
  <c r="AI85" i="45"/>
  <c r="J85" i="45"/>
  <c r="K86" i="45"/>
  <c r="F86" i="45"/>
  <c r="M86" i="45"/>
  <c r="AC86" i="45"/>
  <c r="L86" i="45"/>
  <c r="AD86" i="45"/>
  <c r="G86" i="45"/>
  <c r="N86" i="45"/>
  <c r="AE86" i="45"/>
  <c r="O86" i="45"/>
  <c r="AF86" i="45"/>
  <c r="P86" i="45"/>
  <c r="AG86" i="45"/>
  <c r="AH86" i="45"/>
  <c r="H86" i="45"/>
  <c r="AI86" i="45"/>
  <c r="J86" i="45"/>
  <c r="K87" i="45"/>
  <c r="F87" i="45"/>
  <c r="M87" i="45"/>
  <c r="AC87" i="45"/>
  <c r="L87" i="45"/>
  <c r="AD87" i="45"/>
  <c r="G87" i="45"/>
  <c r="N87" i="45"/>
  <c r="AE87" i="45"/>
  <c r="O87" i="45"/>
  <c r="AF87" i="45"/>
  <c r="P87" i="45"/>
  <c r="AG87" i="45"/>
  <c r="AH87" i="45"/>
  <c r="H87" i="45"/>
  <c r="AI87" i="45"/>
  <c r="J87" i="45"/>
  <c r="K88" i="45"/>
  <c r="F88" i="45"/>
  <c r="M88" i="45"/>
  <c r="AC88" i="45"/>
  <c r="L88" i="45"/>
  <c r="AD88" i="45"/>
  <c r="G88" i="45"/>
  <c r="N88" i="45"/>
  <c r="AE88" i="45"/>
  <c r="O88" i="45"/>
  <c r="AF88" i="45"/>
  <c r="P88" i="45"/>
  <c r="AG88" i="45"/>
  <c r="AH88" i="45"/>
  <c r="H88" i="45"/>
  <c r="AI88" i="45"/>
  <c r="J88" i="45"/>
  <c r="K89" i="45"/>
  <c r="F89" i="45"/>
  <c r="M89" i="45"/>
  <c r="AC89" i="45"/>
  <c r="L89" i="45"/>
  <c r="AD89" i="45"/>
  <c r="G89" i="45"/>
  <c r="N89" i="45"/>
  <c r="AE89" i="45"/>
  <c r="O89" i="45"/>
  <c r="AF89" i="45"/>
  <c r="P89" i="45"/>
  <c r="AG89" i="45"/>
  <c r="AH89" i="45"/>
  <c r="H89" i="45"/>
  <c r="AI89" i="45"/>
  <c r="J89" i="45"/>
  <c r="K90" i="45"/>
  <c r="F90" i="45"/>
  <c r="M90" i="45"/>
  <c r="AC90" i="45"/>
  <c r="L90" i="45"/>
  <c r="AD90" i="45"/>
  <c r="G90" i="45"/>
  <c r="N90" i="45"/>
  <c r="AE90" i="45"/>
  <c r="O90" i="45"/>
  <c r="AF90" i="45"/>
  <c r="P90" i="45"/>
  <c r="AG90" i="45"/>
  <c r="AH90" i="45"/>
  <c r="H90" i="45"/>
  <c r="AI90" i="45"/>
  <c r="J90" i="45"/>
  <c r="K91" i="45"/>
  <c r="F91" i="45"/>
  <c r="M91" i="45"/>
  <c r="AC91" i="45"/>
  <c r="L91" i="45"/>
  <c r="AD91" i="45"/>
  <c r="G91" i="45"/>
  <c r="N91" i="45"/>
  <c r="AE91" i="45"/>
  <c r="O91" i="45"/>
  <c r="AF91" i="45"/>
  <c r="P91" i="45"/>
  <c r="AG91" i="45"/>
  <c r="AH91" i="45"/>
  <c r="H91" i="45"/>
  <c r="AI91" i="45"/>
  <c r="J91" i="45"/>
  <c r="K92" i="45"/>
  <c r="F92" i="45"/>
  <c r="M92" i="45"/>
  <c r="AC92" i="45"/>
  <c r="L92" i="45"/>
  <c r="AD92" i="45"/>
  <c r="G92" i="45"/>
  <c r="N92" i="45"/>
  <c r="AE92" i="45"/>
  <c r="O92" i="45"/>
  <c r="AF92" i="45"/>
  <c r="P92" i="45"/>
  <c r="AG92" i="45"/>
  <c r="AH92" i="45"/>
  <c r="H92" i="45"/>
  <c r="AI92" i="45"/>
  <c r="J92" i="45"/>
  <c r="K93" i="45"/>
  <c r="F93" i="45"/>
  <c r="M93" i="45"/>
  <c r="AC93" i="45"/>
  <c r="L93" i="45"/>
  <c r="AD93" i="45"/>
  <c r="G93" i="45"/>
  <c r="N93" i="45"/>
  <c r="AE93" i="45"/>
  <c r="O93" i="45"/>
  <c r="AF93" i="45"/>
  <c r="P93" i="45"/>
  <c r="AG93" i="45"/>
  <c r="AH93" i="45"/>
  <c r="H93" i="45"/>
  <c r="AI93" i="45"/>
  <c r="J93" i="45"/>
  <c r="K94" i="45"/>
  <c r="F94" i="45"/>
  <c r="M94" i="45"/>
  <c r="AC94" i="45"/>
  <c r="L94" i="45"/>
  <c r="AD94" i="45"/>
  <c r="G94" i="45"/>
  <c r="N94" i="45"/>
  <c r="AE94" i="45"/>
  <c r="O94" i="45"/>
  <c r="AF94" i="45"/>
  <c r="P94" i="45"/>
  <c r="AG94" i="45"/>
  <c r="AH94" i="45"/>
  <c r="H94" i="45"/>
  <c r="AI94" i="45"/>
  <c r="J94" i="45"/>
  <c r="K95" i="45"/>
  <c r="F95" i="45"/>
  <c r="M95" i="45"/>
  <c r="AC95" i="45"/>
  <c r="L95" i="45"/>
  <c r="AD95" i="45"/>
  <c r="G95" i="45"/>
  <c r="N95" i="45"/>
  <c r="AE95" i="45"/>
  <c r="O95" i="45"/>
  <c r="AF95" i="45"/>
  <c r="P95" i="45"/>
  <c r="AG95" i="45"/>
  <c r="AH95" i="45"/>
  <c r="H95" i="45"/>
  <c r="AI95" i="45"/>
  <c r="J95" i="45"/>
  <c r="K96" i="45"/>
  <c r="F96" i="45"/>
  <c r="M96" i="45"/>
  <c r="AC96" i="45"/>
  <c r="L96" i="45"/>
  <c r="AD96" i="45"/>
  <c r="G96" i="45"/>
  <c r="N96" i="45"/>
  <c r="AE96" i="45"/>
  <c r="O96" i="45"/>
  <c r="AF96" i="45"/>
  <c r="P96" i="45"/>
  <c r="AG96" i="45"/>
  <c r="AH96" i="45"/>
  <c r="H96" i="45"/>
  <c r="AI96" i="45"/>
  <c r="J96" i="45"/>
  <c r="K97" i="45"/>
  <c r="F97" i="45"/>
  <c r="M97" i="45"/>
  <c r="AC97" i="45"/>
  <c r="L97" i="45"/>
  <c r="AD97" i="45"/>
  <c r="G97" i="45"/>
  <c r="N97" i="45"/>
  <c r="AE97" i="45"/>
  <c r="O97" i="45"/>
  <c r="AF97" i="45"/>
  <c r="P97" i="45"/>
  <c r="AG97" i="45"/>
  <c r="AH97" i="45"/>
  <c r="H97" i="45"/>
  <c r="AI97" i="45"/>
  <c r="J97" i="45"/>
  <c r="K98" i="45"/>
  <c r="F98" i="45"/>
  <c r="M98" i="45"/>
  <c r="AC98" i="45"/>
  <c r="L98" i="45"/>
  <c r="AD98" i="45"/>
  <c r="G98" i="45"/>
  <c r="N98" i="45"/>
  <c r="AE98" i="45"/>
  <c r="O98" i="45"/>
  <c r="AF98" i="45"/>
  <c r="P98" i="45"/>
  <c r="AG98" i="45"/>
  <c r="AH98" i="45"/>
  <c r="H98" i="45"/>
  <c r="AI98" i="45"/>
  <c r="J98" i="45"/>
  <c r="K99" i="45"/>
  <c r="F99" i="45"/>
  <c r="M99" i="45"/>
  <c r="AC99" i="45"/>
  <c r="L99" i="45"/>
  <c r="AD99" i="45"/>
  <c r="G99" i="45"/>
  <c r="N99" i="45"/>
  <c r="AE99" i="45"/>
  <c r="O99" i="45"/>
  <c r="AF99" i="45"/>
  <c r="P99" i="45"/>
  <c r="AG99" i="45"/>
  <c r="AH99" i="45"/>
  <c r="H99" i="45"/>
  <c r="AI99" i="45"/>
  <c r="J99" i="45"/>
  <c r="K100" i="45"/>
  <c r="F100" i="45"/>
  <c r="M100" i="45"/>
  <c r="AC100" i="45"/>
  <c r="L100" i="45"/>
  <c r="AD100" i="45"/>
  <c r="G100" i="45"/>
  <c r="N100" i="45"/>
  <c r="AE100" i="45"/>
  <c r="O100" i="45"/>
  <c r="AF100" i="45"/>
  <c r="P100" i="45"/>
  <c r="AG100" i="45"/>
  <c r="AH100" i="45"/>
  <c r="H100" i="45"/>
  <c r="AI100" i="45"/>
  <c r="J100" i="45"/>
  <c r="K101" i="45"/>
  <c r="F101" i="45"/>
  <c r="M101" i="45"/>
  <c r="AC101" i="45"/>
  <c r="L101" i="45"/>
  <c r="AD101" i="45"/>
  <c r="G101" i="45"/>
  <c r="N101" i="45"/>
  <c r="AE101" i="45"/>
  <c r="O101" i="45"/>
  <c r="AF101" i="45"/>
  <c r="P101" i="45"/>
  <c r="AG101" i="45"/>
  <c r="AH101" i="45"/>
  <c r="H101" i="45"/>
  <c r="AI101" i="45"/>
  <c r="J101" i="45"/>
  <c r="K102" i="45"/>
  <c r="F102" i="45"/>
  <c r="M102" i="45"/>
  <c r="AC102" i="45"/>
  <c r="L102" i="45"/>
  <c r="AD102" i="45"/>
  <c r="G102" i="45"/>
  <c r="N102" i="45"/>
  <c r="AE102" i="45"/>
  <c r="O102" i="45"/>
  <c r="AF102" i="45"/>
  <c r="P102" i="45"/>
  <c r="AG102" i="45"/>
  <c r="AH102" i="45"/>
  <c r="H102" i="45"/>
  <c r="AI102" i="45"/>
  <c r="J102" i="45"/>
  <c r="K103" i="45"/>
  <c r="F103" i="45"/>
  <c r="M103" i="45"/>
  <c r="AC103" i="45"/>
  <c r="L103" i="45"/>
  <c r="AD103" i="45"/>
  <c r="G103" i="45"/>
  <c r="N103" i="45"/>
  <c r="AE103" i="45"/>
  <c r="O103" i="45"/>
  <c r="AF103" i="45"/>
  <c r="P103" i="45"/>
  <c r="AG103" i="45"/>
  <c r="AH103" i="45"/>
  <c r="H103" i="45"/>
  <c r="AI103" i="45"/>
  <c r="J103" i="45"/>
  <c r="K104" i="45"/>
  <c r="F104" i="45"/>
  <c r="M104" i="45"/>
  <c r="AC104" i="45"/>
  <c r="L104" i="45"/>
  <c r="AD104" i="45"/>
  <c r="G104" i="45"/>
  <c r="N104" i="45"/>
  <c r="AE104" i="45"/>
  <c r="O104" i="45"/>
  <c r="AF104" i="45"/>
  <c r="P104" i="45"/>
  <c r="AG104" i="45"/>
  <c r="AH104" i="45"/>
  <c r="H104" i="45"/>
  <c r="AI104" i="45"/>
  <c r="AI107" i="45"/>
  <c r="H9" i="41"/>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H7" i="25"/>
  <c r="I9" i="41"/>
  <c r="J9" i="41"/>
  <c r="D60" i="42"/>
  <c r="E12" i="36"/>
  <c r="K12" i="36"/>
  <c r="AC12" i="36"/>
  <c r="L12" i="36"/>
  <c r="AD12" i="36"/>
  <c r="N12" i="36"/>
  <c r="AE12" i="36"/>
  <c r="O12" i="36"/>
  <c r="AF12" i="36"/>
  <c r="P12" i="36"/>
  <c r="AG12" i="36"/>
  <c r="AH12" i="36"/>
  <c r="H12" i="36"/>
  <c r="AI12" i="36"/>
  <c r="J12" i="36"/>
  <c r="E13" i="36"/>
  <c r="K13" i="36"/>
  <c r="M13" i="36"/>
  <c r="AC13" i="36"/>
  <c r="L13" i="36"/>
  <c r="AD13" i="36"/>
  <c r="N13" i="36"/>
  <c r="AE13" i="36"/>
  <c r="O13" i="36"/>
  <c r="AF13" i="36"/>
  <c r="P13" i="36"/>
  <c r="AG13" i="36"/>
  <c r="AH13" i="36"/>
  <c r="H13" i="36"/>
  <c r="AI13" i="36"/>
  <c r="J13" i="36"/>
  <c r="E14" i="36"/>
  <c r="K14" i="36"/>
  <c r="M14" i="36"/>
  <c r="AC14" i="36"/>
  <c r="L14" i="36"/>
  <c r="AD14" i="36"/>
  <c r="N14" i="36"/>
  <c r="AE14" i="36"/>
  <c r="O14" i="36"/>
  <c r="AF14" i="36"/>
  <c r="P14" i="36"/>
  <c r="AG14" i="36"/>
  <c r="AH14" i="36"/>
  <c r="H14" i="36"/>
  <c r="AI14" i="36"/>
  <c r="J14" i="36"/>
  <c r="E15" i="36"/>
  <c r="K15" i="36"/>
  <c r="M15" i="36"/>
  <c r="AC15" i="36"/>
  <c r="L15" i="36"/>
  <c r="AD15" i="36"/>
  <c r="N15" i="36"/>
  <c r="AE15" i="36"/>
  <c r="O15" i="36"/>
  <c r="AF15" i="36"/>
  <c r="P15" i="36"/>
  <c r="AG15" i="36"/>
  <c r="AH15" i="36"/>
  <c r="H15" i="36"/>
  <c r="AI15" i="36"/>
  <c r="J15" i="36"/>
  <c r="E16" i="36"/>
  <c r="K16" i="36"/>
  <c r="D61" i="42"/>
  <c r="F16" i="36"/>
  <c r="M16" i="36"/>
  <c r="AC16" i="36"/>
  <c r="L16" i="36"/>
  <c r="AD16" i="36"/>
  <c r="N16" i="36"/>
  <c r="AE16" i="36"/>
  <c r="O16" i="36"/>
  <c r="AF16" i="36"/>
  <c r="P16" i="36"/>
  <c r="AG16" i="36"/>
  <c r="AH16" i="36"/>
  <c r="H16" i="36"/>
  <c r="AI16" i="36"/>
  <c r="J16" i="36"/>
  <c r="E17" i="36"/>
  <c r="K17" i="36"/>
  <c r="F17" i="36"/>
  <c r="M17" i="36"/>
  <c r="AC17" i="36"/>
  <c r="L17" i="36"/>
  <c r="AD17" i="36"/>
  <c r="N17" i="36"/>
  <c r="AE17" i="36"/>
  <c r="O17" i="36"/>
  <c r="AF17" i="36"/>
  <c r="P17" i="36"/>
  <c r="AG17" i="36"/>
  <c r="AH17" i="36"/>
  <c r="H17" i="36"/>
  <c r="AI17" i="36"/>
  <c r="J17" i="36"/>
  <c r="E18" i="36"/>
  <c r="K18" i="36"/>
  <c r="F18" i="36"/>
  <c r="M18" i="36"/>
  <c r="AC18" i="36"/>
  <c r="L18" i="36"/>
  <c r="AD18" i="36"/>
  <c r="N18" i="36"/>
  <c r="AE18" i="36"/>
  <c r="O18" i="36"/>
  <c r="AF18" i="36"/>
  <c r="P18" i="36"/>
  <c r="AG18" i="36"/>
  <c r="AH18" i="36"/>
  <c r="H18" i="36"/>
  <c r="AI18" i="36"/>
  <c r="J18" i="36"/>
  <c r="E19" i="36"/>
  <c r="K19" i="36"/>
  <c r="F19" i="36"/>
  <c r="M19" i="36"/>
  <c r="AC19" i="36"/>
  <c r="L19" i="36"/>
  <c r="AD19" i="36"/>
  <c r="N19" i="36"/>
  <c r="AE19" i="36"/>
  <c r="O19" i="36"/>
  <c r="AF19" i="36"/>
  <c r="P19" i="36"/>
  <c r="AG19" i="36"/>
  <c r="AH19" i="36"/>
  <c r="H19" i="36"/>
  <c r="AI19" i="36"/>
  <c r="J19" i="36"/>
  <c r="E20" i="36"/>
  <c r="K20" i="36"/>
  <c r="F20" i="36"/>
  <c r="M20" i="36"/>
  <c r="AC20" i="36"/>
  <c r="L20" i="36"/>
  <c r="AD20" i="36"/>
  <c r="N20" i="36"/>
  <c r="AE20" i="36"/>
  <c r="O20" i="36"/>
  <c r="AF20" i="36"/>
  <c r="P20" i="36"/>
  <c r="AG20" i="36"/>
  <c r="AH20" i="36"/>
  <c r="H20" i="36"/>
  <c r="AI20" i="36"/>
  <c r="J20" i="36"/>
  <c r="E21" i="36"/>
  <c r="K21" i="36"/>
  <c r="F21" i="36"/>
  <c r="M21" i="36"/>
  <c r="AC21" i="36"/>
  <c r="L21" i="36"/>
  <c r="AD21" i="36"/>
  <c r="N21" i="36"/>
  <c r="AE21" i="36"/>
  <c r="O21" i="36"/>
  <c r="AF21" i="36"/>
  <c r="P21" i="36"/>
  <c r="AG21" i="36"/>
  <c r="AH21" i="36"/>
  <c r="H21" i="36"/>
  <c r="AI21" i="36"/>
  <c r="J21" i="36"/>
  <c r="E22" i="36"/>
  <c r="K22" i="36"/>
  <c r="F22" i="36"/>
  <c r="M22" i="36"/>
  <c r="AC22" i="36"/>
  <c r="L22" i="36"/>
  <c r="AD22" i="36"/>
  <c r="N22" i="36"/>
  <c r="AE22" i="36"/>
  <c r="O22" i="36"/>
  <c r="AF22" i="36"/>
  <c r="P22" i="36"/>
  <c r="AG22" i="36"/>
  <c r="AH22" i="36"/>
  <c r="H22" i="36"/>
  <c r="AI22" i="36"/>
  <c r="J22" i="36"/>
  <c r="E23" i="36"/>
  <c r="K23" i="36"/>
  <c r="F23" i="36"/>
  <c r="M23" i="36"/>
  <c r="AC23" i="36"/>
  <c r="L23" i="36"/>
  <c r="AD23" i="36"/>
  <c r="N23" i="36"/>
  <c r="AE23" i="36"/>
  <c r="O23" i="36"/>
  <c r="AF23" i="36"/>
  <c r="P23" i="36"/>
  <c r="AG23" i="36"/>
  <c r="AH23" i="36"/>
  <c r="H23" i="36"/>
  <c r="AI23" i="36"/>
  <c r="J23" i="36"/>
  <c r="E24" i="36"/>
  <c r="K24" i="36"/>
  <c r="F24" i="36"/>
  <c r="M24" i="36"/>
  <c r="AC24" i="36"/>
  <c r="L24" i="36"/>
  <c r="AD24" i="36"/>
  <c r="N24" i="36"/>
  <c r="AE24" i="36"/>
  <c r="O24" i="36"/>
  <c r="AF24" i="36"/>
  <c r="P24" i="36"/>
  <c r="AG24" i="36"/>
  <c r="AH24" i="36"/>
  <c r="H24" i="36"/>
  <c r="AI24" i="36"/>
  <c r="J24" i="36"/>
  <c r="E25" i="36"/>
  <c r="K25" i="36"/>
  <c r="F25" i="36"/>
  <c r="M25" i="36"/>
  <c r="AC25" i="36"/>
  <c r="L25" i="36"/>
  <c r="AD25" i="36"/>
  <c r="N25" i="36"/>
  <c r="AE25" i="36"/>
  <c r="O25" i="36"/>
  <c r="AF25" i="36"/>
  <c r="P25" i="36"/>
  <c r="AG25" i="36"/>
  <c r="AH25" i="36"/>
  <c r="H25" i="36"/>
  <c r="AI25" i="36"/>
  <c r="J25" i="36"/>
  <c r="E26" i="36"/>
  <c r="K26" i="36"/>
  <c r="F26" i="36"/>
  <c r="M26" i="36"/>
  <c r="AC26" i="36"/>
  <c r="L26" i="36"/>
  <c r="AD26" i="36"/>
  <c r="N26" i="36"/>
  <c r="AE26" i="36"/>
  <c r="O26" i="36"/>
  <c r="AF26" i="36"/>
  <c r="P26" i="36"/>
  <c r="AG26" i="36"/>
  <c r="AH26" i="36"/>
  <c r="H26" i="36"/>
  <c r="AI26" i="36"/>
  <c r="J26" i="36"/>
  <c r="E27" i="36"/>
  <c r="K27" i="36"/>
  <c r="F27" i="36"/>
  <c r="M27" i="36"/>
  <c r="AC27" i="36"/>
  <c r="L27" i="36"/>
  <c r="AD27" i="36"/>
  <c r="N27" i="36"/>
  <c r="AE27" i="36"/>
  <c r="O27" i="36"/>
  <c r="AF27" i="36"/>
  <c r="P27" i="36"/>
  <c r="AG27" i="36"/>
  <c r="AH27" i="36"/>
  <c r="H27" i="36"/>
  <c r="AI27" i="36"/>
  <c r="J27" i="36"/>
  <c r="E28" i="36"/>
  <c r="K28" i="36"/>
  <c r="F28" i="36"/>
  <c r="M28" i="36"/>
  <c r="AC28" i="36"/>
  <c r="L28" i="36"/>
  <c r="AD28" i="36"/>
  <c r="D62" i="42"/>
  <c r="G28" i="36"/>
  <c r="N28" i="36"/>
  <c r="AE28" i="36"/>
  <c r="O28" i="36"/>
  <c r="AF28" i="36"/>
  <c r="P28" i="36"/>
  <c r="AG28" i="36"/>
  <c r="AH28" i="36"/>
  <c r="H28" i="36"/>
  <c r="AI28" i="36"/>
  <c r="J28" i="36"/>
  <c r="E29" i="36"/>
  <c r="K29" i="36"/>
  <c r="F29" i="36"/>
  <c r="M29" i="36"/>
  <c r="AC29" i="36"/>
  <c r="L29" i="36"/>
  <c r="AD29" i="36"/>
  <c r="G29" i="36"/>
  <c r="N29" i="36"/>
  <c r="AE29" i="36"/>
  <c r="O29" i="36"/>
  <c r="AF29" i="36"/>
  <c r="P29" i="36"/>
  <c r="AG29" i="36"/>
  <c r="AH29" i="36"/>
  <c r="H29" i="36"/>
  <c r="AI29" i="36"/>
  <c r="J29" i="36"/>
  <c r="E30" i="36"/>
  <c r="K30" i="36"/>
  <c r="F30" i="36"/>
  <c r="M30" i="36"/>
  <c r="AC30" i="36"/>
  <c r="L30" i="36"/>
  <c r="AD30" i="36"/>
  <c r="G30" i="36"/>
  <c r="N30" i="36"/>
  <c r="AE30" i="36"/>
  <c r="O30" i="36"/>
  <c r="AF30" i="36"/>
  <c r="P30" i="36"/>
  <c r="AG30" i="36"/>
  <c r="AH30" i="36"/>
  <c r="H30" i="36"/>
  <c r="AI30" i="36"/>
  <c r="J30" i="36"/>
  <c r="E31" i="36"/>
  <c r="K31" i="36"/>
  <c r="F31" i="36"/>
  <c r="M31" i="36"/>
  <c r="AC31" i="36"/>
  <c r="L31" i="36"/>
  <c r="AD31" i="36"/>
  <c r="G31" i="36"/>
  <c r="N31" i="36"/>
  <c r="AE31" i="36"/>
  <c r="O31" i="36"/>
  <c r="AF31" i="36"/>
  <c r="P31" i="36"/>
  <c r="AG31" i="36"/>
  <c r="AH31" i="36"/>
  <c r="H31" i="36"/>
  <c r="AI31" i="36"/>
  <c r="J31" i="36"/>
  <c r="E32" i="36"/>
  <c r="K32" i="36"/>
  <c r="F32" i="36"/>
  <c r="M32" i="36"/>
  <c r="AC32" i="36"/>
  <c r="L32" i="36"/>
  <c r="AD32" i="36"/>
  <c r="G32" i="36"/>
  <c r="N32" i="36"/>
  <c r="AE32" i="36"/>
  <c r="O32" i="36"/>
  <c r="AF32" i="36"/>
  <c r="P32" i="36"/>
  <c r="AG32" i="36"/>
  <c r="AH32" i="36"/>
  <c r="H32" i="36"/>
  <c r="AI32" i="36"/>
  <c r="J32" i="36"/>
  <c r="E33" i="36"/>
  <c r="K33" i="36"/>
  <c r="F33" i="36"/>
  <c r="M33" i="36"/>
  <c r="AC33" i="36"/>
  <c r="L33" i="36"/>
  <c r="AD33" i="36"/>
  <c r="G33" i="36"/>
  <c r="N33" i="36"/>
  <c r="AE33" i="36"/>
  <c r="O33" i="36"/>
  <c r="AF33" i="36"/>
  <c r="P33" i="36"/>
  <c r="AG33" i="36"/>
  <c r="AH33" i="36"/>
  <c r="H33" i="36"/>
  <c r="AI33" i="36"/>
  <c r="J33" i="36"/>
  <c r="E34" i="36"/>
  <c r="K34" i="36"/>
  <c r="F34" i="36"/>
  <c r="M34" i="36"/>
  <c r="AC34" i="36"/>
  <c r="L34" i="36"/>
  <c r="AD34" i="36"/>
  <c r="G34" i="36"/>
  <c r="N34" i="36"/>
  <c r="AE34" i="36"/>
  <c r="O34" i="36"/>
  <c r="AF34" i="36"/>
  <c r="P34" i="36"/>
  <c r="AG34" i="36"/>
  <c r="AH34" i="36"/>
  <c r="H34" i="36"/>
  <c r="AI34" i="36"/>
  <c r="J34" i="36"/>
  <c r="E35" i="36"/>
  <c r="K35" i="36"/>
  <c r="F35" i="36"/>
  <c r="M35" i="36"/>
  <c r="AC35" i="36"/>
  <c r="L35" i="36"/>
  <c r="AD35" i="36"/>
  <c r="G35" i="36"/>
  <c r="N35" i="36"/>
  <c r="AE35" i="36"/>
  <c r="O35" i="36"/>
  <c r="AF35" i="36"/>
  <c r="P35" i="36"/>
  <c r="AG35" i="36"/>
  <c r="AH35" i="36"/>
  <c r="H35" i="36"/>
  <c r="AI35" i="36"/>
  <c r="J35" i="36"/>
  <c r="E36" i="36"/>
  <c r="K36" i="36"/>
  <c r="F36" i="36"/>
  <c r="M36" i="36"/>
  <c r="AC36" i="36"/>
  <c r="L36" i="36"/>
  <c r="AD36" i="36"/>
  <c r="G36" i="36"/>
  <c r="N36" i="36"/>
  <c r="AE36" i="36"/>
  <c r="O36" i="36"/>
  <c r="AF36" i="36"/>
  <c r="P36" i="36"/>
  <c r="AG36" i="36"/>
  <c r="AH36" i="36"/>
  <c r="H36" i="36"/>
  <c r="AI36" i="36"/>
  <c r="J36" i="36"/>
  <c r="E37" i="36"/>
  <c r="K37" i="36"/>
  <c r="F37" i="36"/>
  <c r="M37" i="36"/>
  <c r="AC37" i="36"/>
  <c r="L37" i="36"/>
  <c r="AD37" i="36"/>
  <c r="G37" i="36"/>
  <c r="N37" i="36"/>
  <c r="AE37" i="36"/>
  <c r="O37" i="36"/>
  <c r="AF37" i="36"/>
  <c r="P37" i="36"/>
  <c r="AG37" i="36"/>
  <c r="AH37" i="36"/>
  <c r="H37" i="36"/>
  <c r="AI37" i="36"/>
  <c r="J37" i="36"/>
  <c r="E38" i="36"/>
  <c r="K38" i="36"/>
  <c r="F38" i="36"/>
  <c r="M38" i="36"/>
  <c r="AC38" i="36"/>
  <c r="L38" i="36"/>
  <c r="AD38" i="36"/>
  <c r="G38" i="36"/>
  <c r="N38" i="36"/>
  <c r="AE38" i="36"/>
  <c r="O38" i="36"/>
  <c r="AF38" i="36"/>
  <c r="P38" i="36"/>
  <c r="AG38" i="36"/>
  <c r="AH38" i="36"/>
  <c r="H38" i="36"/>
  <c r="AI38" i="36"/>
  <c r="J38" i="36"/>
  <c r="E39" i="36"/>
  <c r="K39" i="36"/>
  <c r="F39" i="36"/>
  <c r="M39" i="36"/>
  <c r="AC39" i="36"/>
  <c r="L39" i="36"/>
  <c r="AD39" i="36"/>
  <c r="G39" i="36"/>
  <c r="N39" i="36"/>
  <c r="AE39" i="36"/>
  <c r="O39" i="36"/>
  <c r="AF39" i="36"/>
  <c r="P39" i="36"/>
  <c r="AG39" i="36"/>
  <c r="AH39" i="36"/>
  <c r="H39" i="36"/>
  <c r="AI39" i="36"/>
  <c r="J39" i="36"/>
  <c r="K40" i="36"/>
  <c r="F40" i="36"/>
  <c r="M40" i="36"/>
  <c r="AC40" i="36"/>
  <c r="L40" i="36"/>
  <c r="AD40" i="36"/>
  <c r="G40" i="36"/>
  <c r="N40" i="36"/>
  <c r="AE40" i="36"/>
  <c r="O40" i="36"/>
  <c r="AF40" i="36"/>
  <c r="P40" i="36"/>
  <c r="AG40" i="36"/>
  <c r="AH40" i="36"/>
  <c r="H40" i="36"/>
  <c r="AI40" i="36"/>
  <c r="J40" i="36"/>
  <c r="K41" i="36"/>
  <c r="F41" i="36"/>
  <c r="M41" i="36"/>
  <c r="AC41" i="36"/>
  <c r="L41" i="36"/>
  <c r="AD41" i="36"/>
  <c r="G41" i="36"/>
  <c r="N41" i="36"/>
  <c r="AE41" i="36"/>
  <c r="O41" i="36"/>
  <c r="AF41" i="36"/>
  <c r="P41" i="36"/>
  <c r="AG41" i="36"/>
  <c r="AH41" i="36"/>
  <c r="H41" i="36"/>
  <c r="AI41" i="36"/>
  <c r="J41" i="36"/>
  <c r="K42" i="36"/>
  <c r="F42" i="36"/>
  <c r="M42" i="36"/>
  <c r="AC42" i="36"/>
  <c r="L42" i="36"/>
  <c r="AD42" i="36"/>
  <c r="G42" i="36"/>
  <c r="N42" i="36"/>
  <c r="AE42" i="36"/>
  <c r="O42" i="36"/>
  <c r="AF42" i="36"/>
  <c r="P42" i="36"/>
  <c r="AG42" i="36"/>
  <c r="AH42" i="36"/>
  <c r="H42" i="36"/>
  <c r="AI42" i="36"/>
  <c r="J42" i="36"/>
  <c r="K43" i="36"/>
  <c r="F43" i="36"/>
  <c r="M43" i="36"/>
  <c r="AC43" i="36"/>
  <c r="L43" i="36"/>
  <c r="AD43" i="36"/>
  <c r="G43" i="36"/>
  <c r="N43" i="36"/>
  <c r="AE43" i="36"/>
  <c r="O43" i="36"/>
  <c r="AF43" i="36"/>
  <c r="P43" i="36"/>
  <c r="AG43" i="36"/>
  <c r="AH43" i="36"/>
  <c r="H43" i="36"/>
  <c r="AI43" i="36"/>
  <c r="J43" i="36"/>
  <c r="K44" i="36"/>
  <c r="F44" i="36"/>
  <c r="M44" i="36"/>
  <c r="AC44" i="36"/>
  <c r="L44" i="36"/>
  <c r="AD44" i="36"/>
  <c r="G44" i="36"/>
  <c r="N44" i="36"/>
  <c r="AE44" i="36"/>
  <c r="O44" i="36"/>
  <c r="AF44" i="36"/>
  <c r="P44" i="36"/>
  <c r="AG44" i="36"/>
  <c r="AH44" i="36"/>
  <c r="H44" i="36"/>
  <c r="AI44" i="36"/>
  <c r="J44" i="36"/>
  <c r="K45" i="36"/>
  <c r="F45" i="36"/>
  <c r="M45" i="36"/>
  <c r="AC45" i="36"/>
  <c r="L45" i="36"/>
  <c r="AD45" i="36"/>
  <c r="G45" i="36"/>
  <c r="N45" i="36"/>
  <c r="AE45" i="36"/>
  <c r="O45" i="36"/>
  <c r="AF45" i="36"/>
  <c r="P45" i="36"/>
  <c r="AG45" i="36"/>
  <c r="AH45" i="36"/>
  <c r="H45" i="36"/>
  <c r="AI45" i="36"/>
  <c r="J45" i="36"/>
  <c r="K46" i="36"/>
  <c r="F46" i="36"/>
  <c r="M46" i="36"/>
  <c r="AC46" i="36"/>
  <c r="L46" i="36"/>
  <c r="AD46" i="36"/>
  <c r="G46" i="36"/>
  <c r="N46" i="36"/>
  <c r="AE46" i="36"/>
  <c r="O46" i="36"/>
  <c r="AF46" i="36"/>
  <c r="P46" i="36"/>
  <c r="AG46" i="36"/>
  <c r="AH46" i="36"/>
  <c r="H46" i="36"/>
  <c r="AI46" i="36"/>
  <c r="J46" i="36"/>
  <c r="K47" i="36"/>
  <c r="F47" i="36"/>
  <c r="M47" i="36"/>
  <c r="AC47" i="36"/>
  <c r="L47" i="36"/>
  <c r="AD47" i="36"/>
  <c r="G47" i="36"/>
  <c r="N47" i="36"/>
  <c r="AE47" i="36"/>
  <c r="O47" i="36"/>
  <c r="AF47" i="36"/>
  <c r="P47" i="36"/>
  <c r="AG47" i="36"/>
  <c r="AH47" i="36"/>
  <c r="H47" i="36"/>
  <c r="AI47" i="36"/>
  <c r="J47" i="36"/>
  <c r="K48" i="36"/>
  <c r="F48" i="36"/>
  <c r="M48" i="36"/>
  <c r="AC48" i="36"/>
  <c r="L48" i="36"/>
  <c r="AD48" i="36"/>
  <c r="G48" i="36"/>
  <c r="N48" i="36"/>
  <c r="AE48" i="36"/>
  <c r="O48" i="36"/>
  <c r="AF48" i="36"/>
  <c r="P48" i="36"/>
  <c r="AG48" i="36"/>
  <c r="AH48" i="36"/>
  <c r="H48" i="36"/>
  <c r="AI48" i="36"/>
  <c r="J48" i="36"/>
  <c r="K49" i="36"/>
  <c r="F49" i="36"/>
  <c r="M49" i="36"/>
  <c r="AC49" i="36"/>
  <c r="L49" i="36"/>
  <c r="AD49" i="36"/>
  <c r="G49" i="36"/>
  <c r="N49" i="36"/>
  <c r="AE49" i="36"/>
  <c r="O49" i="36"/>
  <c r="AF49" i="36"/>
  <c r="P49" i="36"/>
  <c r="AG49" i="36"/>
  <c r="AH49" i="36"/>
  <c r="H49" i="36"/>
  <c r="AI49" i="36"/>
  <c r="J49" i="36"/>
  <c r="K50" i="36"/>
  <c r="F50" i="36"/>
  <c r="M50" i="36"/>
  <c r="AC50" i="36"/>
  <c r="L50" i="36"/>
  <c r="AD50" i="36"/>
  <c r="G50" i="36"/>
  <c r="N50" i="36"/>
  <c r="AE50" i="36"/>
  <c r="O50" i="36"/>
  <c r="AF50" i="36"/>
  <c r="P50" i="36"/>
  <c r="AG50" i="36"/>
  <c r="AH50" i="36"/>
  <c r="H50" i="36"/>
  <c r="AI50" i="36"/>
  <c r="J50" i="36"/>
  <c r="K51" i="36"/>
  <c r="F51" i="36"/>
  <c r="M51" i="36"/>
  <c r="AC51" i="36"/>
  <c r="L51" i="36"/>
  <c r="AD51" i="36"/>
  <c r="G51" i="36"/>
  <c r="N51" i="36"/>
  <c r="AE51" i="36"/>
  <c r="O51" i="36"/>
  <c r="AF51" i="36"/>
  <c r="P51" i="36"/>
  <c r="AG51" i="36"/>
  <c r="AH51" i="36"/>
  <c r="H51" i="36"/>
  <c r="AI51" i="36"/>
  <c r="J51" i="36"/>
  <c r="K52" i="36"/>
  <c r="F52" i="36"/>
  <c r="M52" i="36"/>
  <c r="AC52" i="36"/>
  <c r="L52" i="36"/>
  <c r="AD52" i="36"/>
  <c r="G52" i="36"/>
  <c r="N52" i="36"/>
  <c r="AE52" i="36"/>
  <c r="O52" i="36"/>
  <c r="AF52" i="36"/>
  <c r="P52" i="36"/>
  <c r="AG52" i="36"/>
  <c r="AH52" i="36"/>
  <c r="H52" i="36"/>
  <c r="AI52" i="36"/>
  <c r="J52" i="36"/>
  <c r="K53" i="36"/>
  <c r="F53" i="36"/>
  <c r="M53" i="36"/>
  <c r="AC53" i="36"/>
  <c r="L53" i="36"/>
  <c r="AD53" i="36"/>
  <c r="G53" i="36"/>
  <c r="N53" i="36"/>
  <c r="AE53" i="36"/>
  <c r="O53" i="36"/>
  <c r="AF53" i="36"/>
  <c r="P53" i="36"/>
  <c r="AG53" i="36"/>
  <c r="AH53" i="36"/>
  <c r="H53" i="36"/>
  <c r="AI53" i="36"/>
  <c r="J53" i="36"/>
  <c r="K54" i="36"/>
  <c r="F54" i="36"/>
  <c r="M54" i="36"/>
  <c r="AC54" i="36"/>
  <c r="L54" i="36"/>
  <c r="AD54" i="36"/>
  <c r="G54" i="36"/>
  <c r="N54" i="36"/>
  <c r="AE54" i="36"/>
  <c r="O54" i="36"/>
  <c r="AF54" i="36"/>
  <c r="P54" i="36"/>
  <c r="AG54" i="36"/>
  <c r="AH54" i="36"/>
  <c r="H54" i="36"/>
  <c r="AI54" i="36"/>
  <c r="J54" i="36"/>
  <c r="K55" i="36"/>
  <c r="F55" i="36"/>
  <c r="M55" i="36"/>
  <c r="AC55" i="36"/>
  <c r="L55" i="36"/>
  <c r="AD55" i="36"/>
  <c r="G55" i="36"/>
  <c r="N55" i="36"/>
  <c r="AE55" i="36"/>
  <c r="O55" i="36"/>
  <c r="AF55" i="36"/>
  <c r="P55" i="36"/>
  <c r="AG55" i="36"/>
  <c r="AH55" i="36"/>
  <c r="H55" i="36"/>
  <c r="AI55" i="36"/>
  <c r="J55" i="36"/>
  <c r="K56" i="36"/>
  <c r="F56" i="36"/>
  <c r="M56" i="36"/>
  <c r="AC56" i="36"/>
  <c r="L56" i="36"/>
  <c r="AD56" i="36"/>
  <c r="G56" i="36"/>
  <c r="N56" i="36"/>
  <c r="AE56" i="36"/>
  <c r="O56" i="36"/>
  <c r="AF56" i="36"/>
  <c r="P56" i="36"/>
  <c r="AG56" i="36"/>
  <c r="AH56" i="36"/>
  <c r="H56" i="36"/>
  <c r="AI56" i="36"/>
  <c r="J56" i="36"/>
  <c r="K57" i="36"/>
  <c r="F57" i="36"/>
  <c r="M57" i="36"/>
  <c r="AC57" i="36"/>
  <c r="L57" i="36"/>
  <c r="AD57" i="36"/>
  <c r="G57" i="36"/>
  <c r="N57" i="36"/>
  <c r="AE57" i="36"/>
  <c r="O57" i="36"/>
  <c r="AF57" i="36"/>
  <c r="P57" i="36"/>
  <c r="AG57" i="36"/>
  <c r="AH57" i="36"/>
  <c r="H57" i="36"/>
  <c r="AI57" i="36"/>
  <c r="J57" i="36"/>
  <c r="K58" i="36"/>
  <c r="F58" i="36"/>
  <c r="M58" i="36"/>
  <c r="AC58" i="36"/>
  <c r="L58" i="36"/>
  <c r="AD58" i="36"/>
  <c r="G58" i="36"/>
  <c r="N58" i="36"/>
  <c r="AE58" i="36"/>
  <c r="O58" i="36"/>
  <c r="AF58" i="36"/>
  <c r="P58" i="36"/>
  <c r="AG58" i="36"/>
  <c r="AH58" i="36"/>
  <c r="H58" i="36"/>
  <c r="AI58" i="36"/>
  <c r="J58" i="36"/>
  <c r="K59" i="36"/>
  <c r="F59" i="36"/>
  <c r="M59" i="36"/>
  <c r="AC59" i="36"/>
  <c r="L59" i="36"/>
  <c r="AD59" i="36"/>
  <c r="G59" i="36"/>
  <c r="N59" i="36"/>
  <c r="AE59" i="36"/>
  <c r="O59" i="36"/>
  <c r="AF59" i="36"/>
  <c r="P59" i="36"/>
  <c r="AG59" i="36"/>
  <c r="AH59" i="36"/>
  <c r="H59" i="36"/>
  <c r="AI59" i="36"/>
  <c r="J59" i="36"/>
  <c r="K60" i="36"/>
  <c r="F60" i="36"/>
  <c r="M60" i="36"/>
  <c r="AC60" i="36"/>
  <c r="L60" i="36"/>
  <c r="AD60" i="36"/>
  <c r="G60" i="36"/>
  <c r="N60" i="36"/>
  <c r="AE60" i="36"/>
  <c r="O60" i="36"/>
  <c r="AF60" i="36"/>
  <c r="P60" i="36"/>
  <c r="AG60" i="36"/>
  <c r="AH60" i="36"/>
  <c r="H60" i="36"/>
  <c r="AI60" i="36"/>
  <c r="J60" i="36"/>
  <c r="K61" i="36"/>
  <c r="F61" i="36"/>
  <c r="M61" i="36"/>
  <c r="AC61" i="36"/>
  <c r="L61" i="36"/>
  <c r="AD61" i="36"/>
  <c r="G61" i="36"/>
  <c r="N61" i="36"/>
  <c r="AE61" i="36"/>
  <c r="O61" i="36"/>
  <c r="AF61" i="36"/>
  <c r="P61" i="36"/>
  <c r="AG61" i="36"/>
  <c r="AH61" i="36"/>
  <c r="H61" i="36"/>
  <c r="AI61" i="36"/>
  <c r="J61" i="36"/>
  <c r="K62" i="36"/>
  <c r="F62" i="36"/>
  <c r="M62" i="36"/>
  <c r="AC62" i="36"/>
  <c r="L62" i="36"/>
  <c r="AD62" i="36"/>
  <c r="G62" i="36"/>
  <c r="N62" i="36"/>
  <c r="AE62" i="36"/>
  <c r="O62" i="36"/>
  <c r="AF62" i="36"/>
  <c r="P62" i="36"/>
  <c r="AG62" i="36"/>
  <c r="AH62" i="36"/>
  <c r="H62" i="36"/>
  <c r="AI62" i="36"/>
  <c r="J62" i="36"/>
  <c r="K63" i="36"/>
  <c r="F63" i="36"/>
  <c r="M63" i="36"/>
  <c r="AC63" i="36"/>
  <c r="L63" i="36"/>
  <c r="AD63" i="36"/>
  <c r="G63" i="36"/>
  <c r="N63" i="36"/>
  <c r="AE63" i="36"/>
  <c r="O63" i="36"/>
  <c r="AF63" i="36"/>
  <c r="P63" i="36"/>
  <c r="AG63" i="36"/>
  <c r="AH63" i="36"/>
  <c r="H63" i="36"/>
  <c r="AI63" i="36"/>
  <c r="J63" i="36"/>
  <c r="K64" i="36"/>
  <c r="F64" i="36"/>
  <c r="M64" i="36"/>
  <c r="AC64" i="36"/>
  <c r="L64" i="36"/>
  <c r="AD64" i="36"/>
  <c r="G64" i="36"/>
  <c r="N64" i="36"/>
  <c r="AE64" i="36"/>
  <c r="O64" i="36"/>
  <c r="AF64" i="36"/>
  <c r="P64" i="36"/>
  <c r="AG64" i="36"/>
  <c r="AH64" i="36"/>
  <c r="H64" i="36"/>
  <c r="AI64" i="36"/>
  <c r="J64" i="36"/>
  <c r="K65" i="36"/>
  <c r="F65" i="36"/>
  <c r="M65" i="36"/>
  <c r="AC65" i="36"/>
  <c r="L65" i="36"/>
  <c r="AD65" i="36"/>
  <c r="G65" i="36"/>
  <c r="N65" i="36"/>
  <c r="AE65" i="36"/>
  <c r="O65" i="36"/>
  <c r="AF65" i="36"/>
  <c r="P65" i="36"/>
  <c r="AG65" i="36"/>
  <c r="AH65" i="36"/>
  <c r="H65" i="36"/>
  <c r="AI65" i="36"/>
  <c r="J65" i="36"/>
  <c r="K66" i="36"/>
  <c r="F66" i="36"/>
  <c r="M66" i="36"/>
  <c r="AC66" i="36"/>
  <c r="L66" i="36"/>
  <c r="AD66" i="36"/>
  <c r="G66" i="36"/>
  <c r="N66" i="36"/>
  <c r="AE66" i="36"/>
  <c r="O66" i="36"/>
  <c r="AF66" i="36"/>
  <c r="P66" i="36"/>
  <c r="AG66" i="36"/>
  <c r="AH66" i="36"/>
  <c r="H66" i="36"/>
  <c r="AI66" i="36"/>
  <c r="J66" i="36"/>
  <c r="K67" i="36"/>
  <c r="F67" i="36"/>
  <c r="M67" i="36"/>
  <c r="AC67" i="36"/>
  <c r="L67" i="36"/>
  <c r="AD67" i="36"/>
  <c r="G67" i="36"/>
  <c r="N67" i="36"/>
  <c r="AE67" i="36"/>
  <c r="O67" i="36"/>
  <c r="AF67" i="36"/>
  <c r="P67" i="36"/>
  <c r="AG67" i="36"/>
  <c r="AH67" i="36"/>
  <c r="H67" i="36"/>
  <c r="AI67" i="36"/>
  <c r="J67" i="36"/>
  <c r="K68" i="36"/>
  <c r="F68" i="36"/>
  <c r="M68" i="36"/>
  <c r="AC68" i="36"/>
  <c r="L68" i="36"/>
  <c r="AD68" i="36"/>
  <c r="G68" i="36"/>
  <c r="N68" i="36"/>
  <c r="AE68" i="36"/>
  <c r="O68" i="36"/>
  <c r="AF68" i="36"/>
  <c r="P68" i="36"/>
  <c r="AG68" i="36"/>
  <c r="AH68" i="36"/>
  <c r="H68" i="36"/>
  <c r="AI68" i="36"/>
  <c r="J68" i="36"/>
  <c r="K69" i="36"/>
  <c r="F69" i="36"/>
  <c r="M69" i="36"/>
  <c r="AC69" i="36"/>
  <c r="L69" i="36"/>
  <c r="AD69" i="36"/>
  <c r="G69" i="36"/>
  <c r="N69" i="36"/>
  <c r="AE69" i="36"/>
  <c r="O69" i="36"/>
  <c r="AF69" i="36"/>
  <c r="P69" i="36"/>
  <c r="AG69" i="36"/>
  <c r="AH69" i="36"/>
  <c r="H69" i="36"/>
  <c r="AI69" i="36"/>
  <c r="J69" i="36"/>
  <c r="K70" i="36"/>
  <c r="F70" i="36"/>
  <c r="M70" i="36"/>
  <c r="AC70" i="36"/>
  <c r="L70" i="36"/>
  <c r="AD70" i="36"/>
  <c r="G70" i="36"/>
  <c r="N70" i="36"/>
  <c r="AE70" i="36"/>
  <c r="O70" i="36"/>
  <c r="AF70" i="36"/>
  <c r="P70" i="36"/>
  <c r="AG70" i="36"/>
  <c r="AH70" i="36"/>
  <c r="H70" i="36"/>
  <c r="AI70" i="36"/>
  <c r="J70" i="36"/>
  <c r="K71" i="36"/>
  <c r="F71" i="36"/>
  <c r="M71" i="36"/>
  <c r="AC71" i="36"/>
  <c r="L71" i="36"/>
  <c r="AD71" i="36"/>
  <c r="G71" i="36"/>
  <c r="N71" i="36"/>
  <c r="AE71" i="36"/>
  <c r="O71" i="36"/>
  <c r="AF71" i="36"/>
  <c r="P71" i="36"/>
  <c r="AG71" i="36"/>
  <c r="AH71" i="36"/>
  <c r="H71" i="36"/>
  <c r="AI71" i="36"/>
  <c r="J71" i="36"/>
  <c r="K72" i="36"/>
  <c r="F72" i="36"/>
  <c r="M72" i="36"/>
  <c r="AC72" i="36"/>
  <c r="L72" i="36"/>
  <c r="AD72" i="36"/>
  <c r="G72" i="36"/>
  <c r="N72" i="36"/>
  <c r="AE72" i="36"/>
  <c r="O72" i="36"/>
  <c r="AF72" i="36"/>
  <c r="P72" i="36"/>
  <c r="AG72" i="36"/>
  <c r="AH72" i="36"/>
  <c r="H72" i="36"/>
  <c r="AI72" i="36"/>
  <c r="J72" i="36"/>
  <c r="K73" i="36"/>
  <c r="F73" i="36"/>
  <c r="M73" i="36"/>
  <c r="AC73" i="36"/>
  <c r="L73" i="36"/>
  <c r="AD73" i="36"/>
  <c r="G73" i="36"/>
  <c r="N73" i="36"/>
  <c r="AE73" i="36"/>
  <c r="O73" i="36"/>
  <c r="AF73" i="36"/>
  <c r="P73" i="36"/>
  <c r="AG73" i="36"/>
  <c r="AH73" i="36"/>
  <c r="H73" i="36"/>
  <c r="AI73" i="36"/>
  <c r="J73" i="36"/>
  <c r="K74" i="36"/>
  <c r="F74" i="36"/>
  <c r="M74" i="36"/>
  <c r="AC74" i="36"/>
  <c r="L74" i="36"/>
  <c r="AD74" i="36"/>
  <c r="G74" i="36"/>
  <c r="N74" i="36"/>
  <c r="AE74" i="36"/>
  <c r="O74" i="36"/>
  <c r="AF74" i="36"/>
  <c r="P74" i="36"/>
  <c r="AG74" i="36"/>
  <c r="AH74" i="36"/>
  <c r="H74" i="36"/>
  <c r="AI74" i="36"/>
  <c r="J74" i="36"/>
  <c r="K75" i="36"/>
  <c r="F75" i="36"/>
  <c r="M75" i="36"/>
  <c r="AC75" i="36"/>
  <c r="L75" i="36"/>
  <c r="AD75" i="36"/>
  <c r="G75" i="36"/>
  <c r="N75" i="36"/>
  <c r="AE75" i="36"/>
  <c r="O75" i="36"/>
  <c r="AF75" i="36"/>
  <c r="P75" i="36"/>
  <c r="AG75" i="36"/>
  <c r="AH75" i="36"/>
  <c r="H75" i="36"/>
  <c r="AI75" i="36"/>
  <c r="J75" i="36"/>
  <c r="K76" i="36"/>
  <c r="F76" i="36"/>
  <c r="M76" i="36"/>
  <c r="AC76" i="36"/>
  <c r="L76" i="36"/>
  <c r="AD76" i="36"/>
  <c r="G76" i="36"/>
  <c r="N76" i="36"/>
  <c r="AE76" i="36"/>
  <c r="O76" i="36"/>
  <c r="AF76" i="36"/>
  <c r="P76" i="36"/>
  <c r="AG76" i="36"/>
  <c r="AH76" i="36"/>
  <c r="H76" i="36"/>
  <c r="AI76" i="36"/>
  <c r="J76" i="36"/>
  <c r="K77" i="36"/>
  <c r="F77" i="36"/>
  <c r="M77" i="36"/>
  <c r="AC77" i="36"/>
  <c r="L77" i="36"/>
  <c r="AD77" i="36"/>
  <c r="G77" i="36"/>
  <c r="N77" i="36"/>
  <c r="AE77" i="36"/>
  <c r="O77" i="36"/>
  <c r="AF77" i="36"/>
  <c r="P77" i="36"/>
  <c r="AG77" i="36"/>
  <c r="AH77" i="36"/>
  <c r="H77" i="36"/>
  <c r="AI77" i="36"/>
  <c r="J77" i="36"/>
  <c r="K78" i="36"/>
  <c r="F78" i="36"/>
  <c r="M78" i="36"/>
  <c r="AC78" i="36"/>
  <c r="L78" i="36"/>
  <c r="AD78" i="36"/>
  <c r="G78" i="36"/>
  <c r="N78" i="36"/>
  <c r="AE78" i="36"/>
  <c r="O78" i="36"/>
  <c r="AF78" i="36"/>
  <c r="P78" i="36"/>
  <c r="AG78" i="36"/>
  <c r="AH78" i="36"/>
  <c r="H78" i="36"/>
  <c r="AI78" i="36"/>
  <c r="J78" i="36"/>
  <c r="K79" i="36"/>
  <c r="F79" i="36"/>
  <c r="M79" i="36"/>
  <c r="AC79" i="36"/>
  <c r="L79" i="36"/>
  <c r="AD79" i="36"/>
  <c r="G79" i="36"/>
  <c r="N79" i="36"/>
  <c r="AE79" i="36"/>
  <c r="O79" i="36"/>
  <c r="AF79" i="36"/>
  <c r="P79" i="36"/>
  <c r="AG79" i="36"/>
  <c r="AH79" i="36"/>
  <c r="H79" i="36"/>
  <c r="AI79" i="36"/>
  <c r="J79" i="36"/>
  <c r="K80" i="36"/>
  <c r="F80" i="36"/>
  <c r="M80" i="36"/>
  <c r="AC80" i="36"/>
  <c r="L80" i="36"/>
  <c r="AD80" i="36"/>
  <c r="G80" i="36"/>
  <c r="N80" i="36"/>
  <c r="AE80" i="36"/>
  <c r="O80" i="36"/>
  <c r="AF80" i="36"/>
  <c r="P80" i="36"/>
  <c r="AG80" i="36"/>
  <c r="AH80" i="36"/>
  <c r="H80" i="36"/>
  <c r="AI80" i="36"/>
  <c r="J80" i="36"/>
  <c r="K81" i="36"/>
  <c r="F81" i="36"/>
  <c r="M81" i="36"/>
  <c r="AC81" i="36"/>
  <c r="L81" i="36"/>
  <c r="AD81" i="36"/>
  <c r="G81" i="36"/>
  <c r="N81" i="36"/>
  <c r="AE81" i="36"/>
  <c r="O81" i="36"/>
  <c r="AF81" i="36"/>
  <c r="P81" i="36"/>
  <c r="AG81" i="36"/>
  <c r="AH81" i="36"/>
  <c r="H81" i="36"/>
  <c r="AI81" i="36"/>
  <c r="J81" i="36"/>
  <c r="K82" i="36"/>
  <c r="F82" i="36"/>
  <c r="M82" i="36"/>
  <c r="AC82" i="36"/>
  <c r="L82" i="36"/>
  <c r="AD82" i="36"/>
  <c r="G82" i="36"/>
  <c r="N82" i="36"/>
  <c r="AE82" i="36"/>
  <c r="O82" i="36"/>
  <c r="AF82" i="36"/>
  <c r="P82" i="36"/>
  <c r="AG82" i="36"/>
  <c r="AH82" i="36"/>
  <c r="H82" i="36"/>
  <c r="AI82" i="36"/>
  <c r="J82" i="36"/>
  <c r="K83" i="36"/>
  <c r="F83" i="36"/>
  <c r="M83" i="36"/>
  <c r="AC83" i="36"/>
  <c r="L83" i="36"/>
  <c r="AD83" i="36"/>
  <c r="G83" i="36"/>
  <c r="N83" i="36"/>
  <c r="AE83" i="36"/>
  <c r="O83" i="36"/>
  <c r="AF83" i="36"/>
  <c r="P83" i="36"/>
  <c r="AG83" i="36"/>
  <c r="AH83" i="36"/>
  <c r="H83" i="36"/>
  <c r="AI83" i="36"/>
  <c r="J83" i="36"/>
  <c r="K84" i="36"/>
  <c r="F84" i="36"/>
  <c r="M84" i="36"/>
  <c r="AC84" i="36"/>
  <c r="L84" i="36"/>
  <c r="AD84" i="36"/>
  <c r="G84" i="36"/>
  <c r="N84" i="36"/>
  <c r="AE84" i="36"/>
  <c r="O84" i="36"/>
  <c r="AF84" i="36"/>
  <c r="P84" i="36"/>
  <c r="AG84" i="36"/>
  <c r="AH84" i="36"/>
  <c r="H84" i="36"/>
  <c r="AI84" i="36"/>
  <c r="J84" i="36"/>
  <c r="K85" i="36"/>
  <c r="F85" i="36"/>
  <c r="M85" i="36"/>
  <c r="AC85" i="36"/>
  <c r="L85" i="36"/>
  <c r="AD85" i="36"/>
  <c r="G85" i="36"/>
  <c r="N85" i="36"/>
  <c r="AE85" i="36"/>
  <c r="O85" i="36"/>
  <c r="AF85" i="36"/>
  <c r="P85" i="36"/>
  <c r="AG85" i="36"/>
  <c r="AH85" i="36"/>
  <c r="H85" i="36"/>
  <c r="AI85" i="36"/>
  <c r="J85" i="36"/>
  <c r="K86" i="36"/>
  <c r="F86" i="36"/>
  <c r="M86" i="36"/>
  <c r="AC86" i="36"/>
  <c r="L86" i="36"/>
  <c r="AD86" i="36"/>
  <c r="G86" i="36"/>
  <c r="N86" i="36"/>
  <c r="AE86" i="36"/>
  <c r="O86" i="36"/>
  <c r="AF86" i="36"/>
  <c r="P86" i="36"/>
  <c r="AG86" i="36"/>
  <c r="AH86" i="36"/>
  <c r="H86" i="36"/>
  <c r="AI86" i="36"/>
  <c r="J86" i="36"/>
  <c r="K87" i="36"/>
  <c r="F87" i="36"/>
  <c r="M87" i="36"/>
  <c r="AC87" i="36"/>
  <c r="L87" i="36"/>
  <c r="AD87" i="36"/>
  <c r="G87" i="36"/>
  <c r="N87" i="36"/>
  <c r="AE87" i="36"/>
  <c r="O87" i="36"/>
  <c r="AF87" i="36"/>
  <c r="P87" i="36"/>
  <c r="AG87" i="36"/>
  <c r="AH87" i="36"/>
  <c r="H87" i="36"/>
  <c r="AI87" i="36"/>
  <c r="J87" i="36"/>
  <c r="K88" i="36"/>
  <c r="F88" i="36"/>
  <c r="M88" i="36"/>
  <c r="AC88" i="36"/>
  <c r="L88" i="36"/>
  <c r="AD88" i="36"/>
  <c r="G88" i="36"/>
  <c r="N88" i="36"/>
  <c r="AE88" i="36"/>
  <c r="O88" i="36"/>
  <c r="AF88" i="36"/>
  <c r="P88" i="36"/>
  <c r="AG88" i="36"/>
  <c r="AH88" i="36"/>
  <c r="H88" i="36"/>
  <c r="AI88" i="36"/>
  <c r="J88" i="36"/>
  <c r="K89" i="36"/>
  <c r="F89" i="36"/>
  <c r="M89" i="36"/>
  <c r="AC89" i="36"/>
  <c r="L89" i="36"/>
  <c r="AD89" i="36"/>
  <c r="G89" i="36"/>
  <c r="N89" i="36"/>
  <c r="AE89" i="36"/>
  <c r="O89" i="36"/>
  <c r="AF89" i="36"/>
  <c r="P89" i="36"/>
  <c r="AG89" i="36"/>
  <c r="AH89" i="36"/>
  <c r="H89" i="36"/>
  <c r="AI89" i="36"/>
  <c r="J89" i="36"/>
  <c r="K90" i="36"/>
  <c r="F90" i="36"/>
  <c r="M90" i="36"/>
  <c r="AC90" i="36"/>
  <c r="L90" i="36"/>
  <c r="AD90" i="36"/>
  <c r="G90" i="36"/>
  <c r="N90" i="36"/>
  <c r="AE90" i="36"/>
  <c r="O90" i="36"/>
  <c r="AF90" i="36"/>
  <c r="P90" i="36"/>
  <c r="AG90" i="36"/>
  <c r="AH90" i="36"/>
  <c r="H90" i="36"/>
  <c r="AI90" i="36"/>
  <c r="J90" i="36"/>
  <c r="K91" i="36"/>
  <c r="F91" i="36"/>
  <c r="M91" i="36"/>
  <c r="AC91" i="36"/>
  <c r="L91" i="36"/>
  <c r="AD91" i="36"/>
  <c r="G91" i="36"/>
  <c r="N91" i="36"/>
  <c r="AE91" i="36"/>
  <c r="O91" i="36"/>
  <c r="AF91" i="36"/>
  <c r="P91" i="36"/>
  <c r="AG91" i="36"/>
  <c r="AH91" i="36"/>
  <c r="H91" i="36"/>
  <c r="AI91" i="36"/>
  <c r="J91" i="36"/>
  <c r="K92" i="36"/>
  <c r="F92" i="36"/>
  <c r="M92" i="36"/>
  <c r="AC92" i="36"/>
  <c r="L92" i="36"/>
  <c r="AD92" i="36"/>
  <c r="G92" i="36"/>
  <c r="N92" i="36"/>
  <c r="AE92" i="36"/>
  <c r="O92" i="36"/>
  <c r="AF92" i="36"/>
  <c r="P92" i="36"/>
  <c r="AG92" i="36"/>
  <c r="AH92" i="36"/>
  <c r="H92" i="36"/>
  <c r="AI92" i="36"/>
  <c r="J92" i="36"/>
  <c r="K93" i="36"/>
  <c r="F93" i="36"/>
  <c r="M93" i="36"/>
  <c r="AC93" i="36"/>
  <c r="L93" i="36"/>
  <c r="AD93" i="36"/>
  <c r="G93" i="36"/>
  <c r="N93" i="36"/>
  <c r="AE93" i="36"/>
  <c r="O93" i="36"/>
  <c r="AF93" i="36"/>
  <c r="P93" i="36"/>
  <c r="AG93" i="36"/>
  <c r="AH93" i="36"/>
  <c r="H93" i="36"/>
  <c r="AI93" i="36"/>
  <c r="J93" i="36"/>
  <c r="K94" i="36"/>
  <c r="F94" i="36"/>
  <c r="M94" i="36"/>
  <c r="AC94" i="36"/>
  <c r="L94" i="36"/>
  <c r="AD94" i="36"/>
  <c r="G94" i="36"/>
  <c r="N94" i="36"/>
  <c r="AE94" i="36"/>
  <c r="O94" i="36"/>
  <c r="AF94" i="36"/>
  <c r="P94" i="36"/>
  <c r="AG94" i="36"/>
  <c r="AH94" i="36"/>
  <c r="H94" i="36"/>
  <c r="AI94" i="36"/>
  <c r="J94" i="36"/>
  <c r="K95" i="36"/>
  <c r="F95" i="36"/>
  <c r="M95" i="36"/>
  <c r="AC95" i="36"/>
  <c r="L95" i="36"/>
  <c r="AD95" i="36"/>
  <c r="G95" i="36"/>
  <c r="N95" i="36"/>
  <c r="AE95" i="36"/>
  <c r="O95" i="36"/>
  <c r="AF95" i="36"/>
  <c r="P95" i="36"/>
  <c r="AG95" i="36"/>
  <c r="AH95" i="36"/>
  <c r="H95" i="36"/>
  <c r="AI95" i="36"/>
  <c r="J95" i="36"/>
  <c r="K96" i="36"/>
  <c r="F96" i="36"/>
  <c r="M96" i="36"/>
  <c r="AC96" i="36"/>
  <c r="L96" i="36"/>
  <c r="AD96" i="36"/>
  <c r="G96" i="36"/>
  <c r="N96" i="36"/>
  <c r="AE96" i="36"/>
  <c r="O96" i="36"/>
  <c r="AF96" i="36"/>
  <c r="P96" i="36"/>
  <c r="AG96" i="36"/>
  <c r="AH96" i="36"/>
  <c r="H96" i="36"/>
  <c r="AI96" i="36"/>
  <c r="J96" i="36"/>
  <c r="K97" i="36"/>
  <c r="F97" i="36"/>
  <c r="M97" i="36"/>
  <c r="AC97" i="36"/>
  <c r="L97" i="36"/>
  <c r="AD97" i="36"/>
  <c r="G97" i="36"/>
  <c r="N97" i="36"/>
  <c r="AE97" i="36"/>
  <c r="O97" i="36"/>
  <c r="AF97" i="36"/>
  <c r="P97" i="36"/>
  <c r="AG97" i="36"/>
  <c r="AH97" i="36"/>
  <c r="H97" i="36"/>
  <c r="AI97" i="36"/>
  <c r="J97" i="36"/>
  <c r="K98" i="36"/>
  <c r="F98" i="36"/>
  <c r="M98" i="36"/>
  <c r="AC98" i="36"/>
  <c r="L98" i="36"/>
  <c r="AD98" i="36"/>
  <c r="G98" i="36"/>
  <c r="N98" i="36"/>
  <c r="AE98" i="36"/>
  <c r="O98" i="36"/>
  <c r="AF98" i="36"/>
  <c r="P98" i="36"/>
  <c r="AG98" i="36"/>
  <c r="AH98" i="36"/>
  <c r="H98" i="36"/>
  <c r="AI98" i="36"/>
  <c r="J98" i="36"/>
  <c r="K99" i="36"/>
  <c r="F99" i="36"/>
  <c r="M99" i="36"/>
  <c r="AC99" i="36"/>
  <c r="L99" i="36"/>
  <c r="AD99" i="36"/>
  <c r="G99" i="36"/>
  <c r="N99" i="36"/>
  <c r="AE99" i="36"/>
  <c r="O99" i="36"/>
  <c r="AF99" i="36"/>
  <c r="P99" i="36"/>
  <c r="AG99" i="36"/>
  <c r="AH99" i="36"/>
  <c r="H99" i="36"/>
  <c r="AI99" i="36"/>
  <c r="J99" i="36"/>
  <c r="K100" i="36"/>
  <c r="F100" i="36"/>
  <c r="M100" i="36"/>
  <c r="AC100" i="36"/>
  <c r="L100" i="36"/>
  <c r="AD100" i="36"/>
  <c r="G100" i="36"/>
  <c r="N100" i="36"/>
  <c r="AE100" i="36"/>
  <c r="O100" i="36"/>
  <c r="AF100" i="36"/>
  <c r="P100" i="36"/>
  <c r="AG100" i="36"/>
  <c r="AH100" i="36"/>
  <c r="H100" i="36"/>
  <c r="AI100" i="36"/>
  <c r="J100" i="36"/>
  <c r="K101" i="36"/>
  <c r="F101" i="36"/>
  <c r="M101" i="36"/>
  <c r="AC101" i="36"/>
  <c r="L101" i="36"/>
  <c r="AD101" i="36"/>
  <c r="G101" i="36"/>
  <c r="N101" i="36"/>
  <c r="AE101" i="36"/>
  <c r="O101" i="36"/>
  <c r="AF101" i="36"/>
  <c r="P101" i="36"/>
  <c r="AG101" i="36"/>
  <c r="AH101" i="36"/>
  <c r="H101" i="36"/>
  <c r="AI101" i="36"/>
  <c r="J101" i="36"/>
  <c r="K102" i="36"/>
  <c r="F102" i="36"/>
  <c r="M102" i="36"/>
  <c r="AC102" i="36"/>
  <c r="L102" i="36"/>
  <c r="AD102" i="36"/>
  <c r="G102" i="36"/>
  <c r="N102" i="36"/>
  <c r="AE102" i="36"/>
  <c r="O102" i="36"/>
  <c r="AF102" i="36"/>
  <c r="P102" i="36"/>
  <c r="AG102" i="36"/>
  <c r="AH102" i="36"/>
  <c r="H102" i="36"/>
  <c r="AI102" i="36"/>
  <c r="J102" i="36"/>
  <c r="K103" i="36"/>
  <c r="F103" i="36"/>
  <c r="M103" i="36"/>
  <c r="AC103" i="36"/>
  <c r="L103" i="36"/>
  <c r="AD103" i="36"/>
  <c r="G103" i="36"/>
  <c r="N103" i="36"/>
  <c r="AE103" i="36"/>
  <c r="O103" i="36"/>
  <c r="AF103" i="36"/>
  <c r="P103" i="36"/>
  <c r="AG103" i="36"/>
  <c r="AH103" i="36"/>
  <c r="H103" i="36"/>
  <c r="AI103" i="36"/>
  <c r="J103" i="36"/>
  <c r="K104" i="36"/>
  <c r="F104" i="36"/>
  <c r="M104" i="36"/>
  <c r="AC104" i="36"/>
  <c r="L104" i="36"/>
  <c r="AD104" i="36"/>
  <c r="G104" i="36"/>
  <c r="N104" i="36"/>
  <c r="AE104" i="36"/>
  <c r="O104" i="36"/>
  <c r="AF104" i="36"/>
  <c r="P104" i="36"/>
  <c r="AG104" i="36"/>
  <c r="AH104" i="36"/>
  <c r="H104" i="36"/>
  <c r="AI104" i="36"/>
  <c r="AI107" i="36"/>
  <c r="H8" i="41"/>
  <c r="J8" i="41"/>
  <c r="J10" i="41"/>
  <c r="D34" i="41"/>
  <c r="E43" i="41"/>
  <c r="F43" i="41"/>
  <c r="G43" i="41"/>
  <c r="E4" i="44"/>
  <c r="E10" i="8"/>
  <c r="G10" i="8"/>
  <c r="F10" i="8"/>
  <c r="H10" i="8"/>
  <c r="K10" i="8"/>
  <c r="L10" i="8"/>
  <c r="T10" i="8"/>
  <c r="E11" i="8"/>
  <c r="K11" i="8"/>
  <c r="K12" i="8"/>
  <c r="E13" i="8"/>
  <c r="K13" i="8"/>
  <c r="T11" i="8"/>
  <c r="T12" i="8"/>
  <c r="T13" i="8"/>
  <c r="T14" i="8"/>
  <c r="E15" i="8"/>
  <c r="G15" i="8"/>
  <c r="F15" i="8"/>
  <c r="H15" i="8"/>
  <c r="K15" i="8"/>
  <c r="L15" i="8"/>
  <c r="T15" i="8"/>
  <c r="E16" i="8"/>
  <c r="K16" i="8"/>
  <c r="E17" i="8"/>
  <c r="K17" i="8"/>
  <c r="E18" i="8"/>
  <c r="K18" i="8"/>
  <c r="T16" i="8"/>
  <c r="T17" i="8"/>
  <c r="T18" i="8"/>
  <c r="T19" i="8"/>
  <c r="E20" i="8"/>
  <c r="K20" i="8"/>
  <c r="E21" i="8"/>
  <c r="K21" i="8"/>
  <c r="E22" i="8"/>
  <c r="K22" i="8"/>
  <c r="T20" i="8"/>
  <c r="T21" i="8"/>
  <c r="T22" i="8"/>
  <c r="T23" i="8"/>
  <c r="K24" i="8"/>
  <c r="K25" i="8"/>
  <c r="E26" i="8"/>
  <c r="K26" i="8"/>
  <c r="T24" i="8"/>
  <c r="T25" i="8"/>
  <c r="J26" i="8"/>
  <c r="T26" i="8"/>
  <c r="D26" i="8"/>
  <c r="T27" i="8"/>
  <c r="H28" i="8"/>
  <c r="K28" i="8"/>
  <c r="L28" i="8"/>
  <c r="T28" i="8"/>
  <c r="K32" i="8"/>
  <c r="L32" i="8"/>
  <c r="T32" i="8"/>
  <c r="K33" i="8"/>
  <c r="L33" i="8"/>
  <c r="T33" i="8"/>
  <c r="G34" i="8"/>
  <c r="F34" i="8"/>
  <c r="H34" i="8"/>
  <c r="K34" i="8"/>
  <c r="L34" i="8"/>
  <c r="T34" i="8"/>
  <c r="E38" i="8"/>
  <c r="G38" i="8"/>
  <c r="F38" i="8"/>
  <c r="H38" i="8"/>
  <c r="K38" i="8"/>
  <c r="L38" i="8"/>
  <c r="T38" i="8"/>
  <c r="E39" i="8"/>
  <c r="G39" i="8"/>
  <c r="F39" i="8"/>
  <c r="H39" i="8"/>
  <c r="K39" i="8"/>
  <c r="L39" i="8"/>
  <c r="T39" i="8"/>
  <c r="E40" i="8"/>
  <c r="G40" i="8"/>
  <c r="F40" i="8"/>
  <c r="H40" i="8"/>
  <c r="K40" i="8"/>
  <c r="L40" i="8"/>
  <c r="T40" i="8"/>
  <c r="E41" i="8"/>
  <c r="G41" i="8"/>
  <c r="F41" i="8"/>
  <c r="H41" i="8"/>
  <c r="K41" i="8"/>
  <c r="L41" i="8"/>
  <c r="T41" i="8"/>
  <c r="E42" i="8"/>
  <c r="G42" i="8"/>
  <c r="F42" i="8"/>
  <c r="H42" i="8"/>
  <c r="K42" i="8"/>
  <c r="L42" i="8"/>
  <c r="T42" i="8"/>
  <c r="E46" i="8"/>
  <c r="G46" i="8"/>
  <c r="F46" i="8"/>
  <c r="H46" i="8"/>
  <c r="K46" i="8"/>
  <c r="L46" i="8"/>
  <c r="J46" i="8"/>
  <c r="T46" i="8"/>
  <c r="E47" i="8"/>
  <c r="G47" i="8"/>
  <c r="F47" i="8"/>
  <c r="H47" i="8"/>
  <c r="K47" i="8"/>
  <c r="L47" i="8"/>
  <c r="J47" i="8"/>
  <c r="T47" i="8"/>
  <c r="J54" i="8"/>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G9" i="25"/>
  <c r="E48" i="8"/>
  <c r="G48" i="8"/>
  <c r="F48" i="8"/>
  <c r="H48" i="8"/>
  <c r="K48" i="8"/>
  <c r="L48" i="8"/>
  <c r="J48" i="8"/>
  <c r="T48" i="8"/>
  <c r="E50" i="8"/>
  <c r="G50" i="8"/>
  <c r="F50" i="8"/>
  <c r="H50" i="8"/>
  <c r="K50" i="8"/>
  <c r="L50" i="8"/>
  <c r="J50" i="8"/>
  <c r="T50" i="8"/>
  <c r="E51" i="8"/>
  <c r="G51" i="8"/>
  <c r="F51" i="8"/>
  <c r="H51" i="8"/>
  <c r="K51" i="8"/>
  <c r="L51" i="8"/>
  <c r="J51" i="8"/>
  <c r="T51" i="8"/>
  <c r="E52" i="8"/>
  <c r="G52" i="8"/>
  <c r="F52" i="8"/>
  <c r="H52" i="8"/>
  <c r="K52" i="8"/>
  <c r="L52" i="8"/>
  <c r="J52" i="8"/>
  <c r="T52" i="8"/>
  <c r="T54" i="8"/>
  <c r="E55" i="8"/>
  <c r="G55" i="8"/>
  <c r="F55" i="8"/>
  <c r="H55" i="8"/>
  <c r="K55" i="8"/>
  <c r="L55" i="8"/>
  <c r="J55" i="8"/>
  <c r="T55" i="8"/>
  <c r="E56" i="8"/>
  <c r="G56" i="8"/>
  <c r="F56" i="8"/>
  <c r="H56" i="8"/>
  <c r="K56" i="8"/>
  <c r="L56" i="8"/>
  <c r="T56" i="8"/>
  <c r="H57" i="8"/>
  <c r="K57" i="8"/>
  <c r="L57" i="8"/>
  <c r="T57" i="8"/>
  <c r="H58" i="8"/>
  <c r="K58" i="8"/>
  <c r="L58" i="8"/>
  <c r="T58" i="8"/>
  <c r="H59" i="8"/>
  <c r="K59" i="8"/>
  <c r="L59" i="8"/>
  <c r="T59" i="8"/>
  <c r="H61" i="8"/>
  <c r="K61" i="8"/>
  <c r="L61" i="8"/>
  <c r="J61" i="8"/>
  <c r="T61" i="8"/>
  <c r="W12" i="43"/>
  <c r="X12" i="43"/>
  <c r="Y12" i="43"/>
  <c r="Z12" i="43"/>
  <c r="AA12" i="43"/>
  <c r="AB12" i="43"/>
  <c r="W13" i="43"/>
  <c r="X13" i="43"/>
  <c r="Y13" i="43"/>
  <c r="Z13" i="43"/>
  <c r="AA13" i="43"/>
  <c r="AB13" i="43"/>
  <c r="W14" i="43"/>
  <c r="X14" i="43"/>
  <c r="Y14" i="43"/>
  <c r="Z14" i="43"/>
  <c r="AA14" i="43"/>
  <c r="AB14" i="43"/>
  <c r="W15" i="43"/>
  <c r="X15" i="43"/>
  <c r="Y15" i="43"/>
  <c r="Z15" i="43"/>
  <c r="AA15" i="43"/>
  <c r="AB15" i="43"/>
  <c r="W16" i="43"/>
  <c r="X16" i="43"/>
  <c r="Y16" i="43"/>
  <c r="Z16" i="43"/>
  <c r="AA16" i="43"/>
  <c r="AB16" i="43"/>
  <c r="W17" i="43"/>
  <c r="X17" i="43"/>
  <c r="Y17" i="43"/>
  <c r="Z17" i="43"/>
  <c r="AA17" i="43"/>
  <c r="AB17" i="43"/>
  <c r="W18" i="43"/>
  <c r="X18" i="43"/>
  <c r="Y18" i="43"/>
  <c r="Z18" i="43"/>
  <c r="AA18" i="43"/>
  <c r="AB18" i="43"/>
  <c r="W19" i="43"/>
  <c r="X19" i="43"/>
  <c r="Y19" i="43"/>
  <c r="Z19" i="43"/>
  <c r="AA19" i="43"/>
  <c r="AB19" i="43"/>
  <c r="W20" i="43"/>
  <c r="X20" i="43"/>
  <c r="Y20" i="43"/>
  <c r="Z20" i="43"/>
  <c r="AA20" i="43"/>
  <c r="AB20" i="43"/>
  <c r="W21" i="43"/>
  <c r="X21" i="43"/>
  <c r="Y21" i="43"/>
  <c r="Z21" i="43"/>
  <c r="AA21" i="43"/>
  <c r="AB21" i="43"/>
  <c r="W22" i="43"/>
  <c r="X22" i="43"/>
  <c r="Y22" i="43"/>
  <c r="Z22" i="43"/>
  <c r="AA22" i="43"/>
  <c r="AB22" i="43"/>
  <c r="W23" i="43"/>
  <c r="X23" i="43"/>
  <c r="Y23" i="43"/>
  <c r="Z23" i="43"/>
  <c r="AA23" i="43"/>
  <c r="AB23" i="43"/>
  <c r="W24" i="43"/>
  <c r="X24" i="43"/>
  <c r="Y24" i="43"/>
  <c r="Z24" i="43"/>
  <c r="AA24" i="43"/>
  <c r="AB24" i="43"/>
  <c r="W25" i="43"/>
  <c r="X25" i="43"/>
  <c r="Y25" i="43"/>
  <c r="Z25" i="43"/>
  <c r="AA25" i="43"/>
  <c r="AB25" i="43"/>
  <c r="W26" i="43"/>
  <c r="X26" i="43"/>
  <c r="Y26" i="43"/>
  <c r="Z26" i="43"/>
  <c r="AA26" i="43"/>
  <c r="AB26" i="43"/>
  <c r="W27" i="43"/>
  <c r="X27" i="43"/>
  <c r="Y27" i="43"/>
  <c r="Z27" i="43"/>
  <c r="AA27" i="43"/>
  <c r="AB27" i="43"/>
  <c r="W28" i="43"/>
  <c r="X28" i="43"/>
  <c r="Y28" i="43"/>
  <c r="Z28" i="43"/>
  <c r="AA28" i="43"/>
  <c r="AB28" i="43"/>
  <c r="W29" i="43"/>
  <c r="X29" i="43"/>
  <c r="Y29" i="43"/>
  <c r="Z29" i="43"/>
  <c r="AA29" i="43"/>
  <c r="AB29" i="43"/>
  <c r="W30" i="43"/>
  <c r="X30" i="43"/>
  <c r="Y30" i="43"/>
  <c r="Z30" i="43"/>
  <c r="AA30" i="43"/>
  <c r="AB30" i="43"/>
  <c r="W31" i="43"/>
  <c r="X31" i="43"/>
  <c r="Y31" i="43"/>
  <c r="Z31" i="43"/>
  <c r="AA31" i="43"/>
  <c r="AB31" i="43"/>
  <c r="W32" i="43"/>
  <c r="X32" i="43"/>
  <c r="Y32" i="43"/>
  <c r="Z32" i="43"/>
  <c r="AA32" i="43"/>
  <c r="AB32" i="43"/>
  <c r="W33" i="43"/>
  <c r="X33" i="43"/>
  <c r="Y33" i="43"/>
  <c r="Z33" i="43"/>
  <c r="AA33" i="43"/>
  <c r="AB33" i="43"/>
  <c r="W34" i="43"/>
  <c r="X34" i="43"/>
  <c r="Y34" i="43"/>
  <c r="Z34" i="43"/>
  <c r="AA34" i="43"/>
  <c r="AB34" i="43"/>
  <c r="W35" i="43"/>
  <c r="X35" i="43"/>
  <c r="Y35" i="43"/>
  <c r="Z35" i="43"/>
  <c r="AA35" i="43"/>
  <c r="AB35" i="43"/>
  <c r="W36" i="43"/>
  <c r="X36" i="43"/>
  <c r="Y36" i="43"/>
  <c r="Z36" i="43"/>
  <c r="AA36" i="43"/>
  <c r="AB36" i="43"/>
  <c r="W37" i="43"/>
  <c r="X37" i="43"/>
  <c r="Y37" i="43"/>
  <c r="Z37" i="43"/>
  <c r="AA37" i="43"/>
  <c r="AB37" i="43"/>
  <c r="W38" i="43"/>
  <c r="X38" i="43"/>
  <c r="Y38" i="43"/>
  <c r="Z38" i="43"/>
  <c r="AA38" i="43"/>
  <c r="AB38" i="43"/>
  <c r="W39" i="43"/>
  <c r="X39" i="43"/>
  <c r="Y39" i="43"/>
  <c r="Z39" i="43"/>
  <c r="AA39" i="43"/>
  <c r="AB39" i="43"/>
  <c r="W40" i="43"/>
  <c r="X40" i="43"/>
  <c r="Y40" i="43"/>
  <c r="Z40" i="43"/>
  <c r="AA40" i="43"/>
  <c r="AB40" i="43"/>
  <c r="W41" i="43"/>
  <c r="X41" i="43"/>
  <c r="Y41" i="43"/>
  <c r="Z41" i="43"/>
  <c r="AA41" i="43"/>
  <c r="AB41" i="43"/>
  <c r="W42" i="43"/>
  <c r="X42" i="43"/>
  <c r="Y42" i="43"/>
  <c r="Z42" i="43"/>
  <c r="AA42" i="43"/>
  <c r="AB42" i="43"/>
  <c r="W43" i="43"/>
  <c r="X43" i="43"/>
  <c r="Y43" i="43"/>
  <c r="Z43" i="43"/>
  <c r="AA43" i="43"/>
  <c r="AB43" i="43"/>
  <c r="W44" i="43"/>
  <c r="X44" i="43"/>
  <c r="Y44" i="43"/>
  <c r="Z44" i="43"/>
  <c r="AA44" i="43"/>
  <c r="AB44" i="43"/>
  <c r="W45" i="43"/>
  <c r="X45" i="43"/>
  <c r="Y45" i="43"/>
  <c r="Z45" i="43"/>
  <c r="AA45" i="43"/>
  <c r="AB45" i="43"/>
  <c r="W46" i="43"/>
  <c r="X46" i="43"/>
  <c r="Y46" i="43"/>
  <c r="Z46" i="43"/>
  <c r="AA46" i="43"/>
  <c r="AB46" i="43"/>
  <c r="W47" i="43"/>
  <c r="X47" i="43"/>
  <c r="Y47" i="43"/>
  <c r="Z47" i="43"/>
  <c r="AA47" i="43"/>
  <c r="AB47" i="43"/>
  <c r="W48" i="43"/>
  <c r="X48" i="43"/>
  <c r="Y48" i="43"/>
  <c r="Z48" i="43"/>
  <c r="AA48" i="43"/>
  <c r="AB48" i="43"/>
  <c r="W49" i="43"/>
  <c r="X49" i="43"/>
  <c r="Y49" i="43"/>
  <c r="Z49" i="43"/>
  <c r="AA49" i="43"/>
  <c r="AB49" i="43"/>
  <c r="W50" i="43"/>
  <c r="X50" i="43"/>
  <c r="Y50" i="43"/>
  <c r="Z50" i="43"/>
  <c r="AA50" i="43"/>
  <c r="AB50" i="43"/>
  <c r="W51" i="43"/>
  <c r="X51" i="43"/>
  <c r="Y51" i="43"/>
  <c r="Z51" i="43"/>
  <c r="AA51" i="43"/>
  <c r="AB51" i="43"/>
  <c r="W52" i="43"/>
  <c r="X52" i="43"/>
  <c r="Y52" i="43"/>
  <c r="Z52" i="43"/>
  <c r="AA52" i="43"/>
  <c r="AB52" i="43"/>
  <c r="W53" i="43"/>
  <c r="X53" i="43"/>
  <c r="Y53" i="43"/>
  <c r="Z53" i="43"/>
  <c r="AA53" i="43"/>
  <c r="AB53" i="43"/>
  <c r="W54" i="43"/>
  <c r="X54" i="43"/>
  <c r="Y54" i="43"/>
  <c r="Z54" i="43"/>
  <c r="AA54" i="43"/>
  <c r="AB54" i="43"/>
  <c r="W55" i="43"/>
  <c r="X55" i="43"/>
  <c r="Y55" i="43"/>
  <c r="Z55" i="43"/>
  <c r="AA55" i="43"/>
  <c r="AB55" i="43"/>
  <c r="W56" i="43"/>
  <c r="X56" i="43"/>
  <c r="Y56" i="43"/>
  <c r="Z56" i="43"/>
  <c r="AA56" i="43"/>
  <c r="AB56" i="43"/>
  <c r="W57" i="43"/>
  <c r="X57" i="43"/>
  <c r="Y57" i="43"/>
  <c r="Z57" i="43"/>
  <c r="AA57" i="43"/>
  <c r="AB57" i="43"/>
  <c r="W58" i="43"/>
  <c r="X58" i="43"/>
  <c r="Y58" i="43"/>
  <c r="Z58" i="43"/>
  <c r="AA58" i="43"/>
  <c r="AB58" i="43"/>
  <c r="W59" i="43"/>
  <c r="X59" i="43"/>
  <c r="Y59" i="43"/>
  <c r="Z59" i="43"/>
  <c r="AA59" i="43"/>
  <c r="AB59" i="43"/>
  <c r="W60" i="43"/>
  <c r="X60" i="43"/>
  <c r="Y60" i="43"/>
  <c r="Z60" i="43"/>
  <c r="AA60" i="43"/>
  <c r="AB60" i="43"/>
  <c r="W61" i="43"/>
  <c r="X61" i="43"/>
  <c r="Y61" i="43"/>
  <c r="Z61" i="43"/>
  <c r="AA61" i="43"/>
  <c r="AB61" i="43"/>
  <c r="W62" i="43"/>
  <c r="X62" i="43"/>
  <c r="Y62" i="43"/>
  <c r="Z62" i="43"/>
  <c r="AA62" i="43"/>
  <c r="AB62" i="43"/>
  <c r="W63" i="43"/>
  <c r="X63" i="43"/>
  <c r="Y63" i="43"/>
  <c r="Z63" i="43"/>
  <c r="AA63" i="43"/>
  <c r="AB63" i="43"/>
  <c r="W64" i="43"/>
  <c r="X64" i="43"/>
  <c r="Y64" i="43"/>
  <c r="Z64" i="43"/>
  <c r="AA64" i="43"/>
  <c r="AB64" i="43"/>
  <c r="W65" i="43"/>
  <c r="X65" i="43"/>
  <c r="Y65" i="43"/>
  <c r="Z65" i="43"/>
  <c r="AA65" i="43"/>
  <c r="AB65" i="43"/>
  <c r="W66" i="43"/>
  <c r="X66" i="43"/>
  <c r="Y66" i="43"/>
  <c r="Z66" i="43"/>
  <c r="AA66" i="43"/>
  <c r="AB66" i="43"/>
  <c r="W67" i="43"/>
  <c r="X67" i="43"/>
  <c r="Y67" i="43"/>
  <c r="Z67" i="43"/>
  <c r="AA67" i="43"/>
  <c r="AB67" i="43"/>
  <c r="W68" i="43"/>
  <c r="X68" i="43"/>
  <c r="Y68" i="43"/>
  <c r="Z68" i="43"/>
  <c r="AA68" i="43"/>
  <c r="AB68" i="43"/>
  <c r="W69" i="43"/>
  <c r="X69" i="43"/>
  <c r="Y69" i="43"/>
  <c r="Z69" i="43"/>
  <c r="AA69" i="43"/>
  <c r="AB69" i="43"/>
  <c r="W70" i="43"/>
  <c r="X70" i="43"/>
  <c r="Y70" i="43"/>
  <c r="Z70" i="43"/>
  <c r="AA70" i="43"/>
  <c r="AB70" i="43"/>
  <c r="W71" i="43"/>
  <c r="X71" i="43"/>
  <c r="Y71" i="43"/>
  <c r="Z71" i="43"/>
  <c r="AA71" i="43"/>
  <c r="AB71" i="43"/>
  <c r="W72" i="43"/>
  <c r="X72" i="43"/>
  <c r="Y72" i="43"/>
  <c r="Z72" i="43"/>
  <c r="AA72" i="43"/>
  <c r="AB72" i="43"/>
  <c r="W73" i="43"/>
  <c r="X73" i="43"/>
  <c r="Y73" i="43"/>
  <c r="Z73" i="43"/>
  <c r="AA73" i="43"/>
  <c r="AB73" i="43"/>
  <c r="W74" i="43"/>
  <c r="X74" i="43"/>
  <c r="Y74" i="43"/>
  <c r="Z74" i="43"/>
  <c r="AA74" i="43"/>
  <c r="AB74" i="43"/>
  <c r="W75" i="43"/>
  <c r="X75" i="43"/>
  <c r="Y75" i="43"/>
  <c r="Z75" i="43"/>
  <c r="AA75" i="43"/>
  <c r="AB75" i="43"/>
  <c r="W76" i="43"/>
  <c r="X76" i="43"/>
  <c r="Y76" i="43"/>
  <c r="Z76" i="43"/>
  <c r="AA76" i="43"/>
  <c r="AB76" i="43"/>
  <c r="W77" i="43"/>
  <c r="X77" i="43"/>
  <c r="Y77" i="43"/>
  <c r="Z77" i="43"/>
  <c r="AA77" i="43"/>
  <c r="AB77" i="43"/>
  <c r="W78" i="43"/>
  <c r="X78" i="43"/>
  <c r="Y78" i="43"/>
  <c r="Z78" i="43"/>
  <c r="AA78" i="43"/>
  <c r="AB78" i="43"/>
  <c r="W79" i="43"/>
  <c r="X79" i="43"/>
  <c r="Y79" i="43"/>
  <c r="Z79" i="43"/>
  <c r="AA79" i="43"/>
  <c r="AB79" i="43"/>
  <c r="W80" i="43"/>
  <c r="X80" i="43"/>
  <c r="Y80" i="43"/>
  <c r="Z80" i="43"/>
  <c r="AA80" i="43"/>
  <c r="AB80" i="43"/>
  <c r="W81" i="43"/>
  <c r="X81" i="43"/>
  <c r="Y81" i="43"/>
  <c r="Z81" i="43"/>
  <c r="AA81" i="43"/>
  <c r="AB81" i="43"/>
  <c r="W82" i="43"/>
  <c r="X82" i="43"/>
  <c r="Y82" i="43"/>
  <c r="Z82" i="43"/>
  <c r="AA82" i="43"/>
  <c r="AB82" i="43"/>
  <c r="W83" i="43"/>
  <c r="X83" i="43"/>
  <c r="Y83" i="43"/>
  <c r="Z83" i="43"/>
  <c r="AA83" i="43"/>
  <c r="AB83" i="43"/>
  <c r="W84" i="43"/>
  <c r="X84" i="43"/>
  <c r="Y84" i="43"/>
  <c r="Z84" i="43"/>
  <c r="AA84" i="43"/>
  <c r="AB84" i="43"/>
  <c r="W85" i="43"/>
  <c r="X85" i="43"/>
  <c r="Y85" i="43"/>
  <c r="Z85" i="43"/>
  <c r="AA85" i="43"/>
  <c r="AB85" i="43"/>
  <c r="W86" i="43"/>
  <c r="X86" i="43"/>
  <c r="Y86" i="43"/>
  <c r="Z86" i="43"/>
  <c r="AA86" i="43"/>
  <c r="AB86" i="43"/>
  <c r="W87" i="43"/>
  <c r="X87" i="43"/>
  <c r="Y87" i="43"/>
  <c r="Z87" i="43"/>
  <c r="AA87" i="43"/>
  <c r="AB87" i="43"/>
  <c r="W88" i="43"/>
  <c r="X88" i="43"/>
  <c r="Y88" i="43"/>
  <c r="Z88" i="43"/>
  <c r="AA88" i="43"/>
  <c r="AB88" i="43"/>
  <c r="W89" i="43"/>
  <c r="X89" i="43"/>
  <c r="Y89" i="43"/>
  <c r="Z89" i="43"/>
  <c r="AA89" i="43"/>
  <c r="AB89" i="43"/>
  <c r="W90" i="43"/>
  <c r="X90" i="43"/>
  <c r="Y90" i="43"/>
  <c r="Z90" i="43"/>
  <c r="AA90" i="43"/>
  <c r="AB90" i="43"/>
  <c r="W91" i="43"/>
  <c r="X91" i="43"/>
  <c r="Y91" i="43"/>
  <c r="Z91" i="43"/>
  <c r="AA91" i="43"/>
  <c r="AB91" i="43"/>
  <c r="W92" i="43"/>
  <c r="X92" i="43"/>
  <c r="Y92" i="43"/>
  <c r="Z92" i="43"/>
  <c r="AA92" i="43"/>
  <c r="AB92" i="43"/>
  <c r="W93" i="43"/>
  <c r="X93" i="43"/>
  <c r="Y93" i="43"/>
  <c r="Z93" i="43"/>
  <c r="AA93" i="43"/>
  <c r="AB93" i="43"/>
  <c r="W94" i="43"/>
  <c r="X94" i="43"/>
  <c r="Y94" i="43"/>
  <c r="Z94" i="43"/>
  <c r="AA94" i="43"/>
  <c r="AB94" i="43"/>
  <c r="W95" i="43"/>
  <c r="X95" i="43"/>
  <c r="Y95" i="43"/>
  <c r="Z95" i="43"/>
  <c r="AA95" i="43"/>
  <c r="AB95" i="43"/>
  <c r="W96" i="43"/>
  <c r="X96" i="43"/>
  <c r="Y96" i="43"/>
  <c r="Z96" i="43"/>
  <c r="AA96" i="43"/>
  <c r="AB96" i="43"/>
  <c r="W97" i="43"/>
  <c r="X97" i="43"/>
  <c r="Y97" i="43"/>
  <c r="Z97" i="43"/>
  <c r="AA97" i="43"/>
  <c r="AB97" i="43"/>
  <c r="W98" i="43"/>
  <c r="X98" i="43"/>
  <c r="Y98" i="43"/>
  <c r="Z98" i="43"/>
  <c r="AA98" i="43"/>
  <c r="AB98" i="43"/>
  <c r="W99" i="43"/>
  <c r="X99" i="43"/>
  <c r="Y99" i="43"/>
  <c r="Z99" i="43"/>
  <c r="AA99" i="43"/>
  <c r="AB99" i="43"/>
  <c r="W100" i="43"/>
  <c r="X100" i="43"/>
  <c r="Y100" i="43"/>
  <c r="Z100" i="43"/>
  <c r="AA100" i="43"/>
  <c r="AB100" i="43"/>
  <c r="W101" i="43"/>
  <c r="X101" i="43"/>
  <c r="Y101" i="43"/>
  <c r="Z101" i="43"/>
  <c r="AA101" i="43"/>
  <c r="AB101" i="43"/>
  <c r="W102" i="43"/>
  <c r="X102" i="43"/>
  <c r="Y102" i="43"/>
  <c r="Z102" i="43"/>
  <c r="AA102" i="43"/>
  <c r="AB102" i="43"/>
  <c r="W103" i="43"/>
  <c r="X103" i="43"/>
  <c r="Y103" i="43"/>
  <c r="Z103" i="43"/>
  <c r="AA103" i="43"/>
  <c r="AB103" i="43"/>
  <c r="W104" i="43"/>
  <c r="X104" i="43"/>
  <c r="Y104" i="43"/>
  <c r="Z104" i="43"/>
  <c r="AA104" i="43"/>
  <c r="AB104" i="43"/>
  <c r="W105" i="43"/>
  <c r="X105" i="43"/>
  <c r="Y105" i="43"/>
  <c r="Z105" i="43"/>
  <c r="AA105" i="43"/>
  <c r="AB105" i="43"/>
  <c r="W106" i="43"/>
  <c r="X106" i="43"/>
  <c r="Y106" i="43"/>
  <c r="Z106" i="43"/>
  <c r="AA106" i="43"/>
  <c r="AB106" i="43"/>
  <c r="W107" i="43"/>
  <c r="X107" i="43"/>
  <c r="Y107" i="43"/>
  <c r="Z107" i="43"/>
  <c r="AA107" i="43"/>
  <c r="AB107" i="43"/>
  <c r="W108" i="43"/>
  <c r="X108" i="43"/>
  <c r="Y108" i="43"/>
  <c r="Z108" i="43"/>
  <c r="AA108" i="43"/>
  <c r="AB108" i="43"/>
  <c r="W109" i="43"/>
  <c r="X109" i="43"/>
  <c r="Y109" i="43"/>
  <c r="Z109" i="43"/>
  <c r="AA109" i="43"/>
  <c r="AB109" i="43"/>
  <c r="W110" i="43"/>
  <c r="X110" i="43"/>
  <c r="Y110" i="43"/>
  <c r="Z110" i="43"/>
  <c r="AA110" i="43"/>
  <c r="AB110" i="43"/>
  <c r="W111" i="43"/>
  <c r="X111" i="43"/>
  <c r="Y111" i="43"/>
  <c r="Z111" i="43"/>
  <c r="AA111" i="43"/>
  <c r="AB111" i="43"/>
  <c r="W112" i="43"/>
  <c r="X112" i="43"/>
  <c r="Y112" i="43"/>
  <c r="Z112" i="43"/>
  <c r="AA112" i="43"/>
  <c r="AB112" i="43"/>
  <c r="W113" i="43"/>
  <c r="X113" i="43"/>
  <c r="Y113" i="43"/>
  <c r="Z113" i="43"/>
  <c r="AA113" i="43"/>
  <c r="AB113" i="43"/>
  <c r="W114" i="43"/>
  <c r="X114" i="43"/>
  <c r="Y114" i="43"/>
  <c r="Z114" i="43"/>
  <c r="AA114" i="43"/>
  <c r="AB114" i="43"/>
  <c r="W115" i="43"/>
  <c r="X115" i="43"/>
  <c r="Y115" i="43"/>
  <c r="Z115" i="43"/>
  <c r="AA115" i="43"/>
  <c r="AB115" i="43"/>
  <c r="W116" i="43"/>
  <c r="X116" i="43"/>
  <c r="Y116" i="43"/>
  <c r="Z116" i="43"/>
  <c r="AA116" i="43"/>
  <c r="AB116" i="43"/>
  <c r="W117" i="43"/>
  <c r="X117" i="43"/>
  <c r="Y117" i="43"/>
  <c r="Z117" i="43"/>
  <c r="AA117" i="43"/>
  <c r="AB117" i="43"/>
  <c r="W118" i="43"/>
  <c r="X118" i="43"/>
  <c r="Y118" i="43"/>
  <c r="Z118" i="43"/>
  <c r="AA118" i="43"/>
  <c r="AB118" i="43"/>
  <c r="W119" i="43"/>
  <c r="X119" i="43"/>
  <c r="Y119" i="43"/>
  <c r="Z119" i="43"/>
  <c r="AA119" i="43"/>
  <c r="AB119" i="43"/>
  <c r="W120" i="43"/>
  <c r="X120" i="43"/>
  <c r="Y120" i="43"/>
  <c r="Z120" i="43"/>
  <c r="AA120" i="43"/>
  <c r="AB120" i="43"/>
  <c r="W121" i="43"/>
  <c r="X121" i="43"/>
  <c r="Y121" i="43"/>
  <c r="Z121" i="43"/>
  <c r="AA121" i="43"/>
  <c r="AB121" i="43"/>
  <c r="W122" i="43"/>
  <c r="X122" i="43"/>
  <c r="Y122" i="43"/>
  <c r="Z122" i="43"/>
  <c r="AA122" i="43"/>
  <c r="AB122" i="43"/>
  <c r="W123" i="43"/>
  <c r="X123" i="43"/>
  <c r="Y123" i="43"/>
  <c r="Z123" i="43"/>
  <c r="AA123" i="43"/>
  <c r="AB123" i="43"/>
  <c r="W124" i="43"/>
  <c r="X124" i="43"/>
  <c r="Y124" i="43"/>
  <c r="Z124" i="43"/>
  <c r="AA124" i="43"/>
  <c r="AB124" i="43"/>
  <c r="W125" i="43"/>
  <c r="X125" i="43"/>
  <c r="Y125" i="43"/>
  <c r="Z125" i="43"/>
  <c r="AA125" i="43"/>
  <c r="AB125" i="43"/>
  <c r="W126" i="43"/>
  <c r="X126" i="43"/>
  <c r="Y126" i="43"/>
  <c r="Z126" i="43"/>
  <c r="AA126" i="43"/>
  <c r="AB126" i="43"/>
  <c r="W127" i="43"/>
  <c r="X127" i="43"/>
  <c r="Y127" i="43"/>
  <c r="Z127" i="43"/>
  <c r="AA127" i="43"/>
  <c r="AB127" i="43"/>
  <c r="W128" i="43"/>
  <c r="X128" i="43"/>
  <c r="Y128" i="43"/>
  <c r="Z128" i="43"/>
  <c r="AA128" i="43"/>
  <c r="AB128" i="43"/>
  <c r="W129" i="43"/>
  <c r="X129" i="43"/>
  <c r="Y129" i="43"/>
  <c r="Z129" i="43"/>
  <c r="AA129" i="43"/>
  <c r="AB129" i="43"/>
  <c r="W130" i="43"/>
  <c r="X130" i="43"/>
  <c r="Y130" i="43"/>
  <c r="Z130" i="43"/>
  <c r="AA130" i="43"/>
  <c r="AB130" i="43"/>
  <c r="W131" i="43"/>
  <c r="X131" i="43"/>
  <c r="Y131" i="43"/>
  <c r="Z131" i="43"/>
  <c r="AA131" i="43"/>
  <c r="AB131" i="43"/>
  <c r="W132" i="43"/>
  <c r="X132" i="43"/>
  <c r="Y132" i="43"/>
  <c r="Z132" i="43"/>
  <c r="AA132" i="43"/>
  <c r="AB132" i="43"/>
  <c r="W133" i="43"/>
  <c r="X133" i="43"/>
  <c r="Y133" i="43"/>
  <c r="Z133" i="43"/>
  <c r="AA133" i="43"/>
  <c r="AB133" i="43"/>
  <c r="W134" i="43"/>
  <c r="X134" i="43"/>
  <c r="Y134" i="43"/>
  <c r="Z134" i="43"/>
  <c r="AA134" i="43"/>
  <c r="AB134" i="43"/>
  <c r="W135" i="43"/>
  <c r="X135" i="43"/>
  <c r="Y135" i="43"/>
  <c r="Z135" i="43"/>
  <c r="AA135" i="43"/>
  <c r="AB135" i="43"/>
  <c r="W136" i="43"/>
  <c r="X136" i="43"/>
  <c r="Y136" i="43"/>
  <c r="Z136" i="43"/>
  <c r="AA136" i="43"/>
  <c r="AB136" i="43"/>
  <c r="W137" i="43"/>
  <c r="X137" i="43"/>
  <c r="Y137" i="43"/>
  <c r="Z137" i="43"/>
  <c r="AA137" i="43"/>
  <c r="AB137" i="43"/>
  <c r="W138" i="43"/>
  <c r="X138" i="43"/>
  <c r="Y138" i="43"/>
  <c r="Z138" i="43"/>
  <c r="AA138" i="43"/>
  <c r="AB138" i="43"/>
  <c r="W139" i="43"/>
  <c r="X139" i="43"/>
  <c r="Y139" i="43"/>
  <c r="Z139" i="43"/>
  <c r="AA139" i="43"/>
  <c r="AB139" i="43"/>
  <c r="W140" i="43"/>
  <c r="X140" i="43"/>
  <c r="Y140" i="43"/>
  <c r="Z140" i="43"/>
  <c r="AA140" i="43"/>
  <c r="AB140" i="43"/>
  <c r="W141" i="43"/>
  <c r="X141" i="43"/>
  <c r="Y141" i="43"/>
  <c r="Z141" i="43"/>
  <c r="AA141" i="43"/>
  <c r="AB141" i="43"/>
  <c r="W142" i="43"/>
  <c r="X142" i="43"/>
  <c r="Y142" i="43"/>
  <c r="Z142" i="43"/>
  <c r="AA142" i="43"/>
  <c r="AB142" i="43"/>
  <c r="W143" i="43"/>
  <c r="X143" i="43"/>
  <c r="Y143" i="43"/>
  <c r="Z143" i="43"/>
  <c r="AA143" i="43"/>
  <c r="AB143" i="43"/>
  <c r="W144" i="43"/>
  <c r="X144" i="43"/>
  <c r="Y144" i="43"/>
  <c r="Z144" i="43"/>
  <c r="AA144" i="43"/>
  <c r="AB144" i="43"/>
  <c r="W145" i="43"/>
  <c r="X145" i="43"/>
  <c r="Y145" i="43"/>
  <c r="Z145" i="43"/>
  <c r="AA145" i="43"/>
  <c r="AB145" i="43"/>
  <c r="W146" i="43"/>
  <c r="X146" i="43"/>
  <c r="Y146" i="43"/>
  <c r="Z146" i="43"/>
  <c r="AA146" i="43"/>
  <c r="AB146" i="43"/>
  <c r="W147" i="43"/>
  <c r="X147" i="43"/>
  <c r="Y147" i="43"/>
  <c r="Z147" i="43"/>
  <c r="AA147" i="43"/>
  <c r="AB147" i="43"/>
  <c r="W148" i="43"/>
  <c r="X148" i="43"/>
  <c r="Y148" i="43"/>
  <c r="Z148" i="43"/>
  <c r="AA148" i="43"/>
  <c r="AB148" i="43"/>
  <c r="W149" i="43"/>
  <c r="X149" i="43"/>
  <c r="Y149" i="43"/>
  <c r="Z149" i="43"/>
  <c r="AA149" i="43"/>
  <c r="AB149" i="43"/>
  <c r="W150" i="43"/>
  <c r="X150" i="43"/>
  <c r="Y150" i="43"/>
  <c r="Z150" i="43"/>
  <c r="AA150" i="43"/>
  <c r="AB150" i="43"/>
  <c r="W151" i="43"/>
  <c r="X151" i="43"/>
  <c r="Y151" i="43"/>
  <c r="Z151" i="43"/>
  <c r="AA151" i="43"/>
  <c r="AB151" i="43"/>
  <c r="W152" i="43"/>
  <c r="X152" i="43"/>
  <c r="Y152" i="43"/>
  <c r="Z152" i="43"/>
  <c r="AA152" i="43"/>
  <c r="AB152" i="43"/>
  <c r="W153" i="43"/>
  <c r="X153" i="43"/>
  <c r="Y153" i="43"/>
  <c r="Z153" i="43"/>
  <c r="AA153" i="43"/>
  <c r="AB153" i="43"/>
  <c r="W154" i="43"/>
  <c r="X154" i="43"/>
  <c r="Y154" i="43"/>
  <c r="Z154" i="43"/>
  <c r="AA154" i="43"/>
  <c r="AB154" i="43"/>
  <c r="W155" i="43"/>
  <c r="X155" i="43"/>
  <c r="Y155" i="43"/>
  <c r="Z155" i="43"/>
  <c r="AA155" i="43"/>
  <c r="AB155" i="43"/>
  <c r="W156" i="43"/>
  <c r="X156" i="43"/>
  <c r="Y156" i="43"/>
  <c r="Z156" i="43"/>
  <c r="AA156" i="43"/>
  <c r="AB156" i="43"/>
  <c r="W157" i="43"/>
  <c r="X157" i="43"/>
  <c r="Y157" i="43"/>
  <c r="Z157" i="43"/>
  <c r="AA157" i="43"/>
  <c r="AB157" i="43"/>
  <c r="W158" i="43"/>
  <c r="X158" i="43"/>
  <c r="Y158" i="43"/>
  <c r="Z158" i="43"/>
  <c r="AA158" i="43"/>
  <c r="AB158" i="43"/>
  <c r="W159" i="43"/>
  <c r="X159" i="43"/>
  <c r="Y159" i="43"/>
  <c r="Z159" i="43"/>
  <c r="AA159" i="43"/>
  <c r="AB159" i="43"/>
  <c r="W160" i="43"/>
  <c r="X160" i="43"/>
  <c r="Y160" i="43"/>
  <c r="Z160" i="43"/>
  <c r="AA160" i="43"/>
  <c r="AB160" i="43"/>
  <c r="W161" i="43"/>
  <c r="X161" i="43"/>
  <c r="Y161" i="43"/>
  <c r="Z161" i="43"/>
  <c r="AA161" i="43"/>
  <c r="AB161" i="43"/>
  <c r="W162" i="43"/>
  <c r="X162" i="43"/>
  <c r="Y162" i="43"/>
  <c r="Z162" i="43"/>
  <c r="AA162" i="43"/>
  <c r="AB162" i="43"/>
  <c r="W163" i="43"/>
  <c r="X163" i="43"/>
  <c r="Y163" i="43"/>
  <c r="Z163" i="43"/>
  <c r="AA163" i="43"/>
  <c r="AB163" i="43"/>
  <c r="W164" i="43"/>
  <c r="X164" i="43"/>
  <c r="Y164" i="43"/>
  <c r="Z164" i="43"/>
  <c r="AA164" i="43"/>
  <c r="AB164" i="43"/>
  <c r="W165" i="43"/>
  <c r="X165" i="43"/>
  <c r="Y165" i="43"/>
  <c r="Z165" i="43"/>
  <c r="AA165" i="43"/>
  <c r="AB165" i="43"/>
  <c r="W166" i="43"/>
  <c r="X166" i="43"/>
  <c r="Y166" i="43"/>
  <c r="Z166" i="43"/>
  <c r="AA166" i="43"/>
  <c r="AB166" i="43"/>
  <c r="W167" i="43"/>
  <c r="X167" i="43"/>
  <c r="Y167" i="43"/>
  <c r="Z167" i="43"/>
  <c r="AA167" i="43"/>
  <c r="AB167" i="43"/>
  <c r="W168" i="43"/>
  <c r="X168" i="43"/>
  <c r="Y168" i="43"/>
  <c r="Z168" i="43"/>
  <c r="AA168" i="43"/>
  <c r="AB168" i="43"/>
  <c r="W169" i="43"/>
  <c r="X169" i="43"/>
  <c r="Y169" i="43"/>
  <c r="Z169" i="43"/>
  <c r="AA169" i="43"/>
  <c r="AB169" i="43"/>
  <c r="W170" i="43"/>
  <c r="X170" i="43"/>
  <c r="Y170" i="43"/>
  <c r="Z170" i="43"/>
  <c r="AA170" i="43"/>
  <c r="AB170" i="43"/>
  <c r="W171" i="43"/>
  <c r="X171" i="43"/>
  <c r="Y171" i="43"/>
  <c r="Z171" i="43"/>
  <c r="AA171" i="43"/>
  <c r="AB171" i="43"/>
  <c r="W172" i="43"/>
  <c r="X172" i="43"/>
  <c r="Y172" i="43"/>
  <c r="Z172" i="43"/>
  <c r="AA172" i="43"/>
  <c r="AB172" i="43"/>
  <c r="W173" i="43"/>
  <c r="X173" i="43"/>
  <c r="Y173" i="43"/>
  <c r="Z173" i="43"/>
  <c r="AA173" i="43"/>
  <c r="AB173" i="43"/>
  <c r="W174" i="43"/>
  <c r="X174" i="43"/>
  <c r="Y174" i="43"/>
  <c r="Z174" i="43"/>
  <c r="AA174" i="43"/>
  <c r="AB174" i="43"/>
  <c r="W175" i="43"/>
  <c r="X175" i="43"/>
  <c r="Y175" i="43"/>
  <c r="Z175" i="43"/>
  <c r="AA175" i="43"/>
  <c r="AB175" i="43"/>
  <c r="W176" i="43"/>
  <c r="X176" i="43"/>
  <c r="Y176" i="43"/>
  <c r="Z176" i="43"/>
  <c r="AA176" i="43"/>
  <c r="AB176" i="43"/>
  <c r="W177" i="43"/>
  <c r="X177" i="43"/>
  <c r="Y177" i="43"/>
  <c r="Z177" i="43"/>
  <c r="AA177" i="43"/>
  <c r="AB177" i="43"/>
  <c r="W178" i="43"/>
  <c r="X178" i="43"/>
  <c r="Y178" i="43"/>
  <c r="Z178" i="43"/>
  <c r="AA178" i="43"/>
  <c r="AB178" i="43"/>
  <c r="W179" i="43"/>
  <c r="X179" i="43"/>
  <c r="Y179" i="43"/>
  <c r="Z179" i="43"/>
  <c r="AA179" i="43"/>
  <c r="AB179" i="43"/>
  <c r="W180" i="43"/>
  <c r="X180" i="43"/>
  <c r="Y180" i="43"/>
  <c r="Z180" i="43"/>
  <c r="AA180" i="43"/>
  <c r="AB180" i="43"/>
  <c r="W181" i="43"/>
  <c r="X181" i="43"/>
  <c r="Y181" i="43"/>
  <c r="Z181" i="43"/>
  <c r="AA181" i="43"/>
  <c r="AB181" i="43"/>
  <c r="W182" i="43"/>
  <c r="X182" i="43"/>
  <c r="Y182" i="43"/>
  <c r="Z182" i="43"/>
  <c r="AA182" i="43"/>
  <c r="AB182" i="43"/>
  <c r="W183" i="43"/>
  <c r="X183" i="43"/>
  <c r="Y183" i="43"/>
  <c r="Z183" i="43"/>
  <c r="AA183" i="43"/>
  <c r="AB183" i="43"/>
  <c r="W184" i="43"/>
  <c r="X184" i="43"/>
  <c r="Y184" i="43"/>
  <c r="Z184" i="43"/>
  <c r="AA184" i="43"/>
  <c r="AB184" i="43"/>
  <c r="W185" i="43"/>
  <c r="X185" i="43"/>
  <c r="Y185" i="43"/>
  <c r="Z185" i="43"/>
  <c r="AA185" i="43"/>
  <c r="AB185" i="43"/>
  <c r="W186" i="43"/>
  <c r="X186" i="43"/>
  <c r="Y186" i="43"/>
  <c r="Z186" i="43"/>
  <c r="AA186" i="43"/>
  <c r="AB186" i="43"/>
  <c r="W187" i="43"/>
  <c r="X187" i="43"/>
  <c r="Y187" i="43"/>
  <c r="Z187" i="43"/>
  <c r="AA187" i="43"/>
  <c r="AB187" i="43"/>
  <c r="W188" i="43"/>
  <c r="X188" i="43"/>
  <c r="Y188" i="43"/>
  <c r="Z188" i="43"/>
  <c r="AA188" i="43"/>
  <c r="AB188" i="43"/>
  <c r="W189" i="43"/>
  <c r="X189" i="43"/>
  <c r="Y189" i="43"/>
  <c r="Z189" i="43"/>
  <c r="AA189" i="43"/>
  <c r="AB189" i="43"/>
  <c r="W190" i="43"/>
  <c r="X190" i="43"/>
  <c r="Y190" i="43"/>
  <c r="Z190" i="43"/>
  <c r="AA190" i="43"/>
  <c r="AB190" i="43"/>
  <c r="W191" i="43"/>
  <c r="X191" i="43"/>
  <c r="Y191" i="43"/>
  <c r="Z191" i="43"/>
  <c r="AA191" i="43"/>
  <c r="AB191" i="43"/>
  <c r="W192" i="43"/>
  <c r="X192" i="43"/>
  <c r="Y192" i="43"/>
  <c r="Z192" i="43"/>
  <c r="AA192" i="43"/>
  <c r="AB192" i="43"/>
  <c r="W193" i="43"/>
  <c r="X193" i="43"/>
  <c r="Y193" i="43"/>
  <c r="Z193" i="43"/>
  <c r="AA193" i="43"/>
  <c r="AB193" i="43"/>
  <c r="W194" i="43"/>
  <c r="X194" i="43"/>
  <c r="Y194" i="43"/>
  <c r="Z194" i="43"/>
  <c r="AA194" i="43"/>
  <c r="AB194" i="43"/>
  <c r="W195" i="43"/>
  <c r="X195" i="43"/>
  <c r="Y195" i="43"/>
  <c r="Z195" i="43"/>
  <c r="AA195" i="43"/>
  <c r="AB195" i="43"/>
  <c r="W196" i="43"/>
  <c r="X196" i="43"/>
  <c r="Y196" i="43"/>
  <c r="Z196" i="43"/>
  <c r="AA196" i="43"/>
  <c r="AB196" i="43"/>
  <c r="W197" i="43"/>
  <c r="X197" i="43"/>
  <c r="Y197" i="43"/>
  <c r="Z197" i="43"/>
  <c r="AA197" i="43"/>
  <c r="AB197" i="43"/>
  <c r="W198" i="43"/>
  <c r="X198" i="43"/>
  <c r="Y198" i="43"/>
  <c r="Z198" i="43"/>
  <c r="AA198" i="43"/>
  <c r="AB198" i="43"/>
  <c r="W199" i="43"/>
  <c r="X199" i="43"/>
  <c r="Y199" i="43"/>
  <c r="Z199" i="43"/>
  <c r="AA199" i="43"/>
  <c r="AB199" i="43"/>
  <c r="W200" i="43"/>
  <c r="X200" i="43"/>
  <c r="Y200" i="43"/>
  <c r="Z200" i="43"/>
  <c r="AA200" i="43"/>
  <c r="AB200" i="43"/>
  <c r="W201" i="43"/>
  <c r="X201" i="43"/>
  <c r="Y201" i="43"/>
  <c r="Z201" i="43"/>
  <c r="AA201" i="43"/>
  <c r="AB201" i="43"/>
  <c r="W202" i="43"/>
  <c r="X202" i="43"/>
  <c r="Y202" i="43"/>
  <c r="Z202" i="43"/>
  <c r="AA202" i="43"/>
  <c r="AB202" i="43"/>
  <c r="W203" i="43"/>
  <c r="X203" i="43"/>
  <c r="Y203" i="43"/>
  <c r="Z203" i="43"/>
  <c r="AA203" i="43"/>
  <c r="AB203" i="43"/>
  <c r="W204" i="43"/>
  <c r="X204" i="43"/>
  <c r="Y204" i="43"/>
  <c r="Z204" i="43"/>
  <c r="AA204" i="43"/>
  <c r="AB204" i="43"/>
  <c r="W205" i="43"/>
  <c r="X205" i="43"/>
  <c r="Y205" i="43"/>
  <c r="Z205" i="43"/>
  <c r="AA205" i="43"/>
  <c r="AB205" i="43"/>
  <c r="W206" i="43"/>
  <c r="X206" i="43"/>
  <c r="Y206" i="43"/>
  <c r="Z206" i="43"/>
  <c r="AA206" i="43"/>
  <c r="AB206" i="43"/>
  <c r="W207" i="43"/>
  <c r="X207" i="43"/>
  <c r="Y207" i="43"/>
  <c r="Z207" i="43"/>
  <c r="AA207" i="43"/>
  <c r="AB207" i="43"/>
  <c r="W208" i="43"/>
  <c r="X208" i="43"/>
  <c r="Y208" i="43"/>
  <c r="Z208" i="43"/>
  <c r="AA208" i="43"/>
  <c r="AB208" i="43"/>
  <c r="W209" i="43"/>
  <c r="X209" i="43"/>
  <c r="Y209" i="43"/>
  <c r="Z209" i="43"/>
  <c r="AA209" i="43"/>
  <c r="AB209" i="43"/>
  <c r="W210" i="43"/>
  <c r="X210" i="43"/>
  <c r="Y210" i="43"/>
  <c r="Z210" i="43"/>
  <c r="AA210" i="43"/>
  <c r="AB210" i="43"/>
  <c r="W211" i="43"/>
  <c r="X211" i="43"/>
  <c r="Y211" i="43"/>
  <c r="Z211" i="43"/>
  <c r="AA211" i="43"/>
  <c r="AB211" i="43"/>
  <c r="W212" i="43"/>
  <c r="X212" i="43"/>
  <c r="Y212" i="43"/>
  <c r="Z212" i="43"/>
  <c r="AA212" i="43"/>
  <c r="AB212" i="43"/>
  <c r="W213" i="43"/>
  <c r="X213" i="43"/>
  <c r="Y213" i="43"/>
  <c r="Z213" i="43"/>
  <c r="AA213" i="43"/>
  <c r="AB213" i="43"/>
  <c r="W214" i="43"/>
  <c r="X214" i="43"/>
  <c r="Y214" i="43"/>
  <c r="Z214" i="43"/>
  <c r="AA214" i="43"/>
  <c r="AB214" i="43"/>
  <c r="W215" i="43"/>
  <c r="X215" i="43"/>
  <c r="Y215" i="43"/>
  <c r="Z215" i="43"/>
  <c r="AA215" i="43"/>
  <c r="AB215" i="43"/>
  <c r="W216" i="43"/>
  <c r="X216" i="43"/>
  <c r="Y216" i="43"/>
  <c r="Z216" i="43"/>
  <c r="AA216" i="43"/>
  <c r="AB216" i="43"/>
  <c r="W217" i="43"/>
  <c r="X217" i="43"/>
  <c r="Y217" i="43"/>
  <c r="Z217" i="43"/>
  <c r="AA217" i="43"/>
  <c r="AB217" i="43"/>
  <c r="W218" i="43"/>
  <c r="X218" i="43"/>
  <c r="Y218" i="43"/>
  <c r="Z218" i="43"/>
  <c r="AA218" i="43"/>
  <c r="AB218" i="43"/>
  <c r="W219" i="43"/>
  <c r="X219" i="43"/>
  <c r="Y219" i="43"/>
  <c r="Z219" i="43"/>
  <c r="AA219" i="43"/>
  <c r="AB219" i="43"/>
  <c r="W220" i="43"/>
  <c r="X220" i="43"/>
  <c r="Y220" i="43"/>
  <c r="Z220" i="43"/>
  <c r="AA220" i="43"/>
  <c r="AB220" i="43"/>
  <c r="W221" i="43"/>
  <c r="X221" i="43"/>
  <c r="Y221" i="43"/>
  <c r="Z221" i="43"/>
  <c r="AA221" i="43"/>
  <c r="AB221" i="43"/>
  <c r="W222" i="43"/>
  <c r="X222" i="43"/>
  <c r="Y222" i="43"/>
  <c r="Z222" i="43"/>
  <c r="AA222" i="43"/>
  <c r="AB222" i="43"/>
  <c r="W223" i="43"/>
  <c r="X223" i="43"/>
  <c r="Y223" i="43"/>
  <c r="Z223" i="43"/>
  <c r="AA223" i="43"/>
  <c r="AB223" i="43"/>
  <c r="W224" i="43"/>
  <c r="X224" i="43"/>
  <c r="Y224" i="43"/>
  <c r="Z224" i="43"/>
  <c r="AA224" i="43"/>
  <c r="AB224" i="43"/>
  <c r="W225" i="43"/>
  <c r="X225" i="43"/>
  <c r="Y225" i="43"/>
  <c r="Z225" i="43"/>
  <c r="AA225" i="43"/>
  <c r="AB225" i="43"/>
  <c r="W226" i="43"/>
  <c r="X226" i="43"/>
  <c r="Y226" i="43"/>
  <c r="Z226" i="43"/>
  <c r="AA226" i="43"/>
  <c r="AB226" i="43"/>
  <c r="W227" i="43"/>
  <c r="X227" i="43"/>
  <c r="Y227" i="43"/>
  <c r="Z227" i="43"/>
  <c r="AA227" i="43"/>
  <c r="AB227" i="43"/>
  <c r="W228" i="43"/>
  <c r="X228" i="43"/>
  <c r="Y228" i="43"/>
  <c r="Z228" i="43"/>
  <c r="AA228" i="43"/>
  <c r="AB228" i="43"/>
  <c r="W229" i="43"/>
  <c r="X229" i="43"/>
  <c r="Y229" i="43"/>
  <c r="Z229" i="43"/>
  <c r="AA229" i="43"/>
  <c r="AB229" i="43"/>
  <c r="W230" i="43"/>
  <c r="X230" i="43"/>
  <c r="Y230" i="43"/>
  <c r="Z230" i="43"/>
  <c r="AA230" i="43"/>
  <c r="AB230" i="43"/>
  <c r="W231" i="43"/>
  <c r="X231" i="43"/>
  <c r="Y231" i="43"/>
  <c r="Z231" i="43"/>
  <c r="AA231" i="43"/>
  <c r="AB231" i="43"/>
  <c r="W232" i="43"/>
  <c r="X232" i="43"/>
  <c r="Y232" i="43"/>
  <c r="Z232" i="43"/>
  <c r="AA232" i="43"/>
  <c r="AB232" i="43"/>
  <c r="W233" i="43"/>
  <c r="X233" i="43"/>
  <c r="Y233" i="43"/>
  <c r="Z233" i="43"/>
  <c r="AA233" i="43"/>
  <c r="AB233" i="43"/>
  <c r="W234" i="43"/>
  <c r="X234" i="43"/>
  <c r="Y234" i="43"/>
  <c r="Z234" i="43"/>
  <c r="AA234" i="43"/>
  <c r="AB234" i="43"/>
  <c r="W235" i="43"/>
  <c r="X235" i="43"/>
  <c r="Y235" i="43"/>
  <c r="Z235" i="43"/>
  <c r="AA235" i="43"/>
  <c r="AB235" i="43"/>
  <c r="W236" i="43"/>
  <c r="X236" i="43"/>
  <c r="Y236" i="43"/>
  <c r="Z236" i="43"/>
  <c r="AA236" i="43"/>
  <c r="AB236" i="43"/>
  <c r="W237" i="43"/>
  <c r="X237" i="43"/>
  <c r="Y237" i="43"/>
  <c r="Z237" i="43"/>
  <c r="AA237" i="43"/>
  <c r="AB237" i="43"/>
  <c r="W238" i="43"/>
  <c r="X238" i="43"/>
  <c r="Y238" i="43"/>
  <c r="Z238" i="43"/>
  <c r="AA238" i="43"/>
  <c r="AB238" i="43"/>
  <c r="W239" i="43"/>
  <c r="X239" i="43"/>
  <c r="Y239" i="43"/>
  <c r="Z239" i="43"/>
  <c r="AA239" i="43"/>
  <c r="AB239" i="43"/>
  <c r="W240" i="43"/>
  <c r="X240" i="43"/>
  <c r="Y240" i="43"/>
  <c r="Z240" i="43"/>
  <c r="AA240" i="43"/>
  <c r="AB240" i="43"/>
  <c r="W241" i="43"/>
  <c r="X241" i="43"/>
  <c r="Y241" i="43"/>
  <c r="Z241" i="43"/>
  <c r="AA241" i="43"/>
  <c r="AB241" i="43"/>
  <c r="W242" i="43"/>
  <c r="X242" i="43"/>
  <c r="Y242" i="43"/>
  <c r="Z242" i="43"/>
  <c r="AA242" i="43"/>
  <c r="AB242" i="43"/>
  <c r="W243" i="43"/>
  <c r="X243" i="43"/>
  <c r="Y243" i="43"/>
  <c r="Z243" i="43"/>
  <c r="AA243" i="43"/>
  <c r="AB243" i="43"/>
  <c r="W244" i="43"/>
  <c r="X244" i="43"/>
  <c r="Y244" i="43"/>
  <c r="Z244" i="43"/>
  <c r="AA244" i="43"/>
  <c r="AB244" i="43"/>
  <c r="W245" i="43"/>
  <c r="X245" i="43"/>
  <c r="Y245" i="43"/>
  <c r="Z245" i="43"/>
  <c r="AA245" i="43"/>
  <c r="AB245" i="43"/>
  <c r="W246" i="43"/>
  <c r="X246" i="43"/>
  <c r="Y246" i="43"/>
  <c r="Z246" i="43"/>
  <c r="AA246" i="43"/>
  <c r="AB246" i="43"/>
  <c r="W247" i="43"/>
  <c r="X247" i="43"/>
  <c r="Y247" i="43"/>
  <c r="Z247" i="43"/>
  <c r="AA247" i="43"/>
  <c r="AB247" i="43"/>
  <c r="W248" i="43"/>
  <c r="X248" i="43"/>
  <c r="Y248" i="43"/>
  <c r="Z248" i="43"/>
  <c r="AA248" i="43"/>
  <c r="AB248" i="43"/>
  <c r="W249" i="43"/>
  <c r="X249" i="43"/>
  <c r="Y249" i="43"/>
  <c r="Z249" i="43"/>
  <c r="AA249" i="43"/>
  <c r="AB249" i="43"/>
  <c r="W250" i="43"/>
  <c r="X250" i="43"/>
  <c r="Y250" i="43"/>
  <c r="Z250" i="43"/>
  <c r="AA250" i="43"/>
  <c r="AB250" i="43"/>
  <c r="W251" i="43"/>
  <c r="X251" i="43"/>
  <c r="Y251" i="43"/>
  <c r="Z251" i="43"/>
  <c r="AA251" i="43"/>
  <c r="AB251" i="43"/>
  <c r="W252" i="43"/>
  <c r="X252" i="43"/>
  <c r="Y252" i="43"/>
  <c r="Z252" i="43"/>
  <c r="AA252" i="43"/>
  <c r="AB252" i="43"/>
  <c r="W253" i="43"/>
  <c r="X253" i="43"/>
  <c r="Y253" i="43"/>
  <c r="Z253" i="43"/>
  <c r="AA253" i="43"/>
  <c r="AB253" i="43"/>
  <c r="W254" i="43"/>
  <c r="X254" i="43"/>
  <c r="Y254" i="43"/>
  <c r="Z254" i="43"/>
  <c r="AA254" i="43"/>
  <c r="AB254" i="43"/>
  <c r="W255" i="43"/>
  <c r="X255" i="43"/>
  <c r="Y255" i="43"/>
  <c r="Z255" i="43"/>
  <c r="AA255" i="43"/>
  <c r="AB255" i="43"/>
  <c r="W256" i="43"/>
  <c r="X256" i="43"/>
  <c r="Y256" i="43"/>
  <c r="Z256" i="43"/>
  <c r="AA256" i="43"/>
  <c r="AB256" i="43"/>
  <c r="W257" i="43"/>
  <c r="X257" i="43"/>
  <c r="Y257" i="43"/>
  <c r="Z257" i="43"/>
  <c r="AA257" i="43"/>
  <c r="AB257" i="43"/>
  <c r="W258" i="43"/>
  <c r="X258" i="43"/>
  <c r="Y258" i="43"/>
  <c r="Z258" i="43"/>
  <c r="AA258" i="43"/>
  <c r="AB258" i="43"/>
  <c r="W259" i="43"/>
  <c r="X259" i="43"/>
  <c r="Y259" i="43"/>
  <c r="Z259" i="43"/>
  <c r="AA259" i="43"/>
  <c r="AB259" i="43"/>
  <c r="W260" i="43"/>
  <c r="X260" i="43"/>
  <c r="Y260" i="43"/>
  <c r="Z260" i="43"/>
  <c r="AA260" i="43"/>
  <c r="AB260" i="43"/>
  <c r="W261" i="43"/>
  <c r="X261" i="43"/>
  <c r="Y261" i="43"/>
  <c r="Z261" i="43"/>
  <c r="AA261" i="43"/>
  <c r="AB261" i="43"/>
  <c r="W262" i="43"/>
  <c r="X262" i="43"/>
  <c r="Y262" i="43"/>
  <c r="Z262" i="43"/>
  <c r="AA262" i="43"/>
  <c r="AB262" i="43"/>
  <c r="W263" i="43"/>
  <c r="X263" i="43"/>
  <c r="Y263" i="43"/>
  <c r="Z263" i="43"/>
  <c r="AA263" i="43"/>
  <c r="AB263" i="43"/>
  <c r="W264" i="43"/>
  <c r="X264" i="43"/>
  <c r="Y264" i="43"/>
  <c r="Z264" i="43"/>
  <c r="AA264" i="43"/>
  <c r="AB264" i="43"/>
  <c r="W265" i="43"/>
  <c r="X265" i="43"/>
  <c r="Y265" i="43"/>
  <c r="Z265" i="43"/>
  <c r="AA265" i="43"/>
  <c r="AB265" i="43"/>
  <c r="W266" i="43"/>
  <c r="X266" i="43"/>
  <c r="Y266" i="43"/>
  <c r="Z266" i="43"/>
  <c r="AA266" i="43"/>
  <c r="AB266" i="43"/>
  <c r="W267" i="43"/>
  <c r="X267" i="43"/>
  <c r="Y267" i="43"/>
  <c r="Z267" i="43"/>
  <c r="AA267" i="43"/>
  <c r="AB267" i="43"/>
  <c r="W268" i="43"/>
  <c r="X268" i="43"/>
  <c r="Y268" i="43"/>
  <c r="Z268" i="43"/>
  <c r="AA268" i="43"/>
  <c r="AB268" i="43"/>
  <c r="W269" i="43"/>
  <c r="X269" i="43"/>
  <c r="Y269" i="43"/>
  <c r="Z269" i="43"/>
  <c r="AA269" i="43"/>
  <c r="AB269" i="43"/>
  <c r="W270" i="43"/>
  <c r="X270" i="43"/>
  <c r="Y270" i="43"/>
  <c r="Z270" i="43"/>
  <c r="AA270" i="43"/>
  <c r="AB270" i="43"/>
  <c r="W271" i="43"/>
  <c r="X271" i="43"/>
  <c r="Y271" i="43"/>
  <c r="Z271" i="43"/>
  <c r="AA271" i="43"/>
  <c r="AB271" i="43"/>
  <c r="W272" i="43"/>
  <c r="X272" i="43"/>
  <c r="Y272" i="43"/>
  <c r="Z272" i="43"/>
  <c r="AA272" i="43"/>
  <c r="AB272" i="43"/>
  <c r="W273" i="43"/>
  <c r="X273" i="43"/>
  <c r="Y273" i="43"/>
  <c r="Z273" i="43"/>
  <c r="AA273" i="43"/>
  <c r="AB273" i="43"/>
  <c r="W274" i="43"/>
  <c r="X274" i="43"/>
  <c r="Y274" i="43"/>
  <c r="Z274" i="43"/>
  <c r="AA274" i="43"/>
  <c r="AB274" i="43"/>
  <c r="W275" i="43"/>
  <c r="X275" i="43"/>
  <c r="Y275" i="43"/>
  <c r="Z275" i="43"/>
  <c r="AA275" i="43"/>
  <c r="AB275" i="43"/>
  <c r="W276" i="43"/>
  <c r="X276" i="43"/>
  <c r="Y276" i="43"/>
  <c r="Z276" i="43"/>
  <c r="AA276" i="43"/>
  <c r="AB276" i="43"/>
  <c r="W277" i="43"/>
  <c r="X277" i="43"/>
  <c r="Y277" i="43"/>
  <c r="Z277" i="43"/>
  <c r="AA277" i="43"/>
  <c r="AB277" i="43"/>
  <c r="W278" i="43"/>
  <c r="X278" i="43"/>
  <c r="Y278" i="43"/>
  <c r="Z278" i="43"/>
  <c r="AA278" i="43"/>
  <c r="AB278" i="43"/>
  <c r="W279" i="43"/>
  <c r="X279" i="43"/>
  <c r="Y279" i="43"/>
  <c r="Z279" i="43"/>
  <c r="AA279" i="43"/>
  <c r="AB279" i="43"/>
  <c r="W280" i="43"/>
  <c r="X280" i="43"/>
  <c r="Y280" i="43"/>
  <c r="Z280" i="43"/>
  <c r="AA280" i="43"/>
  <c r="AB280" i="43"/>
  <c r="W281" i="43"/>
  <c r="X281" i="43"/>
  <c r="Y281" i="43"/>
  <c r="Z281" i="43"/>
  <c r="AA281" i="43"/>
  <c r="AB281" i="43"/>
  <c r="W282" i="43"/>
  <c r="X282" i="43"/>
  <c r="Y282" i="43"/>
  <c r="Z282" i="43"/>
  <c r="AA282" i="43"/>
  <c r="AB282" i="43"/>
  <c r="W283" i="43"/>
  <c r="X283" i="43"/>
  <c r="Y283" i="43"/>
  <c r="Z283" i="43"/>
  <c r="AA283" i="43"/>
  <c r="AB283" i="43"/>
  <c r="W284" i="43"/>
  <c r="X284" i="43"/>
  <c r="Y284" i="43"/>
  <c r="Z284" i="43"/>
  <c r="AA284" i="43"/>
  <c r="AB284" i="43"/>
  <c r="W285" i="43"/>
  <c r="X285" i="43"/>
  <c r="Y285" i="43"/>
  <c r="Z285" i="43"/>
  <c r="AA285" i="43"/>
  <c r="AB285" i="43"/>
  <c r="W286" i="43"/>
  <c r="X286" i="43"/>
  <c r="Y286" i="43"/>
  <c r="Z286" i="43"/>
  <c r="AA286" i="43"/>
  <c r="AB286" i="43"/>
  <c r="W287" i="43"/>
  <c r="X287" i="43"/>
  <c r="Y287" i="43"/>
  <c r="Z287" i="43"/>
  <c r="AA287" i="43"/>
  <c r="AB287" i="43"/>
  <c r="W288" i="43"/>
  <c r="X288" i="43"/>
  <c r="Y288" i="43"/>
  <c r="Z288" i="43"/>
  <c r="AA288" i="43"/>
  <c r="AB288" i="43"/>
  <c r="W289" i="43"/>
  <c r="X289" i="43"/>
  <c r="Y289" i="43"/>
  <c r="Z289" i="43"/>
  <c r="AA289" i="43"/>
  <c r="AB289" i="43"/>
  <c r="W290" i="43"/>
  <c r="X290" i="43"/>
  <c r="Y290" i="43"/>
  <c r="Z290" i="43"/>
  <c r="AA290" i="43"/>
  <c r="AB290" i="43"/>
  <c r="W291" i="43"/>
  <c r="X291" i="43"/>
  <c r="Y291" i="43"/>
  <c r="Z291" i="43"/>
  <c r="AA291" i="43"/>
  <c r="AB291" i="43"/>
  <c r="W292" i="43"/>
  <c r="X292" i="43"/>
  <c r="Y292" i="43"/>
  <c r="Z292" i="43"/>
  <c r="AA292" i="43"/>
  <c r="AB292" i="43"/>
  <c r="W293" i="43"/>
  <c r="X293" i="43"/>
  <c r="Y293" i="43"/>
  <c r="Z293" i="43"/>
  <c r="AA293" i="43"/>
  <c r="AB293" i="43"/>
  <c r="W294" i="43"/>
  <c r="X294" i="43"/>
  <c r="Y294" i="43"/>
  <c r="Z294" i="43"/>
  <c r="AA294" i="43"/>
  <c r="AB294" i="43"/>
  <c r="W295" i="43"/>
  <c r="X295" i="43"/>
  <c r="Y295" i="43"/>
  <c r="Z295" i="43"/>
  <c r="AA295" i="43"/>
  <c r="AB295" i="43"/>
  <c r="W296" i="43"/>
  <c r="X296" i="43"/>
  <c r="Y296" i="43"/>
  <c r="Z296" i="43"/>
  <c r="AA296" i="43"/>
  <c r="AB296" i="43"/>
  <c r="W297" i="43"/>
  <c r="X297" i="43"/>
  <c r="Y297" i="43"/>
  <c r="Z297" i="43"/>
  <c r="AA297" i="43"/>
  <c r="AB297" i="43"/>
  <c r="W298" i="43"/>
  <c r="X298" i="43"/>
  <c r="Y298" i="43"/>
  <c r="Z298" i="43"/>
  <c r="AA298" i="43"/>
  <c r="AB298" i="43"/>
  <c r="W299" i="43"/>
  <c r="X299" i="43"/>
  <c r="Y299" i="43"/>
  <c r="Z299" i="43"/>
  <c r="AA299" i="43"/>
  <c r="AB299" i="43"/>
  <c r="W300" i="43"/>
  <c r="X300" i="43"/>
  <c r="Y300" i="43"/>
  <c r="Z300" i="43"/>
  <c r="AA300" i="43"/>
  <c r="AB300" i="43"/>
  <c r="W301" i="43"/>
  <c r="X301" i="43"/>
  <c r="Y301" i="43"/>
  <c r="Z301" i="43"/>
  <c r="AA301" i="43"/>
  <c r="AB301" i="43"/>
  <c r="W302" i="43"/>
  <c r="X302" i="43"/>
  <c r="Y302" i="43"/>
  <c r="Z302" i="43"/>
  <c r="AA302" i="43"/>
  <c r="AB302" i="43"/>
  <c r="W303" i="43"/>
  <c r="X303" i="43"/>
  <c r="Y303" i="43"/>
  <c r="Z303" i="43"/>
  <c r="AA303" i="43"/>
  <c r="AB303" i="43"/>
  <c r="W304" i="43"/>
  <c r="X304" i="43"/>
  <c r="Y304" i="43"/>
  <c r="Z304" i="43"/>
  <c r="AA304" i="43"/>
  <c r="AB304" i="43"/>
  <c r="W305" i="43"/>
  <c r="X305" i="43"/>
  <c r="Y305" i="43"/>
  <c r="Z305" i="43"/>
  <c r="AA305" i="43"/>
  <c r="AB305" i="43"/>
  <c r="W306" i="43"/>
  <c r="X306" i="43"/>
  <c r="Y306" i="43"/>
  <c r="Z306" i="43"/>
  <c r="AA306" i="43"/>
  <c r="AB306" i="43"/>
  <c r="W307" i="43"/>
  <c r="X307" i="43"/>
  <c r="Y307" i="43"/>
  <c r="Z307" i="43"/>
  <c r="AA307" i="43"/>
  <c r="AB307" i="43"/>
  <c r="W308" i="43"/>
  <c r="X308" i="43"/>
  <c r="Y308" i="43"/>
  <c r="Z308" i="43"/>
  <c r="AA308" i="43"/>
  <c r="AB308" i="43"/>
  <c r="W309" i="43"/>
  <c r="X309" i="43"/>
  <c r="Y309" i="43"/>
  <c r="Z309" i="43"/>
  <c r="AA309" i="43"/>
  <c r="AB309" i="43"/>
  <c r="W310" i="43"/>
  <c r="X310" i="43"/>
  <c r="Y310" i="43"/>
  <c r="Z310" i="43"/>
  <c r="AA310" i="43"/>
  <c r="AB310" i="43"/>
  <c r="W311" i="43"/>
  <c r="X311" i="43"/>
  <c r="Y311" i="43"/>
  <c r="Z311" i="43"/>
  <c r="AA311" i="43"/>
  <c r="AB311" i="43"/>
  <c r="W312" i="43"/>
  <c r="X312" i="43"/>
  <c r="Y312" i="43"/>
  <c r="Z312" i="43"/>
  <c r="AA312" i="43"/>
  <c r="AB312" i="43"/>
  <c r="W313" i="43"/>
  <c r="X313" i="43"/>
  <c r="Y313" i="43"/>
  <c r="Z313" i="43"/>
  <c r="AA313" i="43"/>
  <c r="AB313" i="43"/>
  <c r="W314" i="43"/>
  <c r="X314" i="43"/>
  <c r="Y314" i="43"/>
  <c r="Z314" i="43"/>
  <c r="AA314" i="43"/>
  <c r="AB314" i="43"/>
  <c r="W315" i="43"/>
  <c r="X315" i="43"/>
  <c r="Y315" i="43"/>
  <c r="Z315" i="43"/>
  <c r="AA315" i="43"/>
  <c r="AB315" i="43"/>
  <c r="W316" i="43"/>
  <c r="X316" i="43"/>
  <c r="Y316" i="43"/>
  <c r="Z316" i="43"/>
  <c r="AA316" i="43"/>
  <c r="AB316" i="43"/>
  <c r="W317" i="43"/>
  <c r="X317" i="43"/>
  <c r="Y317" i="43"/>
  <c r="Z317" i="43"/>
  <c r="AA317" i="43"/>
  <c r="AB317" i="43"/>
  <c r="W318" i="43"/>
  <c r="X318" i="43"/>
  <c r="Y318" i="43"/>
  <c r="Z318" i="43"/>
  <c r="AA318" i="43"/>
  <c r="AB318" i="43"/>
  <c r="W319" i="43"/>
  <c r="X319" i="43"/>
  <c r="Y319" i="43"/>
  <c r="Z319" i="43"/>
  <c r="AA319" i="43"/>
  <c r="AB319" i="43"/>
  <c r="W320" i="43"/>
  <c r="X320" i="43"/>
  <c r="Y320" i="43"/>
  <c r="Z320" i="43"/>
  <c r="AA320" i="43"/>
  <c r="AB320" i="43"/>
  <c r="W321" i="43"/>
  <c r="X321" i="43"/>
  <c r="Y321" i="43"/>
  <c r="Z321" i="43"/>
  <c r="AA321" i="43"/>
  <c r="AB321" i="43"/>
  <c r="W322" i="43"/>
  <c r="X322" i="43"/>
  <c r="Y322" i="43"/>
  <c r="Z322" i="43"/>
  <c r="AA322" i="43"/>
  <c r="AB322" i="43"/>
  <c r="W323" i="43"/>
  <c r="X323" i="43"/>
  <c r="Y323" i="43"/>
  <c r="Z323" i="43"/>
  <c r="AA323" i="43"/>
  <c r="AB323" i="43"/>
  <c r="W324" i="43"/>
  <c r="X324" i="43"/>
  <c r="Y324" i="43"/>
  <c r="Z324" i="43"/>
  <c r="AA324" i="43"/>
  <c r="AB324" i="43"/>
  <c r="W325" i="43"/>
  <c r="X325" i="43"/>
  <c r="Y325" i="43"/>
  <c r="Z325" i="43"/>
  <c r="AA325" i="43"/>
  <c r="AB325" i="43"/>
  <c r="W326" i="43"/>
  <c r="X326" i="43"/>
  <c r="Y326" i="43"/>
  <c r="Z326" i="43"/>
  <c r="AA326" i="43"/>
  <c r="AB326" i="43"/>
  <c r="W327" i="43"/>
  <c r="X327" i="43"/>
  <c r="Y327" i="43"/>
  <c r="Z327" i="43"/>
  <c r="AA327" i="43"/>
  <c r="AB327" i="43"/>
  <c r="W328" i="43"/>
  <c r="X328" i="43"/>
  <c r="Y328" i="43"/>
  <c r="Z328" i="43"/>
  <c r="AA328" i="43"/>
  <c r="AB328" i="43"/>
  <c r="W329" i="43"/>
  <c r="X329" i="43"/>
  <c r="Y329" i="43"/>
  <c r="Z329" i="43"/>
  <c r="AA329" i="43"/>
  <c r="AB329" i="43"/>
  <c r="W330" i="43"/>
  <c r="X330" i="43"/>
  <c r="Y330" i="43"/>
  <c r="Z330" i="43"/>
  <c r="AA330" i="43"/>
  <c r="AB330" i="43"/>
  <c r="W331" i="43"/>
  <c r="X331" i="43"/>
  <c r="Y331" i="43"/>
  <c r="Z331" i="43"/>
  <c r="AA331" i="43"/>
  <c r="AB331" i="43"/>
  <c r="W332" i="43"/>
  <c r="X332" i="43"/>
  <c r="Y332" i="43"/>
  <c r="Z332" i="43"/>
  <c r="AA332" i="43"/>
  <c r="AB332" i="43"/>
  <c r="W333" i="43"/>
  <c r="X333" i="43"/>
  <c r="Y333" i="43"/>
  <c r="Z333" i="43"/>
  <c r="AA333" i="43"/>
  <c r="AB333" i="43"/>
  <c r="W334" i="43"/>
  <c r="X334" i="43"/>
  <c r="Y334" i="43"/>
  <c r="Z334" i="43"/>
  <c r="AA334" i="43"/>
  <c r="AB334" i="43"/>
  <c r="W335" i="43"/>
  <c r="X335" i="43"/>
  <c r="Y335" i="43"/>
  <c r="Z335" i="43"/>
  <c r="AA335" i="43"/>
  <c r="AB335" i="43"/>
  <c r="W336" i="43"/>
  <c r="X336" i="43"/>
  <c r="Y336" i="43"/>
  <c r="Z336" i="43"/>
  <c r="AA336" i="43"/>
  <c r="AB336" i="43"/>
  <c r="W337" i="43"/>
  <c r="X337" i="43"/>
  <c r="Y337" i="43"/>
  <c r="Z337" i="43"/>
  <c r="AA337" i="43"/>
  <c r="AB337" i="43"/>
  <c r="W338" i="43"/>
  <c r="X338" i="43"/>
  <c r="Y338" i="43"/>
  <c r="Z338" i="43"/>
  <c r="AA338" i="43"/>
  <c r="AB338" i="43"/>
  <c r="W339" i="43"/>
  <c r="X339" i="43"/>
  <c r="Y339" i="43"/>
  <c r="Z339" i="43"/>
  <c r="AA339" i="43"/>
  <c r="AB339" i="43"/>
  <c r="W340" i="43"/>
  <c r="X340" i="43"/>
  <c r="Y340" i="43"/>
  <c r="Z340" i="43"/>
  <c r="AA340" i="43"/>
  <c r="AB340" i="43"/>
  <c r="W341" i="43"/>
  <c r="X341" i="43"/>
  <c r="Y341" i="43"/>
  <c r="Z341" i="43"/>
  <c r="AA341" i="43"/>
  <c r="AB341" i="43"/>
  <c r="W342" i="43"/>
  <c r="X342" i="43"/>
  <c r="Y342" i="43"/>
  <c r="Z342" i="43"/>
  <c r="AA342" i="43"/>
  <c r="AB342" i="43"/>
  <c r="W343" i="43"/>
  <c r="X343" i="43"/>
  <c r="Y343" i="43"/>
  <c r="Z343" i="43"/>
  <c r="AA343" i="43"/>
  <c r="AB343" i="43"/>
  <c r="W344" i="43"/>
  <c r="X344" i="43"/>
  <c r="Y344" i="43"/>
  <c r="Z344" i="43"/>
  <c r="AA344" i="43"/>
  <c r="AB344" i="43"/>
  <c r="W345" i="43"/>
  <c r="X345" i="43"/>
  <c r="Y345" i="43"/>
  <c r="Z345" i="43"/>
  <c r="AA345" i="43"/>
  <c r="AB345" i="43"/>
  <c r="W346" i="43"/>
  <c r="X346" i="43"/>
  <c r="Y346" i="43"/>
  <c r="Z346" i="43"/>
  <c r="AA346" i="43"/>
  <c r="AB346" i="43"/>
  <c r="W347" i="43"/>
  <c r="X347" i="43"/>
  <c r="Y347" i="43"/>
  <c r="Z347" i="43"/>
  <c r="AA347" i="43"/>
  <c r="AB347" i="43"/>
  <c r="W348" i="43"/>
  <c r="X348" i="43"/>
  <c r="Y348" i="43"/>
  <c r="Z348" i="43"/>
  <c r="AA348" i="43"/>
  <c r="AB348" i="43"/>
  <c r="W349" i="43"/>
  <c r="X349" i="43"/>
  <c r="Y349" i="43"/>
  <c r="Z349" i="43"/>
  <c r="AA349" i="43"/>
  <c r="AB349" i="43"/>
  <c r="W350" i="43"/>
  <c r="X350" i="43"/>
  <c r="Y350" i="43"/>
  <c r="Z350" i="43"/>
  <c r="AA350" i="43"/>
  <c r="AB350" i="43"/>
  <c r="W351" i="43"/>
  <c r="X351" i="43"/>
  <c r="Y351" i="43"/>
  <c r="Z351" i="43"/>
  <c r="AA351" i="43"/>
  <c r="AB351" i="43"/>
  <c r="W352" i="43"/>
  <c r="X352" i="43"/>
  <c r="Y352" i="43"/>
  <c r="Z352" i="43"/>
  <c r="AA352" i="43"/>
  <c r="AB352" i="43"/>
  <c r="W353" i="43"/>
  <c r="X353" i="43"/>
  <c r="Y353" i="43"/>
  <c r="Z353" i="43"/>
  <c r="AA353" i="43"/>
  <c r="AB353" i="43"/>
  <c r="W354" i="43"/>
  <c r="X354" i="43"/>
  <c r="Y354" i="43"/>
  <c r="Z354" i="43"/>
  <c r="AA354" i="43"/>
  <c r="AB354" i="43"/>
  <c r="W355" i="43"/>
  <c r="X355" i="43"/>
  <c r="Y355" i="43"/>
  <c r="Z355" i="43"/>
  <c r="AA355" i="43"/>
  <c r="AB355" i="43"/>
  <c r="W356" i="43"/>
  <c r="X356" i="43"/>
  <c r="Y356" i="43"/>
  <c r="Z356" i="43"/>
  <c r="AA356" i="43"/>
  <c r="AB356" i="43"/>
  <c r="W357" i="43"/>
  <c r="X357" i="43"/>
  <c r="Y357" i="43"/>
  <c r="Z357" i="43"/>
  <c r="AA357" i="43"/>
  <c r="AB357" i="43"/>
  <c r="W358" i="43"/>
  <c r="X358" i="43"/>
  <c r="Y358" i="43"/>
  <c r="Z358" i="43"/>
  <c r="AA358" i="43"/>
  <c r="AB358" i="43"/>
  <c r="W359" i="43"/>
  <c r="X359" i="43"/>
  <c r="Y359" i="43"/>
  <c r="Z359" i="43"/>
  <c r="AA359" i="43"/>
  <c r="AB359" i="43"/>
  <c r="W360" i="43"/>
  <c r="X360" i="43"/>
  <c r="Y360" i="43"/>
  <c r="Z360" i="43"/>
  <c r="AA360" i="43"/>
  <c r="AB360" i="43"/>
  <c r="W361" i="43"/>
  <c r="X361" i="43"/>
  <c r="Y361" i="43"/>
  <c r="Z361" i="43"/>
  <c r="AA361" i="43"/>
  <c r="AB361" i="43"/>
  <c r="W362" i="43"/>
  <c r="X362" i="43"/>
  <c r="Y362" i="43"/>
  <c r="Z362" i="43"/>
  <c r="AA362" i="43"/>
  <c r="AB362" i="43"/>
  <c r="W363" i="43"/>
  <c r="X363" i="43"/>
  <c r="Y363" i="43"/>
  <c r="Z363" i="43"/>
  <c r="AA363" i="43"/>
  <c r="AB363" i="43"/>
  <c r="W364" i="43"/>
  <c r="X364" i="43"/>
  <c r="Y364" i="43"/>
  <c r="Z364" i="43"/>
  <c r="AA364" i="43"/>
  <c r="AB364" i="43"/>
  <c r="W365" i="43"/>
  <c r="X365" i="43"/>
  <c r="Y365" i="43"/>
  <c r="Z365" i="43"/>
  <c r="AA365" i="43"/>
  <c r="AB365" i="43"/>
  <c r="W366" i="43"/>
  <c r="X366" i="43"/>
  <c r="Y366" i="43"/>
  <c r="Z366" i="43"/>
  <c r="AA366" i="43"/>
  <c r="AB366" i="43"/>
  <c r="W367" i="43"/>
  <c r="X367" i="43"/>
  <c r="Y367" i="43"/>
  <c r="Z367" i="43"/>
  <c r="AA367" i="43"/>
  <c r="AB367" i="43"/>
  <c r="W368" i="43"/>
  <c r="X368" i="43"/>
  <c r="Y368" i="43"/>
  <c r="Z368" i="43"/>
  <c r="AA368" i="43"/>
  <c r="AB368" i="43"/>
  <c r="W369" i="43"/>
  <c r="X369" i="43"/>
  <c r="Y369" i="43"/>
  <c r="Z369" i="43"/>
  <c r="AA369" i="43"/>
  <c r="AB369" i="43"/>
  <c r="W370" i="43"/>
  <c r="X370" i="43"/>
  <c r="Y370" i="43"/>
  <c r="Z370" i="43"/>
  <c r="AA370" i="43"/>
  <c r="AB370" i="43"/>
  <c r="W371" i="43"/>
  <c r="X371" i="43"/>
  <c r="Y371" i="43"/>
  <c r="Z371" i="43"/>
  <c r="AA371" i="43"/>
  <c r="AB371" i="43"/>
  <c r="W372" i="43"/>
  <c r="X372" i="43"/>
  <c r="Y372" i="43"/>
  <c r="Z372" i="43"/>
  <c r="AA372" i="43"/>
  <c r="AB372" i="43"/>
  <c r="W373" i="43"/>
  <c r="X373" i="43"/>
  <c r="Y373" i="43"/>
  <c r="Z373" i="43"/>
  <c r="AA373" i="43"/>
  <c r="AB373" i="43"/>
  <c r="W374" i="43"/>
  <c r="X374" i="43"/>
  <c r="Y374" i="43"/>
  <c r="Z374" i="43"/>
  <c r="AA374" i="43"/>
  <c r="AB374" i="43"/>
  <c r="W375" i="43"/>
  <c r="X375" i="43"/>
  <c r="Y375" i="43"/>
  <c r="Z375" i="43"/>
  <c r="AA375" i="43"/>
  <c r="AB375" i="43"/>
  <c r="W376" i="43"/>
  <c r="X376" i="43"/>
  <c r="Y376" i="43"/>
  <c r="Z376" i="43"/>
  <c r="AA376" i="43"/>
  <c r="AB376" i="43"/>
  <c r="W377" i="43"/>
  <c r="X377" i="43"/>
  <c r="Y377" i="43"/>
  <c r="Z377" i="43"/>
  <c r="AA377" i="43"/>
  <c r="AB377" i="43"/>
  <c r="W378" i="43"/>
  <c r="X378" i="43"/>
  <c r="Y378" i="43"/>
  <c r="Z378" i="43"/>
  <c r="AA378" i="43"/>
  <c r="AB378" i="43"/>
  <c r="W379" i="43"/>
  <c r="X379" i="43"/>
  <c r="Y379" i="43"/>
  <c r="Z379" i="43"/>
  <c r="AA379" i="43"/>
  <c r="AB379" i="43"/>
  <c r="W380" i="43"/>
  <c r="X380" i="43"/>
  <c r="Y380" i="43"/>
  <c r="Z380" i="43"/>
  <c r="AA380" i="43"/>
  <c r="AB380" i="43"/>
  <c r="W381" i="43"/>
  <c r="X381" i="43"/>
  <c r="Y381" i="43"/>
  <c r="Z381" i="43"/>
  <c r="AA381" i="43"/>
  <c r="AB381" i="43"/>
  <c r="W382" i="43"/>
  <c r="X382" i="43"/>
  <c r="Y382" i="43"/>
  <c r="Z382" i="43"/>
  <c r="AA382" i="43"/>
  <c r="AB382" i="43"/>
  <c r="W383" i="43"/>
  <c r="X383" i="43"/>
  <c r="Y383" i="43"/>
  <c r="Z383" i="43"/>
  <c r="AA383" i="43"/>
  <c r="AB383" i="43"/>
  <c r="W384" i="43"/>
  <c r="X384" i="43"/>
  <c r="Y384" i="43"/>
  <c r="Z384" i="43"/>
  <c r="AA384" i="43"/>
  <c r="AB384" i="43"/>
  <c r="W385" i="43"/>
  <c r="X385" i="43"/>
  <c r="Y385" i="43"/>
  <c r="Z385" i="43"/>
  <c r="AA385" i="43"/>
  <c r="AB385" i="43"/>
  <c r="W386" i="43"/>
  <c r="X386" i="43"/>
  <c r="Y386" i="43"/>
  <c r="Z386" i="43"/>
  <c r="AA386" i="43"/>
  <c r="AB386" i="43"/>
  <c r="W387" i="43"/>
  <c r="X387" i="43"/>
  <c r="Y387" i="43"/>
  <c r="Z387" i="43"/>
  <c r="AA387" i="43"/>
  <c r="AB387" i="43"/>
  <c r="W388" i="43"/>
  <c r="X388" i="43"/>
  <c r="Y388" i="43"/>
  <c r="Z388" i="43"/>
  <c r="AA388" i="43"/>
  <c r="AB388" i="43"/>
  <c r="W389" i="43"/>
  <c r="X389" i="43"/>
  <c r="Y389" i="43"/>
  <c r="Z389" i="43"/>
  <c r="AA389" i="43"/>
  <c r="AB389" i="43"/>
  <c r="W390" i="43"/>
  <c r="X390" i="43"/>
  <c r="Y390" i="43"/>
  <c r="Z390" i="43"/>
  <c r="AA390" i="43"/>
  <c r="AB390" i="43"/>
  <c r="W391" i="43"/>
  <c r="X391" i="43"/>
  <c r="Y391" i="43"/>
  <c r="Z391" i="43"/>
  <c r="AA391" i="43"/>
  <c r="AB391" i="43"/>
  <c r="W392" i="43"/>
  <c r="X392" i="43"/>
  <c r="Y392" i="43"/>
  <c r="Z392" i="43"/>
  <c r="AA392" i="43"/>
  <c r="AB392" i="43"/>
  <c r="W393" i="43"/>
  <c r="X393" i="43"/>
  <c r="Y393" i="43"/>
  <c r="Z393" i="43"/>
  <c r="AA393" i="43"/>
  <c r="AB393" i="43"/>
  <c r="W394" i="43"/>
  <c r="X394" i="43"/>
  <c r="Y394" i="43"/>
  <c r="Z394" i="43"/>
  <c r="AA394" i="43"/>
  <c r="AB394" i="43"/>
  <c r="W395" i="43"/>
  <c r="X395" i="43"/>
  <c r="Y395" i="43"/>
  <c r="Z395" i="43"/>
  <c r="AA395" i="43"/>
  <c r="AB395" i="43"/>
  <c r="W396" i="43"/>
  <c r="X396" i="43"/>
  <c r="Y396" i="43"/>
  <c r="Z396" i="43"/>
  <c r="AA396" i="43"/>
  <c r="AB396" i="43"/>
  <c r="W397" i="43"/>
  <c r="X397" i="43"/>
  <c r="Y397" i="43"/>
  <c r="Z397" i="43"/>
  <c r="AA397" i="43"/>
  <c r="AB397" i="43"/>
  <c r="W398" i="43"/>
  <c r="X398" i="43"/>
  <c r="Y398" i="43"/>
  <c r="Z398" i="43"/>
  <c r="AA398" i="43"/>
  <c r="AB398" i="43"/>
  <c r="W399" i="43"/>
  <c r="X399" i="43"/>
  <c r="Y399" i="43"/>
  <c r="Z399" i="43"/>
  <c r="AA399" i="43"/>
  <c r="AB399" i="43"/>
  <c r="W400" i="43"/>
  <c r="X400" i="43"/>
  <c r="Y400" i="43"/>
  <c r="Z400" i="43"/>
  <c r="AA400" i="43"/>
  <c r="AB400" i="43"/>
  <c r="W401" i="43"/>
  <c r="X401" i="43"/>
  <c r="Y401" i="43"/>
  <c r="Z401" i="43"/>
  <c r="AA401" i="43"/>
  <c r="AB401" i="43"/>
  <c r="W402" i="43"/>
  <c r="X402" i="43"/>
  <c r="Y402" i="43"/>
  <c r="Z402" i="43"/>
  <c r="AA402" i="43"/>
  <c r="AB402" i="43"/>
  <c r="W403" i="43"/>
  <c r="X403" i="43"/>
  <c r="Y403" i="43"/>
  <c r="Z403" i="43"/>
  <c r="AA403" i="43"/>
  <c r="AB403" i="43"/>
  <c r="W404" i="43"/>
  <c r="X404" i="43"/>
  <c r="Y404" i="43"/>
  <c r="Z404" i="43"/>
  <c r="AA404" i="43"/>
  <c r="AB404" i="43"/>
  <c r="W405" i="43"/>
  <c r="X405" i="43"/>
  <c r="Y405" i="43"/>
  <c r="Z405" i="43"/>
  <c r="AA405" i="43"/>
  <c r="AB405" i="43"/>
  <c r="W406" i="43"/>
  <c r="X406" i="43"/>
  <c r="Y406" i="43"/>
  <c r="Z406" i="43"/>
  <c r="AA406" i="43"/>
  <c r="AB406" i="43"/>
  <c r="W407" i="43"/>
  <c r="X407" i="43"/>
  <c r="Y407" i="43"/>
  <c r="Z407" i="43"/>
  <c r="AA407" i="43"/>
  <c r="AB407" i="43"/>
  <c r="W408" i="43"/>
  <c r="X408" i="43"/>
  <c r="Y408" i="43"/>
  <c r="Z408" i="43"/>
  <c r="AA408" i="43"/>
  <c r="AB408" i="43"/>
  <c r="W409" i="43"/>
  <c r="X409" i="43"/>
  <c r="Y409" i="43"/>
  <c r="Z409" i="43"/>
  <c r="AA409" i="43"/>
  <c r="AB409" i="43"/>
  <c r="W410" i="43"/>
  <c r="X410" i="43"/>
  <c r="Y410" i="43"/>
  <c r="Z410" i="43"/>
  <c r="AA410" i="43"/>
  <c r="AB410" i="43"/>
  <c r="W411" i="43"/>
  <c r="X411" i="43"/>
  <c r="Y411" i="43"/>
  <c r="Z411" i="43"/>
  <c r="AA411" i="43"/>
  <c r="AB411" i="43"/>
  <c r="W412" i="43"/>
  <c r="X412" i="43"/>
  <c r="Y412" i="43"/>
  <c r="Z412" i="43"/>
  <c r="AA412" i="43"/>
  <c r="AB412" i="43"/>
  <c r="W413" i="43"/>
  <c r="X413" i="43"/>
  <c r="Y413" i="43"/>
  <c r="Z413" i="43"/>
  <c r="AA413" i="43"/>
  <c r="AB413" i="43"/>
  <c r="W414" i="43"/>
  <c r="X414" i="43"/>
  <c r="Y414" i="43"/>
  <c r="Z414" i="43"/>
  <c r="AA414" i="43"/>
  <c r="AB414" i="43"/>
  <c r="W415" i="43"/>
  <c r="X415" i="43"/>
  <c r="Y415" i="43"/>
  <c r="Z415" i="43"/>
  <c r="AA415" i="43"/>
  <c r="AB415" i="43"/>
  <c r="W416" i="43"/>
  <c r="X416" i="43"/>
  <c r="Y416" i="43"/>
  <c r="Z416" i="43"/>
  <c r="AA416" i="43"/>
  <c r="AB416" i="43"/>
  <c r="W417" i="43"/>
  <c r="X417" i="43"/>
  <c r="Y417" i="43"/>
  <c r="Z417" i="43"/>
  <c r="AA417" i="43"/>
  <c r="AB417" i="43"/>
  <c r="W418" i="43"/>
  <c r="X418" i="43"/>
  <c r="Y418" i="43"/>
  <c r="Z418" i="43"/>
  <c r="AA418" i="43"/>
  <c r="AB418" i="43"/>
  <c r="W419" i="43"/>
  <c r="X419" i="43"/>
  <c r="Y419" i="43"/>
  <c r="Z419" i="43"/>
  <c r="AA419" i="43"/>
  <c r="AB419" i="43"/>
  <c r="W420" i="43"/>
  <c r="X420" i="43"/>
  <c r="Y420" i="43"/>
  <c r="Z420" i="43"/>
  <c r="AA420" i="43"/>
  <c r="AB420" i="43"/>
  <c r="W421" i="43"/>
  <c r="X421" i="43"/>
  <c r="Y421" i="43"/>
  <c r="Z421" i="43"/>
  <c r="AA421" i="43"/>
  <c r="AB421" i="43"/>
  <c r="W422" i="43"/>
  <c r="X422" i="43"/>
  <c r="Y422" i="43"/>
  <c r="Z422" i="43"/>
  <c r="AA422" i="43"/>
  <c r="AB422" i="43"/>
  <c r="W423" i="43"/>
  <c r="X423" i="43"/>
  <c r="Y423" i="43"/>
  <c r="Z423" i="43"/>
  <c r="AA423" i="43"/>
  <c r="AB423" i="43"/>
  <c r="W424" i="43"/>
  <c r="X424" i="43"/>
  <c r="Y424" i="43"/>
  <c r="Z424" i="43"/>
  <c r="AA424" i="43"/>
  <c r="AB424" i="43"/>
  <c r="W425" i="43"/>
  <c r="X425" i="43"/>
  <c r="Y425" i="43"/>
  <c r="Z425" i="43"/>
  <c r="AA425" i="43"/>
  <c r="AB425" i="43"/>
  <c r="W426" i="43"/>
  <c r="X426" i="43"/>
  <c r="Y426" i="43"/>
  <c r="Z426" i="43"/>
  <c r="AA426" i="43"/>
  <c r="AB426" i="43"/>
  <c r="W427" i="43"/>
  <c r="X427" i="43"/>
  <c r="Y427" i="43"/>
  <c r="Z427" i="43"/>
  <c r="AA427" i="43"/>
  <c r="AB427" i="43"/>
  <c r="W428" i="43"/>
  <c r="X428" i="43"/>
  <c r="Y428" i="43"/>
  <c r="Z428" i="43"/>
  <c r="AA428" i="43"/>
  <c r="AB428" i="43"/>
  <c r="W429" i="43"/>
  <c r="X429" i="43"/>
  <c r="Y429" i="43"/>
  <c r="Z429" i="43"/>
  <c r="AA429" i="43"/>
  <c r="AB429" i="43"/>
  <c r="W430" i="43"/>
  <c r="X430" i="43"/>
  <c r="Y430" i="43"/>
  <c r="Z430" i="43"/>
  <c r="AA430" i="43"/>
  <c r="AB430" i="43"/>
  <c r="W431" i="43"/>
  <c r="X431" i="43"/>
  <c r="Y431" i="43"/>
  <c r="Z431" i="43"/>
  <c r="AA431" i="43"/>
  <c r="AB431" i="43"/>
  <c r="W432" i="43"/>
  <c r="X432" i="43"/>
  <c r="Y432" i="43"/>
  <c r="Z432" i="43"/>
  <c r="AA432" i="43"/>
  <c r="AB432" i="43"/>
  <c r="W433" i="43"/>
  <c r="X433" i="43"/>
  <c r="Y433" i="43"/>
  <c r="Z433" i="43"/>
  <c r="AA433" i="43"/>
  <c r="AB433" i="43"/>
  <c r="W434" i="43"/>
  <c r="X434" i="43"/>
  <c r="Y434" i="43"/>
  <c r="Z434" i="43"/>
  <c r="AA434" i="43"/>
  <c r="AB434" i="43"/>
  <c r="W435" i="43"/>
  <c r="X435" i="43"/>
  <c r="Y435" i="43"/>
  <c r="Z435" i="43"/>
  <c r="AA435" i="43"/>
  <c r="AB435" i="43"/>
  <c r="W436" i="43"/>
  <c r="X436" i="43"/>
  <c r="Y436" i="43"/>
  <c r="Z436" i="43"/>
  <c r="AA436" i="43"/>
  <c r="AB436" i="43"/>
  <c r="W437" i="43"/>
  <c r="X437" i="43"/>
  <c r="Y437" i="43"/>
  <c r="Z437" i="43"/>
  <c r="AA437" i="43"/>
  <c r="AB437" i="43"/>
  <c r="W438" i="43"/>
  <c r="X438" i="43"/>
  <c r="Y438" i="43"/>
  <c r="Z438" i="43"/>
  <c r="AA438" i="43"/>
  <c r="AB438" i="43"/>
  <c r="W439" i="43"/>
  <c r="X439" i="43"/>
  <c r="Y439" i="43"/>
  <c r="Z439" i="43"/>
  <c r="AA439" i="43"/>
  <c r="AB439" i="43"/>
  <c r="W440" i="43"/>
  <c r="X440" i="43"/>
  <c r="Y440" i="43"/>
  <c r="Z440" i="43"/>
  <c r="AA440" i="43"/>
  <c r="AB440" i="43"/>
  <c r="W441" i="43"/>
  <c r="X441" i="43"/>
  <c r="Y441" i="43"/>
  <c r="Z441" i="43"/>
  <c r="AA441" i="43"/>
  <c r="AB441" i="43"/>
  <c r="W442" i="43"/>
  <c r="X442" i="43"/>
  <c r="Y442" i="43"/>
  <c r="Z442" i="43"/>
  <c r="AA442" i="43"/>
  <c r="AB442" i="43"/>
  <c r="W443" i="43"/>
  <c r="X443" i="43"/>
  <c r="Y443" i="43"/>
  <c r="Z443" i="43"/>
  <c r="AA443" i="43"/>
  <c r="AB443" i="43"/>
  <c r="W444" i="43"/>
  <c r="X444" i="43"/>
  <c r="Y444" i="43"/>
  <c r="Z444" i="43"/>
  <c r="AA444" i="43"/>
  <c r="AB444" i="43"/>
  <c r="W445" i="43"/>
  <c r="X445" i="43"/>
  <c r="Y445" i="43"/>
  <c r="Z445" i="43"/>
  <c r="AA445" i="43"/>
  <c r="AB445" i="43"/>
  <c r="W446" i="43"/>
  <c r="X446" i="43"/>
  <c r="Y446" i="43"/>
  <c r="Z446" i="43"/>
  <c r="AA446" i="43"/>
  <c r="AB446" i="43"/>
  <c r="W447" i="43"/>
  <c r="X447" i="43"/>
  <c r="Y447" i="43"/>
  <c r="Z447" i="43"/>
  <c r="AA447" i="43"/>
  <c r="AB447" i="43"/>
  <c r="W448" i="43"/>
  <c r="X448" i="43"/>
  <c r="Y448" i="43"/>
  <c r="Z448" i="43"/>
  <c r="AA448" i="43"/>
  <c r="AB448" i="43"/>
  <c r="W449" i="43"/>
  <c r="X449" i="43"/>
  <c r="Y449" i="43"/>
  <c r="Z449" i="43"/>
  <c r="AA449" i="43"/>
  <c r="AB449" i="43"/>
  <c r="W450" i="43"/>
  <c r="X450" i="43"/>
  <c r="Y450" i="43"/>
  <c r="Z450" i="43"/>
  <c r="AA450" i="43"/>
  <c r="AB450" i="43"/>
  <c r="W451" i="43"/>
  <c r="X451" i="43"/>
  <c r="Y451" i="43"/>
  <c r="Z451" i="43"/>
  <c r="AA451" i="43"/>
  <c r="AB451" i="43"/>
  <c r="W452" i="43"/>
  <c r="X452" i="43"/>
  <c r="Y452" i="43"/>
  <c r="Z452" i="43"/>
  <c r="AA452" i="43"/>
  <c r="AB452" i="43"/>
  <c r="W453" i="43"/>
  <c r="X453" i="43"/>
  <c r="Y453" i="43"/>
  <c r="Z453" i="43"/>
  <c r="AA453" i="43"/>
  <c r="AB453" i="43"/>
  <c r="W454" i="43"/>
  <c r="X454" i="43"/>
  <c r="Y454" i="43"/>
  <c r="Z454" i="43"/>
  <c r="AA454" i="43"/>
  <c r="AB454" i="43"/>
  <c r="W455" i="43"/>
  <c r="X455" i="43"/>
  <c r="Y455" i="43"/>
  <c r="Z455" i="43"/>
  <c r="AA455" i="43"/>
  <c r="AB455" i="43"/>
  <c r="W456" i="43"/>
  <c r="X456" i="43"/>
  <c r="Y456" i="43"/>
  <c r="Z456" i="43"/>
  <c r="AA456" i="43"/>
  <c r="AB456" i="43"/>
  <c r="W457" i="43"/>
  <c r="X457" i="43"/>
  <c r="Y457" i="43"/>
  <c r="Z457" i="43"/>
  <c r="AA457" i="43"/>
  <c r="AB457" i="43"/>
  <c r="W458" i="43"/>
  <c r="X458" i="43"/>
  <c r="Y458" i="43"/>
  <c r="Z458" i="43"/>
  <c r="AA458" i="43"/>
  <c r="AB458" i="43"/>
  <c r="W459" i="43"/>
  <c r="X459" i="43"/>
  <c r="Y459" i="43"/>
  <c r="Z459" i="43"/>
  <c r="AA459" i="43"/>
  <c r="AB459" i="43"/>
  <c r="W460" i="43"/>
  <c r="X460" i="43"/>
  <c r="Y460" i="43"/>
  <c r="Z460" i="43"/>
  <c r="AA460" i="43"/>
  <c r="AB460" i="43"/>
  <c r="W461" i="43"/>
  <c r="X461" i="43"/>
  <c r="Y461" i="43"/>
  <c r="Z461" i="43"/>
  <c r="AA461" i="43"/>
  <c r="AB461" i="43"/>
  <c r="W462" i="43"/>
  <c r="X462" i="43"/>
  <c r="Y462" i="43"/>
  <c r="Z462" i="43"/>
  <c r="AA462" i="43"/>
  <c r="AB462" i="43"/>
  <c r="W463" i="43"/>
  <c r="X463" i="43"/>
  <c r="Y463" i="43"/>
  <c r="Z463" i="43"/>
  <c r="AA463" i="43"/>
  <c r="AB463" i="43"/>
  <c r="W464" i="43"/>
  <c r="X464" i="43"/>
  <c r="Y464" i="43"/>
  <c r="Z464" i="43"/>
  <c r="AA464" i="43"/>
  <c r="AB464" i="43"/>
  <c r="W465" i="43"/>
  <c r="X465" i="43"/>
  <c r="Y465" i="43"/>
  <c r="Z465" i="43"/>
  <c r="AA465" i="43"/>
  <c r="AB465" i="43"/>
  <c r="W466" i="43"/>
  <c r="X466" i="43"/>
  <c r="Y466" i="43"/>
  <c r="Z466" i="43"/>
  <c r="AA466" i="43"/>
  <c r="AB466" i="43"/>
  <c r="W467" i="43"/>
  <c r="X467" i="43"/>
  <c r="Y467" i="43"/>
  <c r="Z467" i="43"/>
  <c r="AA467" i="43"/>
  <c r="AB467" i="43"/>
  <c r="W468" i="43"/>
  <c r="X468" i="43"/>
  <c r="Y468" i="43"/>
  <c r="Z468" i="43"/>
  <c r="AA468" i="43"/>
  <c r="AB468" i="43"/>
  <c r="W469" i="43"/>
  <c r="X469" i="43"/>
  <c r="Y469" i="43"/>
  <c r="Z469" i="43"/>
  <c r="AA469" i="43"/>
  <c r="AB469" i="43"/>
  <c r="W470" i="43"/>
  <c r="X470" i="43"/>
  <c r="Y470" i="43"/>
  <c r="Z470" i="43"/>
  <c r="AA470" i="43"/>
  <c r="AB470" i="43"/>
  <c r="W471" i="43"/>
  <c r="X471" i="43"/>
  <c r="Y471" i="43"/>
  <c r="Z471" i="43"/>
  <c r="AA471" i="43"/>
  <c r="AB471" i="43"/>
  <c r="W472" i="43"/>
  <c r="X472" i="43"/>
  <c r="Y472" i="43"/>
  <c r="Z472" i="43"/>
  <c r="AA472" i="43"/>
  <c r="AB472" i="43"/>
  <c r="W473" i="43"/>
  <c r="X473" i="43"/>
  <c r="Y473" i="43"/>
  <c r="Z473" i="43"/>
  <c r="AA473" i="43"/>
  <c r="AB473" i="43"/>
  <c r="W474" i="43"/>
  <c r="X474" i="43"/>
  <c r="Y474" i="43"/>
  <c r="Z474" i="43"/>
  <c r="AA474" i="43"/>
  <c r="AB474" i="43"/>
  <c r="W475" i="43"/>
  <c r="X475" i="43"/>
  <c r="Y475" i="43"/>
  <c r="Z475" i="43"/>
  <c r="AA475" i="43"/>
  <c r="AB475" i="43"/>
  <c r="W476" i="43"/>
  <c r="X476" i="43"/>
  <c r="Y476" i="43"/>
  <c r="Z476" i="43"/>
  <c r="AA476" i="43"/>
  <c r="AB476" i="43"/>
  <c r="W477" i="43"/>
  <c r="X477" i="43"/>
  <c r="Y477" i="43"/>
  <c r="Z477" i="43"/>
  <c r="AA477" i="43"/>
  <c r="AB477" i="43"/>
  <c r="W478" i="43"/>
  <c r="X478" i="43"/>
  <c r="Y478" i="43"/>
  <c r="Z478" i="43"/>
  <c r="AA478" i="43"/>
  <c r="AB478" i="43"/>
  <c r="W479" i="43"/>
  <c r="X479" i="43"/>
  <c r="Y479" i="43"/>
  <c r="Z479" i="43"/>
  <c r="AA479" i="43"/>
  <c r="AB479" i="43"/>
  <c r="W480" i="43"/>
  <c r="X480" i="43"/>
  <c r="Y480" i="43"/>
  <c r="Z480" i="43"/>
  <c r="AA480" i="43"/>
  <c r="AB480" i="43"/>
  <c r="W481" i="43"/>
  <c r="X481" i="43"/>
  <c r="Y481" i="43"/>
  <c r="Z481" i="43"/>
  <c r="AA481" i="43"/>
  <c r="AB481" i="43"/>
  <c r="W482" i="43"/>
  <c r="X482" i="43"/>
  <c r="Y482" i="43"/>
  <c r="Z482" i="43"/>
  <c r="AA482" i="43"/>
  <c r="AB482" i="43"/>
  <c r="W483" i="43"/>
  <c r="X483" i="43"/>
  <c r="Y483" i="43"/>
  <c r="Z483" i="43"/>
  <c r="AA483" i="43"/>
  <c r="AB483" i="43"/>
  <c r="W484" i="43"/>
  <c r="X484" i="43"/>
  <c r="Y484" i="43"/>
  <c r="Z484" i="43"/>
  <c r="AA484" i="43"/>
  <c r="AB484" i="43"/>
  <c r="W485" i="43"/>
  <c r="X485" i="43"/>
  <c r="Y485" i="43"/>
  <c r="Z485" i="43"/>
  <c r="AA485" i="43"/>
  <c r="AB485" i="43"/>
  <c r="W486" i="43"/>
  <c r="X486" i="43"/>
  <c r="Y486" i="43"/>
  <c r="Z486" i="43"/>
  <c r="AA486" i="43"/>
  <c r="AB486" i="43"/>
  <c r="W487" i="43"/>
  <c r="X487" i="43"/>
  <c r="Y487" i="43"/>
  <c r="Z487" i="43"/>
  <c r="AA487" i="43"/>
  <c r="AB487" i="43"/>
  <c r="W488" i="43"/>
  <c r="X488" i="43"/>
  <c r="Y488" i="43"/>
  <c r="Z488" i="43"/>
  <c r="AA488" i="43"/>
  <c r="AB488" i="43"/>
  <c r="W489" i="43"/>
  <c r="X489" i="43"/>
  <c r="Y489" i="43"/>
  <c r="Z489" i="43"/>
  <c r="AA489" i="43"/>
  <c r="AB489" i="43"/>
  <c r="W490" i="43"/>
  <c r="X490" i="43"/>
  <c r="Y490" i="43"/>
  <c r="Z490" i="43"/>
  <c r="AA490" i="43"/>
  <c r="AB490" i="43"/>
  <c r="W491" i="43"/>
  <c r="X491" i="43"/>
  <c r="Y491" i="43"/>
  <c r="Z491" i="43"/>
  <c r="AA491" i="43"/>
  <c r="AB491" i="43"/>
  <c r="W492" i="43"/>
  <c r="X492" i="43"/>
  <c r="Y492" i="43"/>
  <c r="Z492" i="43"/>
  <c r="AA492" i="43"/>
  <c r="AB492" i="43"/>
  <c r="W493" i="43"/>
  <c r="X493" i="43"/>
  <c r="Y493" i="43"/>
  <c r="Z493" i="43"/>
  <c r="AA493" i="43"/>
  <c r="AB493" i="43"/>
  <c r="W494" i="43"/>
  <c r="X494" i="43"/>
  <c r="Y494" i="43"/>
  <c r="Z494" i="43"/>
  <c r="AA494" i="43"/>
  <c r="AB494" i="43"/>
  <c r="W495" i="43"/>
  <c r="X495" i="43"/>
  <c r="Y495" i="43"/>
  <c r="Z495" i="43"/>
  <c r="AA495" i="43"/>
  <c r="AB495" i="43"/>
  <c r="W496" i="43"/>
  <c r="X496" i="43"/>
  <c r="Y496" i="43"/>
  <c r="Z496" i="43"/>
  <c r="AA496" i="43"/>
  <c r="AB496" i="43"/>
  <c r="W497" i="43"/>
  <c r="X497" i="43"/>
  <c r="Y497" i="43"/>
  <c r="Z497" i="43"/>
  <c r="AA497" i="43"/>
  <c r="AB497" i="43"/>
  <c r="W498" i="43"/>
  <c r="X498" i="43"/>
  <c r="Y498" i="43"/>
  <c r="Z498" i="43"/>
  <c r="AA498" i="43"/>
  <c r="AB498" i="43"/>
  <c r="W499" i="43"/>
  <c r="X499" i="43"/>
  <c r="Y499" i="43"/>
  <c r="Z499" i="43"/>
  <c r="AA499" i="43"/>
  <c r="AB499" i="43"/>
  <c r="W500" i="43"/>
  <c r="X500" i="43"/>
  <c r="Y500" i="43"/>
  <c r="Z500" i="43"/>
  <c r="AA500" i="43"/>
  <c r="AB500" i="43"/>
  <c r="W501" i="43"/>
  <c r="X501" i="43"/>
  <c r="Y501" i="43"/>
  <c r="Z501" i="43"/>
  <c r="AA501" i="43"/>
  <c r="AB501" i="43"/>
  <c r="W502" i="43"/>
  <c r="X502" i="43"/>
  <c r="Y502" i="43"/>
  <c r="Z502" i="43"/>
  <c r="AA502" i="43"/>
  <c r="AB502" i="43"/>
  <c r="W503" i="43"/>
  <c r="X503" i="43"/>
  <c r="Y503" i="43"/>
  <c r="Z503" i="43"/>
  <c r="AA503" i="43"/>
  <c r="AB503" i="43"/>
  <c r="W504" i="43"/>
  <c r="X504" i="43"/>
  <c r="Y504" i="43"/>
  <c r="Z504" i="43"/>
  <c r="AA504" i="43"/>
  <c r="AB504" i="43"/>
  <c r="W505" i="43"/>
  <c r="X505" i="43"/>
  <c r="Y505" i="43"/>
  <c r="Z505" i="43"/>
  <c r="AA505" i="43"/>
  <c r="AB505" i="43"/>
  <c r="W506" i="43"/>
  <c r="X506" i="43"/>
  <c r="Y506" i="43"/>
  <c r="Z506" i="43"/>
  <c r="AA506" i="43"/>
  <c r="AB506" i="43"/>
  <c r="W507" i="43"/>
  <c r="X507" i="43"/>
  <c r="Y507" i="43"/>
  <c r="Z507" i="43"/>
  <c r="AA507" i="43"/>
  <c r="AB507" i="43"/>
  <c r="W508" i="43"/>
  <c r="X508" i="43"/>
  <c r="Y508" i="43"/>
  <c r="Z508" i="43"/>
  <c r="AA508" i="43"/>
  <c r="AB508" i="43"/>
  <c r="W509" i="43"/>
  <c r="X509" i="43"/>
  <c r="Y509" i="43"/>
  <c r="Z509" i="43"/>
  <c r="AA509" i="43"/>
  <c r="AB509" i="43"/>
  <c r="W510" i="43"/>
  <c r="X510" i="43"/>
  <c r="Y510" i="43"/>
  <c r="Z510" i="43"/>
  <c r="AA510" i="43"/>
  <c r="AB510" i="43"/>
  <c r="W511" i="43"/>
  <c r="X511" i="43"/>
  <c r="Y511" i="43"/>
  <c r="Z511" i="43"/>
  <c r="AA511" i="43"/>
  <c r="AB511" i="43"/>
  <c r="W512" i="43"/>
  <c r="X512" i="43"/>
  <c r="Y512" i="43"/>
  <c r="Z512" i="43"/>
  <c r="AA512" i="43"/>
  <c r="AB512" i="43"/>
  <c r="W513" i="43"/>
  <c r="X513" i="43"/>
  <c r="Y513" i="43"/>
  <c r="Z513" i="43"/>
  <c r="AA513" i="43"/>
  <c r="AB513" i="43"/>
  <c r="W514" i="43"/>
  <c r="X514" i="43"/>
  <c r="Y514" i="43"/>
  <c r="Z514" i="43"/>
  <c r="AA514" i="43"/>
  <c r="AB514" i="43"/>
  <c r="W515" i="43"/>
  <c r="X515" i="43"/>
  <c r="Y515" i="43"/>
  <c r="Z515" i="43"/>
  <c r="AA515" i="43"/>
  <c r="AB515" i="43"/>
  <c r="W516" i="43"/>
  <c r="X516" i="43"/>
  <c r="Y516" i="43"/>
  <c r="Z516" i="43"/>
  <c r="AA516" i="43"/>
  <c r="AB516" i="43"/>
  <c r="W517" i="43"/>
  <c r="X517" i="43"/>
  <c r="Y517" i="43"/>
  <c r="Z517" i="43"/>
  <c r="AA517" i="43"/>
  <c r="AB517" i="43"/>
  <c r="W518" i="43"/>
  <c r="X518" i="43"/>
  <c r="Y518" i="43"/>
  <c r="Z518" i="43"/>
  <c r="AA518" i="43"/>
  <c r="AB518" i="43"/>
  <c r="W519" i="43"/>
  <c r="X519" i="43"/>
  <c r="Y519" i="43"/>
  <c r="Z519" i="43"/>
  <c r="AA519" i="43"/>
  <c r="AB519" i="43"/>
  <c r="W520" i="43"/>
  <c r="X520" i="43"/>
  <c r="Y520" i="43"/>
  <c r="Z520" i="43"/>
  <c r="AA520" i="43"/>
  <c r="AB520" i="43"/>
  <c r="W521" i="43"/>
  <c r="X521" i="43"/>
  <c r="Y521" i="43"/>
  <c r="Z521" i="43"/>
  <c r="AA521" i="43"/>
  <c r="AB521" i="43"/>
  <c r="W522" i="43"/>
  <c r="X522" i="43"/>
  <c r="Y522" i="43"/>
  <c r="Z522" i="43"/>
  <c r="AA522" i="43"/>
  <c r="AB522" i="43"/>
  <c r="W523" i="43"/>
  <c r="X523" i="43"/>
  <c r="Y523" i="43"/>
  <c r="Z523" i="43"/>
  <c r="AA523" i="43"/>
  <c r="AB523" i="43"/>
  <c r="W524" i="43"/>
  <c r="X524" i="43"/>
  <c r="Y524" i="43"/>
  <c r="Z524" i="43"/>
  <c r="AA524" i="43"/>
  <c r="AB524" i="43"/>
  <c r="W525" i="43"/>
  <c r="X525" i="43"/>
  <c r="Y525" i="43"/>
  <c r="Z525" i="43"/>
  <c r="AA525" i="43"/>
  <c r="AB525" i="43"/>
  <c r="W526" i="43"/>
  <c r="X526" i="43"/>
  <c r="Y526" i="43"/>
  <c r="Z526" i="43"/>
  <c r="AA526" i="43"/>
  <c r="AB526" i="43"/>
  <c r="W527" i="43"/>
  <c r="X527" i="43"/>
  <c r="Y527" i="43"/>
  <c r="Z527" i="43"/>
  <c r="AA527" i="43"/>
  <c r="AB527" i="43"/>
  <c r="W528" i="43"/>
  <c r="X528" i="43"/>
  <c r="Y528" i="43"/>
  <c r="Z528" i="43"/>
  <c r="AA528" i="43"/>
  <c r="AB528" i="43"/>
  <c r="W529" i="43"/>
  <c r="X529" i="43"/>
  <c r="Y529" i="43"/>
  <c r="Z529" i="43"/>
  <c r="AA529" i="43"/>
  <c r="AB529" i="43"/>
  <c r="W530" i="43"/>
  <c r="X530" i="43"/>
  <c r="Y530" i="43"/>
  <c r="Z530" i="43"/>
  <c r="AA530" i="43"/>
  <c r="AB530" i="43"/>
  <c r="W531" i="43"/>
  <c r="X531" i="43"/>
  <c r="Y531" i="43"/>
  <c r="Z531" i="43"/>
  <c r="AA531" i="43"/>
  <c r="AB531" i="43"/>
  <c r="W532" i="43"/>
  <c r="X532" i="43"/>
  <c r="Y532" i="43"/>
  <c r="Z532" i="43"/>
  <c r="AA532" i="43"/>
  <c r="AB532" i="43"/>
  <c r="W533" i="43"/>
  <c r="X533" i="43"/>
  <c r="Y533" i="43"/>
  <c r="Z533" i="43"/>
  <c r="AA533" i="43"/>
  <c r="AB533" i="43"/>
  <c r="W534" i="43"/>
  <c r="X534" i="43"/>
  <c r="Y534" i="43"/>
  <c r="Z534" i="43"/>
  <c r="AA534" i="43"/>
  <c r="AB534" i="43"/>
  <c r="W535" i="43"/>
  <c r="X535" i="43"/>
  <c r="Y535" i="43"/>
  <c r="Z535" i="43"/>
  <c r="AA535" i="43"/>
  <c r="AB535" i="43"/>
  <c r="W536" i="43"/>
  <c r="X536" i="43"/>
  <c r="Y536" i="43"/>
  <c r="Z536" i="43"/>
  <c r="AA536" i="43"/>
  <c r="AB536" i="43"/>
  <c r="W537" i="43"/>
  <c r="X537" i="43"/>
  <c r="Y537" i="43"/>
  <c r="Z537" i="43"/>
  <c r="AA537" i="43"/>
  <c r="AB537" i="43"/>
  <c r="W538" i="43"/>
  <c r="X538" i="43"/>
  <c r="Y538" i="43"/>
  <c r="Z538" i="43"/>
  <c r="AA538" i="43"/>
  <c r="AB538" i="43"/>
  <c r="W539" i="43"/>
  <c r="X539" i="43"/>
  <c r="Y539" i="43"/>
  <c r="Z539" i="43"/>
  <c r="AA539" i="43"/>
  <c r="AB539" i="43"/>
  <c r="W540" i="43"/>
  <c r="X540" i="43"/>
  <c r="Y540" i="43"/>
  <c r="Z540" i="43"/>
  <c r="AA540" i="43"/>
  <c r="AB540" i="43"/>
  <c r="W541" i="43"/>
  <c r="X541" i="43"/>
  <c r="Y541" i="43"/>
  <c r="Z541" i="43"/>
  <c r="AA541" i="43"/>
  <c r="AB541" i="43"/>
  <c r="W542" i="43"/>
  <c r="X542" i="43"/>
  <c r="Y542" i="43"/>
  <c r="Z542" i="43"/>
  <c r="AA542" i="43"/>
  <c r="AB542" i="43"/>
  <c r="W543" i="43"/>
  <c r="X543" i="43"/>
  <c r="Y543" i="43"/>
  <c r="Z543" i="43"/>
  <c r="AA543" i="43"/>
  <c r="AB543" i="43"/>
  <c r="W544" i="43"/>
  <c r="X544" i="43"/>
  <c r="Y544" i="43"/>
  <c r="Z544" i="43"/>
  <c r="AA544" i="43"/>
  <c r="AB544" i="43"/>
  <c r="W545" i="43"/>
  <c r="X545" i="43"/>
  <c r="Y545" i="43"/>
  <c r="Z545" i="43"/>
  <c r="AA545" i="43"/>
  <c r="AB545" i="43"/>
  <c r="W546" i="43"/>
  <c r="X546" i="43"/>
  <c r="Y546" i="43"/>
  <c r="Z546" i="43"/>
  <c r="AA546" i="43"/>
  <c r="AB546" i="43"/>
  <c r="W547" i="43"/>
  <c r="X547" i="43"/>
  <c r="Y547" i="43"/>
  <c r="Z547" i="43"/>
  <c r="AA547" i="43"/>
  <c r="AB547" i="43"/>
  <c r="W548" i="43"/>
  <c r="X548" i="43"/>
  <c r="Y548" i="43"/>
  <c r="Z548" i="43"/>
  <c r="AA548" i="43"/>
  <c r="AB548" i="43"/>
  <c r="W549" i="43"/>
  <c r="X549" i="43"/>
  <c r="Y549" i="43"/>
  <c r="Z549" i="43"/>
  <c r="AA549" i="43"/>
  <c r="AB549" i="43"/>
  <c r="W550" i="43"/>
  <c r="X550" i="43"/>
  <c r="Y550" i="43"/>
  <c r="Z550" i="43"/>
  <c r="AA550" i="43"/>
  <c r="AB550" i="43"/>
  <c r="W551" i="43"/>
  <c r="X551" i="43"/>
  <c r="Y551" i="43"/>
  <c r="Z551" i="43"/>
  <c r="AA551" i="43"/>
  <c r="AB551" i="43"/>
  <c r="W552" i="43"/>
  <c r="X552" i="43"/>
  <c r="Y552" i="43"/>
  <c r="Z552" i="43"/>
  <c r="AA552" i="43"/>
  <c r="AB552" i="43"/>
  <c r="W553" i="43"/>
  <c r="X553" i="43"/>
  <c r="Y553" i="43"/>
  <c r="Z553" i="43"/>
  <c r="AA553" i="43"/>
  <c r="AB553" i="43"/>
  <c r="W554" i="43"/>
  <c r="X554" i="43"/>
  <c r="Y554" i="43"/>
  <c r="Z554" i="43"/>
  <c r="AA554" i="43"/>
  <c r="AB554" i="43"/>
  <c r="W555" i="43"/>
  <c r="X555" i="43"/>
  <c r="Y555" i="43"/>
  <c r="Z555" i="43"/>
  <c r="AA555" i="43"/>
  <c r="AB555" i="43"/>
  <c r="W556" i="43"/>
  <c r="X556" i="43"/>
  <c r="Y556" i="43"/>
  <c r="Z556" i="43"/>
  <c r="AA556" i="43"/>
  <c r="AB556" i="43"/>
  <c r="W557" i="43"/>
  <c r="X557" i="43"/>
  <c r="Y557" i="43"/>
  <c r="Z557" i="43"/>
  <c r="AA557" i="43"/>
  <c r="AB557" i="43"/>
  <c r="W558" i="43"/>
  <c r="X558" i="43"/>
  <c r="Y558" i="43"/>
  <c r="Z558" i="43"/>
  <c r="AA558" i="43"/>
  <c r="AB558" i="43"/>
  <c r="W559" i="43"/>
  <c r="X559" i="43"/>
  <c r="Y559" i="43"/>
  <c r="Z559" i="43"/>
  <c r="AA559" i="43"/>
  <c r="AB559" i="43"/>
  <c r="W560" i="43"/>
  <c r="X560" i="43"/>
  <c r="Y560" i="43"/>
  <c r="Z560" i="43"/>
  <c r="AA560" i="43"/>
  <c r="AB560" i="43"/>
  <c r="W561" i="43"/>
  <c r="X561" i="43"/>
  <c r="Y561" i="43"/>
  <c r="Z561" i="43"/>
  <c r="AA561" i="43"/>
  <c r="AB561" i="43"/>
  <c r="W562" i="43"/>
  <c r="X562" i="43"/>
  <c r="Y562" i="43"/>
  <c r="Z562" i="43"/>
  <c r="AA562" i="43"/>
  <c r="AB562" i="43"/>
  <c r="W563" i="43"/>
  <c r="X563" i="43"/>
  <c r="Y563" i="43"/>
  <c r="Z563" i="43"/>
  <c r="AA563" i="43"/>
  <c r="AB563" i="43"/>
  <c r="W564" i="43"/>
  <c r="X564" i="43"/>
  <c r="Y564" i="43"/>
  <c r="Z564" i="43"/>
  <c r="AA564" i="43"/>
  <c r="AB564" i="43"/>
  <c r="W565" i="43"/>
  <c r="X565" i="43"/>
  <c r="Y565" i="43"/>
  <c r="Z565" i="43"/>
  <c r="AA565" i="43"/>
  <c r="AB565" i="43"/>
  <c r="W566" i="43"/>
  <c r="X566" i="43"/>
  <c r="Y566" i="43"/>
  <c r="Z566" i="43"/>
  <c r="AA566" i="43"/>
  <c r="AB566" i="43"/>
  <c r="W567" i="43"/>
  <c r="X567" i="43"/>
  <c r="Y567" i="43"/>
  <c r="Z567" i="43"/>
  <c r="AA567" i="43"/>
  <c r="AB567" i="43"/>
  <c r="W568" i="43"/>
  <c r="X568" i="43"/>
  <c r="Y568" i="43"/>
  <c r="Z568" i="43"/>
  <c r="AA568" i="43"/>
  <c r="AB568" i="43"/>
  <c r="W569" i="43"/>
  <c r="X569" i="43"/>
  <c r="Y569" i="43"/>
  <c r="Z569" i="43"/>
  <c r="AA569" i="43"/>
  <c r="AB569" i="43"/>
  <c r="W570" i="43"/>
  <c r="X570" i="43"/>
  <c r="Y570" i="43"/>
  <c r="Z570" i="43"/>
  <c r="AA570" i="43"/>
  <c r="AB570" i="43"/>
  <c r="W571" i="43"/>
  <c r="X571" i="43"/>
  <c r="Y571" i="43"/>
  <c r="Z571" i="43"/>
  <c r="AA571" i="43"/>
  <c r="AB571" i="43"/>
  <c r="W572" i="43"/>
  <c r="X572" i="43"/>
  <c r="Y572" i="43"/>
  <c r="Z572" i="43"/>
  <c r="AA572" i="43"/>
  <c r="AB572" i="43"/>
  <c r="W573" i="43"/>
  <c r="X573" i="43"/>
  <c r="Y573" i="43"/>
  <c r="Z573" i="43"/>
  <c r="AA573" i="43"/>
  <c r="AB573" i="43"/>
  <c r="W574" i="43"/>
  <c r="X574" i="43"/>
  <c r="Y574" i="43"/>
  <c r="Z574" i="43"/>
  <c r="AA574" i="43"/>
  <c r="AB574" i="43"/>
  <c r="W575" i="43"/>
  <c r="X575" i="43"/>
  <c r="Y575" i="43"/>
  <c r="Z575" i="43"/>
  <c r="AA575" i="43"/>
  <c r="AB575" i="43"/>
  <c r="W576" i="43"/>
  <c r="X576" i="43"/>
  <c r="Y576" i="43"/>
  <c r="Z576" i="43"/>
  <c r="AA576" i="43"/>
  <c r="AB576" i="43"/>
  <c r="W577" i="43"/>
  <c r="X577" i="43"/>
  <c r="Y577" i="43"/>
  <c r="Z577" i="43"/>
  <c r="AA577" i="43"/>
  <c r="AB577" i="43"/>
  <c r="W578" i="43"/>
  <c r="X578" i="43"/>
  <c r="Y578" i="43"/>
  <c r="Z578" i="43"/>
  <c r="AA578" i="43"/>
  <c r="AB578" i="43"/>
  <c r="W579" i="43"/>
  <c r="X579" i="43"/>
  <c r="Y579" i="43"/>
  <c r="Z579" i="43"/>
  <c r="AA579" i="43"/>
  <c r="AB579" i="43"/>
  <c r="W580" i="43"/>
  <c r="X580" i="43"/>
  <c r="Y580" i="43"/>
  <c r="Z580" i="43"/>
  <c r="AA580" i="43"/>
  <c r="AB580" i="43"/>
  <c r="W581" i="43"/>
  <c r="X581" i="43"/>
  <c r="Y581" i="43"/>
  <c r="Z581" i="43"/>
  <c r="AA581" i="43"/>
  <c r="AB581" i="43"/>
  <c r="W582" i="43"/>
  <c r="X582" i="43"/>
  <c r="Y582" i="43"/>
  <c r="Z582" i="43"/>
  <c r="AA582" i="43"/>
  <c r="AB582" i="43"/>
  <c r="W583" i="43"/>
  <c r="X583" i="43"/>
  <c r="Y583" i="43"/>
  <c r="Z583" i="43"/>
  <c r="AA583" i="43"/>
  <c r="AB583" i="43"/>
  <c r="W584" i="43"/>
  <c r="X584" i="43"/>
  <c r="Y584" i="43"/>
  <c r="Z584" i="43"/>
  <c r="AA584" i="43"/>
  <c r="AB584" i="43"/>
  <c r="W585" i="43"/>
  <c r="X585" i="43"/>
  <c r="Y585" i="43"/>
  <c r="Z585" i="43"/>
  <c r="AA585" i="43"/>
  <c r="AB585" i="43"/>
  <c r="W586" i="43"/>
  <c r="X586" i="43"/>
  <c r="Y586" i="43"/>
  <c r="Z586" i="43"/>
  <c r="AA586" i="43"/>
  <c r="AB586" i="43"/>
  <c r="W587" i="43"/>
  <c r="X587" i="43"/>
  <c r="Y587" i="43"/>
  <c r="Z587" i="43"/>
  <c r="AA587" i="43"/>
  <c r="AB587" i="43"/>
  <c r="W588" i="43"/>
  <c r="X588" i="43"/>
  <c r="Y588" i="43"/>
  <c r="Z588" i="43"/>
  <c r="AA588" i="43"/>
  <c r="AB588" i="43"/>
  <c r="W589" i="43"/>
  <c r="X589" i="43"/>
  <c r="Y589" i="43"/>
  <c r="Z589" i="43"/>
  <c r="AA589" i="43"/>
  <c r="AB589" i="43"/>
  <c r="W590" i="43"/>
  <c r="X590" i="43"/>
  <c r="Y590" i="43"/>
  <c r="Z590" i="43"/>
  <c r="AA590" i="43"/>
  <c r="AB590" i="43"/>
  <c r="W591" i="43"/>
  <c r="X591" i="43"/>
  <c r="Y591" i="43"/>
  <c r="Z591" i="43"/>
  <c r="AA591" i="43"/>
  <c r="AB591" i="43"/>
  <c r="W592" i="43"/>
  <c r="X592" i="43"/>
  <c r="Y592" i="43"/>
  <c r="Z592" i="43"/>
  <c r="AA592" i="43"/>
  <c r="AB592" i="43"/>
  <c r="W593" i="43"/>
  <c r="X593" i="43"/>
  <c r="Y593" i="43"/>
  <c r="Z593" i="43"/>
  <c r="AA593" i="43"/>
  <c r="AB593" i="43"/>
  <c r="W594" i="43"/>
  <c r="X594" i="43"/>
  <c r="Y594" i="43"/>
  <c r="Z594" i="43"/>
  <c r="AA594" i="43"/>
  <c r="AB594" i="43"/>
  <c r="W595" i="43"/>
  <c r="X595" i="43"/>
  <c r="Y595" i="43"/>
  <c r="Z595" i="43"/>
  <c r="AA595" i="43"/>
  <c r="AB595" i="43"/>
  <c r="W596" i="43"/>
  <c r="X596" i="43"/>
  <c r="Y596" i="43"/>
  <c r="Z596" i="43"/>
  <c r="AA596" i="43"/>
  <c r="AB596" i="43"/>
  <c r="W597" i="43"/>
  <c r="X597" i="43"/>
  <c r="Y597" i="43"/>
  <c r="Z597" i="43"/>
  <c r="AA597" i="43"/>
  <c r="AB597" i="43"/>
  <c r="W598" i="43"/>
  <c r="X598" i="43"/>
  <c r="Y598" i="43"/>
  <c r="Z598" i="43"/>
  <c r="AA598" i="43"/>
  <c r="AB598" i="43"/>
  <c r="W599" i="43"/>
  <c r="X599" i="43"/>
  <c r="Y599" i="43"/>
  <c r="Z599" i="43"/>
  <c r="AA599" i="43"/>
  <c r="AB599" i="43"/>
  <c r="W600" i="43"/>
  <c r="X600" i="43"/>
  <c r="Y600" i="43"/>
  <c r="Z600" i="43"/>
  <c r="AA600" i="43"/>
  <c r="AB600" i="43"/>
  <c r="W601" i="43"/>
  <c r="X601" i="43"/>
  <c r="Y601" i="43"/>
  <c r="Z601" i="43"/>
  <c r="AA601" i="43"/>
  <c r="AB601" i="43"/>
  <c r="W602" i="43"/>
  <c r="X602" i="43"/>
  <c r="Y602" i="43"/>
  <c r="Z602" i="43"/>
  <c r="AA602" i="43"/>
  <c r="AB602" i="43"/>
  <c r="W603" i="43"/>
  <c r="X603" i="43"/>
  <c r="Y603" i="43"/>
  <c r="Z603" i="43"/>
  <c r="AA603" i="43"/>
  <c r="AB603" i="43"/>
  <c r="W604" i="43"/>
  <c r="X604" i="43"/>
  <c r="Y604" i="43"/>
  <c r="Z604" i="43"/>
  <c r="AA604" i="43"/>
  <c r="AB604" i="43"/>
  <c r="W605" i="43"/>
  <c r="X605" i="43"/>
  <c r="Y605" i="43"/>
  <c r="Z605" i="43"/>
  <c r="AA605" i="43"/>
  <c r="AB605" i="43"/>
  <c r="W606" i="43"/>
  <c r="X606" i="43"/>
  <c r="Y606" i="43"/>
  <c r="Z606" i="43"/>
  <c r="AA606" i="43"/>
  <c r="AB606" i="43"/>
  <c r="W607" i="43"/>
  <c r="X607" i="43"/>
  <c r="Y607" i="43"/>
  <c r="Z607" i="43"/>
  <c r="AA607" i="43"/>
  <c r="AB607" i="43"/>
  <c r="W608" i="43"/>
  <c r="X608" i="43"/>
  <c r="Y608" i="43"/>
  <c r="Z608" i="43"/>
  <c r="AA608" i="43"/>
  <c r="AB608" i="43"/>
  <c r="W609" i="43"/>
  <c r="X609" i="43"/>
  <c r="Y609" i="43"/>
  <c r="Z609" i="43"/>
  <c r="AA609" i="43"/>
  <c r="AB609" i="43"/>
  <c r="W610" i="43"/>
  <c r="X610" i="43"/>
  <c r="Y610" i="43"/>
  <c r="Z610" i="43"/>
  <c r="AA610" i="43"/>
  <c r="AB610" i="43"/>
  <c r="W611" i="43"/>
  <c r="X611" i="43"/>
  <c r="Y611" i="43"/>
  <c r="Z611" i="43"/>
  <c r="AA611" i="43"/>
  <c r="AB611" i="43"/>
  <c r="W612" i="43"/>
  <c r="X612" i="43"/>
  <c r="Y612" i="43"/>
  <c r="Z612" i="43"/>
  <c r="AA612" i="43"/>
  <c r="AB612" i="43"/>
  <c r="W613" i="43"/>
  <c r="X613" i="43"/>
  <c r="Y613" i="43"/>
  <c r="Z613" i="43"/>
  <c r="AA613" i="43"/>
  <c r="AB613" i="43"/>
  <c r="W614" i="43"/>
  <c r="X614" i="43"/>
  <c r="Y614" i="43"/>
  <c r="Z614" i="43"/>
  <c r="AA614" i="43"/>
  <c r="AB614" i="43"/>
  <c r="W615" i="43"/>
  <c r="X615" i="43"/>
  <c r="Y615" i="43"/>
  <c r="Z615" i="43"/>
  <c r="AA615" i="43"/>
  <c r="AB615" i="43"/>
  <c r="W616" i="43"/>
  <c r="X616" i="43"/>
  <c r="Y616" i="43"/>
  <c r="Z616" i="43"/>
  <c r="AA616" i="43"/>
  <c r="AB616" i="43"/>
  <c r="W617" i="43"/>
  <c r="X617" i="43"/>
  <c r="Y617" i="43"/>
  <c r="Z617" i="43"/>
  <c r="AA617" i="43"/>
  <c r="AB617" i="43"/>
  <c r="W618" i="43"/>
  <c r="X618" i="43"/>
  <c r="Y618" i="43"/>
  <c r="Z618" i="43"/>
  <c r="AA618" i="43"/>
  <c r="AB618" i="43"/>
  <c r="W619" i="43"/>
  <c r="X619" i="43"/>
  <c r="Y619" i="43"/>
  <c r="Z619" i="43"/>
  <c r="AA619" i="43"/>
  <c r="AB619" i="43"/>
  <c r="W620" i="43"/>
  <c r="X620" i="43"/>
  <c r="Y620" i="43"/>
  <c r="Z620" i="43"/>
  <c r="AA620" i="43"/>
  <c r="AB620" i="43"/>
  <c r="W621" i="43"/>
  <c r="X621" i="43"/>
  <c r="Y621" i="43"/>
  <c r="Z621" i="43"/>
  <c r="AA621" i="43"/>
  <c r="AB621" i="43"/>
  <c r="W622" i="43"/>
  <c r="X622" i="43"/>
  <c r="Y622" i="43"/>
  <c r="Z622" i="43"/>
  <c r="AA622" i="43"/>
  <c r="AB622" i="43"/>
  <c r="W623" i="43"/>
  <c r="X623" i="43"/>
  <c r="Y623" i="43"/>
  <c r="Z623" i="43"/>
  <c r="AA623" i="43"/>
  <c r="AB623" i="43"/>
  <c r="W624" i="43"/>
  <c r="X624" i="43"/>
  <c r="Y624" i="43"/>
  <c r="Z624" i="43"/>
  <c r="AA624" i="43"/>
  <c r="AB624" i="43"/>
  <c r="W625" i="43"/>
  <c r="X625" i="43"/>
  <c r="Y625" i="43"/>
  <c r="Z625" i="43"/>
  <c r="AA625" i="43"/>
  <c r="AB625" i="43"/>
  <c r="W626" i="43"/>
  <c r="X626" i="43"/>
  <c r="Y626" i="43"/>
  <c r="Z626" i="43"/>
  <c r="AA626" i="43"/>
  <c r="AB626" i="43"/>
  <c r="W627" i="43"/>
  <c r="X627" i="43"/>
  <c r="Y627" i="43"/>
  <c r="Z627" i="43"/>
  <c r="AA627" i="43"/>
  <c r="AB627" i="43"/>
  <c r="W628" i="43"/>
  <c r="X628" i="43"/>
  <c r="Y628" i="43"/>
  <c r="Z628" i="43"/>
  <c r="AA628" i="43"/>
  <c r="AB628" i="43"/>
  <c r="W629" i="43"/>
  <c r="X629" i="43"/>
  <c r="Y629" i="43"/>
  <c r="Z629" i="43"/>
  <c r="AA629" i="43"/>
  <c r="AB629" i="43"/>
  <c r="W630" i="43"/>
  <c r="X630" i="43"/>
  <c r="Y630" i="43"/>
  <c r="Z630" i="43"/>
  <c r="AA630" i="43"/>
  <c r="AB630" i="43"/>
  <c r="W631" i="43"/>
  <c r="X631" i="43"/>
  <c r="Y631" i="43"/>
  <c r="Z631" i="43"/>
  <c r="AA631" i="43"/>
  <c r="AB631" i="43"/>
  <c r="W632" i="43"/>
  <c r="X632" i="43"/>
  <c r="Y632" i="43"/>
  <c r="Z632" i="43"/>
  <c r="AA632" i="43"/>
  <c r="AB632" i="43"/>
  <c r="W633" i="43"/>
  <c r="X633" i="43"/>
  <c r="Y633" i="43"/>
  <c r="Z633" i="43"/>
  <c r="AA633" i="43"/>
  <c r="AB633" i="43"/>
  <c r="W634" i="43"/>
  <c r="X634" i="43"/>
  <c r="Y634" i="43"/>
  <c r="Z634" i="43"/>
  <c r="AA634" i="43"/>
  <c r="AB634" i="43"/>
  <c r="W635" i="43"/>
  <c r="X635" i="43"/>
  <c r="Y635" i="43"/>
  <c r="Z635" i="43"/>
  <c r="AA635" i="43"/>
  <c r="AB635" i="43"/>
  <c r="W636" i="43"/>
  <c r="X636" i="43"/>
  <c r="Y636" i="43"/>
  <c r="Z636" i="43"/>
  <c r="AA636" i="43"/>
  <c r="AB636" i="43"/>
  <c r="W637" i="43"/>
  <c r="X637" i="43"/>
  <c r="Y637" i="43"/>
  <c r="Z637" i="43"/>
  <c r="AA637" i="43"/>
  <c r="AB637" i="43"/>
  <c r="W638" i="43"/>
  <c r="X638" i="43"/>
  <c r="Y638" i="43"/>
  <c r="Z638" i="43"/>
  <c r="AA638" i="43"/>
  <c r="AB638" i="43"/>
  <c r="W639" i="43"/>
  <c r="X639" i="43"/>
  <c r="Y639" i="43"/>
  <c r="Z639" i="43"/>
  <c r="AA639" i="43"/>
  <c r="AB639" i="43"/>
  <c r="W640" i="43"/>
  <c r="X640" i="43"/>
  <c r="Y640" i="43"/>
  <c r="Z640" i="43"/>
  <c r="AA640" i="43"/>
  <c r="AB640" i="43"/>
  <c r="W641" i="43"/>
  <c r="X641" i="43"/>
  <c r="Y641" i="43"/>
  <c r="Z641" i="43"/>
  <c r="AA641" i="43"/>
  <c r="AB641" i="43"/>
  <c r="W642" i="43"/>
  <c r="X642" i="43"/>
  <c r="Y642" i="43"/>
  <c r="Z642" i="43"/>
  <c r="AA642" i="43"/>
  <c r="AB642" i="43"/>
  <c r="W643" i="43"/>
  <c r="X643" i="43"/>
  <c r="Y643" i="43"/>
  <c r="Z643" i="43"/>
  <c r="AA643" i="43"/>
  <c r="AB643" i="43"/>
  <c r="W644" i="43"/>
  <c r="X644" i="43"/>
  <c r="Y644" i="43"/>
  <c r="Z644" i="43"/>
  <c r="AA644" i="43"/>
  <c r="AB644" i="43"/>
  <c r="W645" i="43"/>
  <c r="X645" i="43"/>
  <c r="Y645" i="43"/>
  <c r="Z645" i="43"/>
  <c r="AA645" i="43"/>
  <c r="AB645" i="43"/>
  <c r="W646" i="43"/>
  <c r="X646" i="43"/>
  <c r="Y646" i="43"/>
  <c r="Z646" i="43"/>
  <c r="AA646" i="43"/>
  <c r="AB646" i="43"/>
  <c r="W647" i="43"/>
  <c r="X647" i="43"/>
  <c r="Y647" i="43"/>
  <c r="Z647" i="43"/>
  <c r="AA647" i="43"/>
  <c r="AB647" i="43"/>
  <c r="W648" i="43"/>
  <c r="X648" i="43"/>
  <c r="Y648" i="43"/>
  <c r="Z648" i="43"/>
  <c r="AA648" i="43"/>
  <c r="AB648" i="43"/>
  <c r="W649" i="43"/>
  <c r="X649" i="43"/>
  <c r="Y649" i="43"/>
  <c r="Z649" i="43"/>
  <c r="AA649" i="43"/>
  <c r="AB649" i="43"/>
  <c r="W650" i="43"/>
  <c r="X650" i="43"/>
  <c r="Y650" i="43"/>
  <c r="Z650" i="43"/>
  <c r="AA650" i="43"/>
  <c r="AB650" i="43"/>
  <c r="W651" i="43"/>
  <c r="X651" i="43"/>
  <c r="Y651" i="43"/>
  <c r="Z651" i="43"/>
  <c r="AA651" i="43"/>
  <c r="AB651" i="43"/>
  <c r="W652" i="43"/>
  <c r="X652" i="43"/>
  <c r="Y652" i="43"/>
  <c r="Z652" i="43"/>
  <c r="AA652" i="43"/>
  <c r="AB652" i="43"/>
  <c r="W653" i="43"/>
  <c r="X653" i="43"/>
  <c r="Y653" i="43"/>
  <c r="Z653" i="43"/>
  <c r="AA653" i="43"/>
  <c r="AB653" i="43"/>
  <c r="W654" i="43"/>
  <c r="X654" i="43"/>
  <c r="Y654" i="43"/>
  <c r="Z654" i="43"/>
  <c r="AA654" i="43"/>
  <c r="AB654" i="43"/>
  <c r="W655" i="43"/>
  <c r="X655" i="43"/>
  <c r="Y655" i="43"/>
  <c r="Z655" i="43"/>
  <c r="AA655" i="43"/>
  <c r="AB655" i="43"/>
  <c r="W656" i="43"/>
  <c r="X656" i="43"/>
  <c r="Y656" i="43"/>
  <c r="Z656" i="43"/>
  <c r="AA656" i="43"/>
  <c r="AB656" i="43"/>
  <c r="W657" i="43"/>
  <c r="X657" i="43"/>
  <c r="Y657" i="43"/>
  <c r="Z657" i="43"/>
  <c r="AA657" i="43"/>
  <c r="AB657" i="43"/>
  <c r="W658" i="43"/>
  <c r="X658" i="43"/>
  <c r="Y658" i="43"/>
  <c r="Z658" i="43"/>
  <c r="AA658" i="43"/>
  <c r="AB658" i="43"/>
  <c r="W659" i="43"/>
  <c r="X659" i="43"/>
  <c r="Y659" i="43"/>
  <c r="Z659" i="43"/>
  <c r="AA659" i="43"/>
  <c r="AB659" i="43"/>
  <c r="W660" i="43"/>
  <c r="X660" i="43"/>
  <c r="Y660" i="43"/>
  <c r="Z660" i="43"/>
  <c r="AA660" i="43"/>
  <c r="AB660" i="43"/>
  <c r="W661" i="43"/>
  <c r="X661" i="43"/>
  <c r="Y661" i="43"/>
  <c r="Z661" i="43"/>
  <c r="AA661" i="43"/>
  <c r="AB661" i="43"/>
  <c r="W662" i="43"/>
  <c r="X662" i="43"/>
  <c r="Y662" i="43"/>
  <c r="Z662" i="43"/>
  <c r="AA662" i="43"/>
  <c r="AB662" i="43"/>
  <c r="W663" i="43"/>
  <c r="X663" i="43"/>
  <c r="Y663" i="43"/>
  <c r="Z663" i="43"/>
  <c r="AA663" i="43"/>
  <c r="AB663" i="43"/>
  <c r="W664" i="43"/>
  <c r="X664" i="43"/>
  <c r="Y664" i="43"/>
  <c r="Z664" i="43"/>
  <c r="AA664" i="43"/>
  <c r="AB664" i="43"/>
  <c r="W665" i="43"/>
  <c r="X665" i="43"/>
  <c r="Y665" i="43"/>
  <c r="Z665" i="43"/>
  <c r="AA665" i="43"/>
  <c r="AB665" i="43"/>
  <c r="W666" i="43"/>
  <c r="X666" i="43"/>
  <c r="Y666" i="43"/>
  <c r="Z666" i="43"/>
  <c r="AA666" i="43"/>
  <c r="AB666" i="43"/>
  <c r="W667" i="43"/>
  <c r="X667" i="43"/>
  <c r="Y667" i="43"/>
  <c r="Z667" i="43"/>
  <c r="AA667" i="43"/>
  <c r="AB667" i="43"/>
  <c r="W668" i="43"/>
  <c r="X668" i="43"/>
  <c r="Y668" i="43"/>
  <c r="Z668" i="43"/>
  <c r="AA668" i="43"/>
  <c r="AB668" i="43"/>
  <c r="W669" i="43"/>
  <c r="X669" i="43"/>
  <c r="Y669" i="43"/>
  <c r="Z669" i="43"/>
  <c r="AA669" i="43"/>
  <c r="AB669" i="43"/>
  <c r="W670" i="43"/>
  <c r="X670" i="43"/>
  <c r="Y670" i="43"/>
  <c r="Z670" i="43"/>
  <c r="AA670" i="43"/>
  <c r="AB670" i="43"/>
  <c r="W671" i="43"/>
  <c r="X671" i="43"/>
  <c r="Y671" i="43"/>
  <c r="Z671" i="43"/>
  <c r="AA671" i="43"/>
  <c r="AB671" i="43"/>
  <c r="W672" i="43"/>
  <c r="X672" i="43"/>
  <c r="Y672" i="43"/>
  <c r="Z672" i="43"/>
  <c r="AA672" i="43"/>
  <c r="AB672" i="43"/>
  <c r="W673" i="43"/>
  <c r="X673" i="43"/>
  <c r="Y673" i="43"/>
  <c r="Z673" i="43"/>
  <c r="AA673" i="43"/>
  <c r="AB673" i="43"/>
  <c r="W674" i="43"/>
  <c r="X674" i="43"/>
  <c r="Y674" i="43"/>
  <c r="Z674" i="43"/>
  <c r="AA674" i="43"/>
  <c r="AB674" i="43"/>
  <c r="W675" i="43"/>
  <c r="X675" i="43"/>
  <c r="Y675" i="43"/>
  <c r="Z675" i="43"/>
  <c r="AA675" i="43"/>
  <c r="AB675" i="43"/>
  <c r="W676" i="43"/>
  <c r="X676" i="43"/>
  <c r="Y676" i="43"/>
  <c r="Z676" i="43"/>
  <c r="AA676" i="43"/>
  <c r="AB676" i="43"/>
  <c r="W677" i="43"/>
  <c r="X677" i="43"/>
  <c r="Y677" i="43"/>
  <c r="Z677" i="43"/>
  <c r="AA677" i="43"/>
  <c r="AB677" i="43"/>
  <c r="W678" i="43"/>
  <c r="X678" i="43"/>
  <c r="Y678" i="43"/>
  <c r="Z678" i="43"/>
  <c r="AA678" i="43"/>
  <c r="AB678" i="43"/>
  <c r="W679" i="43"/>
  <c r="X679" i="43"/>
  <c r="Y679" i="43"/>
  <c r="Z679" i="43"/>
  <c r="AA679" i="43"/>
  <c r="AB679" i="43"/>
  <c r="W680" i="43"/>
  <c r="X680" i="43"/>
  <c r="Y680" i="43"/>
  <c r="Z680" i="43"/>
  <c r="AA680" i="43"/>
  <c r="AB680" i="43"/>
  <c r="W681" i="43"/>
  <c r="X681" i="43"/>
  <c r="Y681" i="43"/>
  <c r="Z681" i="43"/>
  <c r="AA681" i="43"/>
  <c r="AB681" i="43"/>
  <c r="W682" i="43"/>
  <c r="X682" i="43"/>
  <c r="Y682" i="43"/>
  <c r="Z682" i="43"/>
  <c r="AA682" i="43"/>
  <c r="AB682" i="43"/>
  <c r="W683" i="43"/>
  <c r="X683" i="43"/>
  <c r="Y683" i="43"/>
  <c r="Z683" i="43"/>
  <c r="AA683" i="43"/>
  <c r="AB683" i="43"/>
  <c r="W684" i="43"/>
  <c r="X684" i="43"/>
  <c r="Y684" i="43"/>
  <c r="Z684" i="43"/>
  <c r="AA684" i="43"/>
  <c r="AB684" i="43"/>
  <c r="W685" i="43"/>
  <c r="X685" i="43"/>
  <c r="Y685" i="43"/>
  <c r="Z685" i="43"/>
  <c r="AA685" i="43"/>
  <c r="AB685" i="43"/>
  <c r="W686" i="43"/>
  <c r="X686" i="43"/>
  <c r="Y686" i="43"/>
  <c r="Z686" i="43"/>
  <c r="AA686" i="43"/>
  <c r="AB686" i="43"/>
  <c r="W687" i="43"/>
  <c r="X687" i="43"/>
  <c r="Y687" i="43"/>
  <c r="Z687" i="43"/>
  <c r="AA687" i="43"/>
  <c r="AB687" i="43"/>
  <c r="W688" i="43"/>
  <c r="X688" i="43"/>
  <c r="Y688" i="43"/>
  <c r="Z688" i="43"/>
  <c r="AA688" i="43"/>
  <c r="AB688" i="43"/>
  <c r="W689" i="43"/>
  <c r="X689" i="43"/>
  <c r="Y689" i="43"/>
  <c r="Z689" i="43"/>
  <c r="AA689" i="43"/>
  <c r="AB689" i="43"/>
  <c r="W690" i="43"/>
  <c r="X690" i="43"/>
  <c r="Y690" i="43"/>
  <c r="Z690" i="43"/>
  <c r="AA690" i="43"/>
  <c r="AB690" i="43"/>
  <c r="W691" i="43"/>
  <c r="X691" i="43"/>
  <c r="Y691" i="43"/>
  <c r="Z691" i="43"/>
  <c r="AA691" i="43"/>
  <c r="AB691" i="43"/>
  <c r="W692" i="43"/>
  <c r="X692" i="43"/>
  <c r="Y692" i="43"/>
  <c r="Z692" i="43"/>
  <c r="AA692" i="43"/>
  <c r="AB692" i="43"/>
  <c r="W693" i="43"/>
  <c r="X693" i="43"/>
  <c r="Y693" i="43"/>
  <c r="Z693" i="43"/>
  <c r="AA693" i="43"/>
  <c r="AB693" i="43"/>
  <c r="W694" i="43"/>
  <c r="X694" i="43"/>
  <c r="Y694" i="43"/>
  <c r="Z694" i="43"/>
  <c r="AA694" i="43"/>
  <c r="AB694" i="43"/>
  <c r="W695" i="43"/>
  <c r="X695" i="43"/>
  <c r="Y695" i="43"/>
  <c r="Z695" i="43"/>
  <c r="AA695" i="43"/>
  <c r="AB695" i="43"/>
  <c r="W696" i="43"/>
  <c r="X696" i="43"/>
  <c r="Y696" i="43"/>
  <c r="Z696" i="43"/>
  <c r="AA696" i="43"/>
  <c r="AB696" i="43"/>
  <c r="W697" i="43"/>
  <c r="X697" i="43"/>
  <c r="Y697" i="43"/>
  <c r="Z697" i="43"/>
  <c r="AA697" i="43"/>
  <c r="AB697" i="43"/>
  <c r="W698" i="43"/>
  <c r="X698" i="43"/>
  <c r="Y698" i="43"/>
  <c r="Z698" i="43"/>
  <c r="AA698" i="43"/>
  <c r="AB698" i="43"/>
  <c r="W699" i="43"/>
  <c r="X699" i="43"/>
  <c r="Y699" i="43"/>
  <c r="Z699" i="43"/>
  <c r="AA699" i="43"/>
  <c r="AB699" i="43"/>
  <c r="W700" i="43"/>
  <c r="X700" i="43"/>
  <c r="Y700" i="43"/>
  <c r="Z700" i="43"/>
  <c r="AA700" i="43"/>
  <c r="AB700" i="43"/>
  <c r="W701" i="43"/>
  <c r="X701" i="43"/>
  <c r="Y701" i="43"/>
  <c r="Z701" i="43"/>
  <c r="AA701" i="43"/>
  <c r="AB701" i="43"/>
  <c r="W702" i="43"/>
  <c r="X702" i="43"/>
  <c r="Y702" i="43"/>
  <c r="Z702" i="43"/>
  <c r="AA702" i="43"/>
  <c r="AB702" i="43"/>
  <c r="W703" i="43"/>
  <c r="X703" i="43"/>
  <c r="Y703" i="43"/>
  <c r="Z703" i="43"/>
  <c r="AA703" i="43"/>
  <c r="AB703" i="43"/>
  <c r="W704" i="43"/>
  <c r="X704" i="43"/>
  <c r="Y704" i="43"/>
  <c r="Z704" i="43"/>
  <c r="AA704" i="43"/>
  <c r="AB704" i="43"/>
  <c r="W705" i="43"/>
  <c r="X705" i="43"/>
  <c r="Y705" i="43"/>
  <c r="Z705" i="43"/>
  <c r="AA705" i="43"/>
  <c r="AB705" i="43"/>
  <c r="W706" i="43"/>
  <c r="X706" i="43"/>
  <c r="Y706" i="43"/>
  <c r="Z706" i="43"/>
  <c r="AA706" i="43"/>
  <c r="AB706" i="43"/>
  <c r="W707" i="43"/>
  <c r="X707" i="43"/>
  <c r="Y707" i="43"/>
  <c r="Z707" i="43"/>
  <c r="AA707" i="43"/>
  <c r="AB707" i="43"/>
  <c r="W708" i="43"/>
  <c r="X708" i="43"/>
  <c r="Y708" i="43"/>
  <c r="Z708" i="43"/>
  <c r="AA708" i="43"/>
  <c r="AB708" i="43"/>
  <c r="W709" i="43"/>
  <c r="X709" i="43"/>
  <c r="Y709" i="43"/>
  <c r="Z709" i="43"/>
  <c r="AA709" i="43"/>
  <c r="AB709" i="43"/>
  <c r="W710" i="43"/>
  <c r="X710" i="43"/>
  <c r="Y710" i="43"/>
  <c r="Z710" i="43"/>
  <c r="AA710" i="43"/>
  <c r="AB710" i="43"/>
  <c r="W711" i="43"/>
  <c r="X711" i="43"/>
  <c r="Y711" i="43"/>
  <c r="Z711" i="43"/>
  <c r="AA711" i="43"/>
  <c r="AB711" i="43"/>
  <c r="W712" i="43"/>
  <c r="X712" i="43"/>
  <c r="Y712" i="43"/>
  <c r="Z712" i="43"/>
  <c r="AA712" i="43"/>
  <c r="AB712" i="43"/>
  <c r="W713" i="43"/>
  <c r="X713" i="43"/>
  <c r="Y713" i="43"/>
  <c r="Z713" i="43"/>
  <c r="AA713" i="43"/>
  <c r="AB713" i="43"/>
  <c r="W714" i="43"/>
  <c r="X714" i="43"/>
  <c r="Y714" i="43"/>
  <c r="Z714" i="43"/>
  <c r="AA714" i="43"/>
  <c r="AB714" i="43"/>
  <c r="W715" i="43"/>
  <c r="X715" i="43"/>
  <c r="Y715" i="43"/>
  <c r="Z715" i="43"/>
  <c r="AA715" i="43"/>
  <c r="AB715" i="43"/>
  <c r="W716" i="43"/>
  <c r="X716" i="43"/>
  <c r="Y716" i="43"/>
  <c r="Z716" i="43"/>
  <c r="AA716" i="43"/>
  <c r="AB716" i="43"/>
  <c r="W717" i="43"/>
  <c r="X717" i="43"/>
  <c r="Y717" i="43"/>
  <c r="Z717" i="43"/>
  <c r="AA717" i="43"/>
  <c r="AB717" i="43"/>
  <c r="W718" i="43"/>
  <c r="X718" i="43"/>
  <c r="Y718" i="43"/>
  <c r="Z718" i="43"/>
  <c r="AA718" i="43"/>
  <c r="AB718" i="43"/>
  <c r="W719" i="43"/>
  <c r="X719" i="43"/>
  <c r="Y719" i="43"/>
  <c r="Z719" i="43"/>
  <c r="AA719" i="43"/>
  <c r="AB719" i="43"/>
  <c r="W720" i="43"/>
  <c r="X720" i="43"/>
  <c r="Y720" i="43"/>
  <c r="Z720" i="43"/>
  <c r="AA720" i="43"/>
  <c r="AB720" i="43"/>
  <c r="W721" i="43"/>
  <c r="X721" i="43"/>
  <c r="Y721" i="43"/>
  <c r="Z721" i="43"/>
  <c r="AA721" i="43"/>
  <c r="AB721" i="43"/>
  <c r="W722" i="43"/>
  <c r="X722" i="43"/>
  <c r="Y722" i="43"/>
  <c r="Z722" i="43"/>
  <c r="AA722" i="43"/>
  <c r="AB722" i="43"/>
  <c r="W723" i="43"/>
  <c r="X723" i="43"/>
  <c r="Y723" i="43"/>
  <c r="Z723" i="43"/>
  <c r="AA723" i="43"/>
  <c r="AB723" i="43"/>
  <c r="W724" i="43"/>
  <c r="X724" i="43"/>
  <c r="Y724" i="43"/>
  <c r="Z724" i="43"/>
  <c r="AA724" i="43"/>
  <c r="AB724" i="43"/>
  <c r="W725" i="43"/>
  <c r="X725" i="43"/>
  <c r="Y725" i="43"/>
  <c r="Z725" i="43"/>
  <c r="AA725" i="43"/>
  <c r="AB725" i="43"/>
  <c r="W726" i="43"/>
  <c r="X726" i="43"/>
  <c r="Y726" i="43"/>
  <c r="Z726" i="43"/>
  <c r="AA726" i="43"/>
  <c r="AB726" i="43"/>
  <c r="W727" i="43"/>
  <c r="X727" i="43"/>
  <c r="Y727" i="43"/>
  <c r="Z727" i="43"/>
  <c r="AA727" i="43"/>
  <c r="AB727" i="43"/>
  <c r="W728" i="43"/>
  <c r="X728" i="43"/>
  <c r="Y728" i="43"/>
  <c r="Z728" i="43"/>
  <c r="AA728" i="43"/>
  <c r="AB728" i="43"/>
  <c r="W729" i="43"/>
  <c r="X729" i="43"/>
  <c r="Y729" i="43"/>
  <c r="Z729" i="43"/>
  <c r="AA729" i="43"/>
  <c r="AB729" i="43"/>
  <c r="W730" i="43"/>
  <c r="X730" i="43"/>
  <c r="Y730" i="43"/>
  <c r="Z730" i="43"/>
  <c r="AA730" i="43"/>
  <c r="AB730" i="43"/>
  <c r="W731" i="43"/>
  <c r="X731" i="43"/>
  <c r="Y731" i="43"/>
  <c r="Z731" i="43"/>
  <c r="AA731" i="43"/>
  <c r="AB731" i="43"/>
  <c r="W732" i="43"/>
  <c r="X732" i="43"/>
  <c r="Y732" i="43"/>
  <c r="Z732" i="43"/>
  <c r="AA732" i="43"/>
  <c r="AB732" i="43"/>
  <c r="W733" i="43"/>
  <c r="X733" i="43"/>
  <c r="Y733" i="43"/>
  <c r="Z733" i="43"/>
  <c r="AA733" i="43"/>
  <c r="AB733" i="43"/>
  <c r="W734" i="43"/>
  <c r="X734" i="43"/>
  <c r="Y734" i="43"/>
  <c r="Z734" i="43"/>
  <c r="AA734" i="43"/>
  <c r="AB734" i="43"/>
  <c r="W735" i="43"/>
  <c r="X735" i="43"/>
  <c r="Y735" i="43"/>
  <c r="Z735" i="43"/>
  <c r="AA735" i="43"/>
  <c r="AB735" i="43"/>
  <c r="W736" i="43"/>
  <c r="X736" i="43"/>
  <c r="Y736" i="43"/>
  <c r="Z736" i="43"/>
  <c r="AA736" i="43"/>
  <c r="AB736" i="43"/>
  <c r="W737" i="43"/>
  <c r="X737" i="43"/>
  <c r="Y737" i="43"/>
  <c r="Z737" i="43"/>
  <c r="AA737" i="43"/>
  <c r="AB737" i="43"/>
  <c r="W738" i="43"/>
  <c r="X738" i="43"/>
  <c r="Y738" i="43"/>
  <c r="Z738" i="43"/>
  <c r="AA738" i="43"/>
  <c r="AB738" i="43"/>
  <c r="W739" i="43"/>
  <c r="X739" i="43"/>
  <c r="Y739" i="43"/>
  <c r="Z739" i="43"/>
  <c r="AA739" i="43"/>
  <c r="AB739" i="43"/>
  <c r="W740" i="43"/>
  <c r="X740" i="43"/>
  <c r="Y740" i="43"/>
  <c r="Z740" i="43"/>
  <c r="AA740" i="43"/>
  <c r="AB740" i="43"/>
  <c r="W741" i="43"/>
  <c r="X741" i="43"/>
  <c r="Y741" i="43"/>
  <c r="Z741" i="43"/>
  <c r="AA741" i="43"/>
  <c r="AB741" i="43"/>
  <c r="W742" i="43"/>
  <c r="X742" i="43"/>
  <c r="Y742" i="43"/>
  <c r="Z742" i="43"/>
  <c r="AA742" i="43"/>
  <c r="AB742" i="43"/>
  <c r="W743" i="43"/>
  <c r="X743" i="43"/>
  <c r="Y743" i="43"/>
  <c r="Z743" i="43"/>
  <c r="AA743" i="43"/>
  <c r="AB743" i="43"/>
  <c r="W744" i="43"/>
  <c r="X744" i="43"/>
  <c r="Y744" i="43"/>
  <c r="Z744" i="43"/>
  <c r="AA744" i="43"/>
  <c r="AB744" i="43"/>
  <c r="W745" i="43"/>
  <c r="X745" i="43"/>
  <c r="Y745" i="43"/>
  <c r="Z745" i="43"/>
  <c r="AA745" i="43"/>
  <c r="AB745" i="43"/>
  <c r="W746" i="43"/>
  <c r="X746" i="43"/>
  <c r="Y746" i="43"/>
  <c r="Z746" i="43"/>
  <c r="AA746" i="43"/>
  <c r="AB746" i="43"/>
  <c r="W747" i="43"/>
  <c r="X747" i="43"/>
  <c r="Y747" i="43"/>
  <c r="Z747" i="43"/>
  <c r="AA747" i="43"/>
  <c r="AB747" i="43"/>
  <c r="W748" i="43"/>
  <c r="X748" i="43"/>
  <c r="Y748" i="43"/>
  <c r="Z748" i="43"/>
  <c r="AA748" i="43"/>
  <c r="AB748" i="43"/>
  <c r="W749" i="43"/>
  <c r="X749" i="43"/>
  <c r="Y749" i="43"/>
  <c r="Z749" i="43"/>
  <c r="AA749" i="43"/>
  <c r="AB749" i="43"/>
  <c r="W750" i="43"/>
  <c r="X750" i="43"/>
  <c r="Y750" i="43"/>
  <c r="Z750" i="43"/>
  <c r="AA750" i="43"/>
  <c r="AB750" i="43"/>
  <c r="W751" i="43"/>
  <c r="X751" i="43"/>
  <c r="Y751" i="43"/>
  <c r="Z751" i="43"/>
  <c r="AA751" i="43"/>
  <c r="AB751" i="43"/>
  <c r="W752" i="43"/>
  <c r="X752" i="43"/>
  <c r="Y752" i="43"/>
  <c r="Z752" i="43"/>
  <c r="AA752" i="43"/>
  <c r="AB752" i="43"/>
  <c r="W753" i="43"/>
  <c r="X753" i="43"/>
  <c r="Y753" i="43"/>
  <c r="Z753" i="43"/>
  <c r="AA753" i="43"/>
  <c r="AB753" i="43"/>
  <c r="W754" i="43"/>
  <c r="X754" i="43"/>
  <c r="Y754" i="43"/>
  <c r="Z754" i="43"/>
  <c r="AA754" i="43"/>
  <c r="AB754" i="43"/>
  <c r="W755" i="43"/>
  <c r="X755" i="43"/>
  <c r="Y755" i="43"/>
  <c r="Z755" i="43"/>
  <c r="AA755" i="43"/>
  <c r="AB755" i="43"/>
  <c r="W756" i="43"/>
  <c r="X756" i="43"/>
  <c r="Y756" i="43"/>
  <c r="Z756" i="43"/>
  <c r="AA756" i="43"/>
  <c r="AB756" i="43"/>
  <c r="W757" i="43"/>
  <c r="X757" i="43"/>
  <c r="Y757" i="43"/>
  <c r="Z757" i="43"/>
  <c r="AA757" i="43"/>
  <c r="AB757" i="43"/>
  <c r="W758" i="43"/>
  <c r="X758" i="43"/>
  <c r="Y758" i="43"/>
  <c r="Z758" i="43"/>
  <c r="AA758" i="43"/>
  <c r="AB758" i="43"/>
  <c r="W759" i="43"/>
  <c r="X759" i="43"/>
  <c r="Y759" i="43"/>
  <c r="Z759" i="43"/>
  <c r="AA759" i="43"/>
  <c r="AB759" i="43"/>
  <c r="W760" i="43"/>
  <c r="X760" i="43"/>
  <c r="Y760" i="43"/>
  <c r="Z760" i="43"/>
  <c r="AA760" i="43"/>
  <c r="AB760" i="43"/>
  <c r="W761" i="43"/>
  <c r="X761" i="43"/>
  <c r="Y761" i="43"/>
  <c r="Z761" i="43"/>
  <c r="AA761" i="43"/>
  <c r="AB761" i="43"/>
  <c r="W762" i="43"/>
  <c r="X762" i="43"/>
  <c r="Y762" i="43"/>
  <c r="Z762" i="43"/>
  <c r="AA762" i="43"/>
  <c r="AB762" i="43"/>
  <c r="W763" i="43"/>
  <c r="X763" i="43"/>
  <c r="Y763" i="43"/>
  <c r="Z763" i="43"/>
  <c r="AA763" i="43"/>
  <c r="AB763" i="43"/>
  <c r="W764" i="43"/>
  <c r="X764" i="43"/>
  <c r="Y764" i="43"/>
  <c r="Z764" i="43"/>
  <c r="AA764" i="43"/>
  <c r="AB764" i="43"/>
  <c r="W765" i="43"/>
  <c r="X765" i="43"/>
  <c r="Y765" i="43"/>
  <c r="Z765" i="43"/>
  <c r="AA765" i="43"/>
  <c r="AB765" i="43"/>
  <c r="W766" i="43"/>
  <c r="X766" i="43"/>
  <c r="Y766" i="43"/>
  <c r="Z766" i="43"/>
  <c r="AA766" i="43"/>
  <c r="AB766" i="43"/>
  <c r="W767" i="43"/>
  <c r="X767" i="43"/>
  <c r="Y767" i="43"/>
  <c r="Z767" i="43"/>
  <c r="AA767" i="43"/>
  <c r="AB767" i="43"/>
  <c r="W768" i="43"/>
  <c r="X768" i="43"/>
  <c r="Y768" i="43"/>
  <c r="Z768" i="43"/>
  <c r="AA768" i="43"/>
  <c r="AB768" i="43"/>
  <c r="W769" i="43"/>
  <c r="X769" i="43"/>
  <c r="Y769" i="43"/>
  <c r="Z769" i="43"/>
  <c r="AA769" i="43"/>
  <c r="AB769" i="43"/>
  <c r="W770" i="43"/>
  <c r="X770" i="43"/>
  <c r="Y770" i="43"/>
  <c r="Z770" i="43"/>
  <c r="AA770" i="43"/>
  <c r="AB770" i="43"/>
  <c r="W771" i="43"/>
  <c r="X771" i="43"/>
  <c r="Y771" i="43"/>
  <c r="Z771" i="43"/>
  <c r="AA771" i="43"/>
  <c r="AB771" i="43"/>
  <c r="W772" i="43"/>
  <c r="X772" i="43"/>
  <c r="Y772" i="43"/>
  <c r="Z772" i="43"/>
  <c r="AA772" i="43"/>
  <c r="AB772" i="43"/>
  <c r="W773" i="43"/>
  <c r="X773" i="43"/>
  <c r="Y773" i="43"/>
  <c r="Z773" i="43"/>
  <c r="AA773" i="43"/>
  <c r="AB773" i="43"/>
  <c r="W774" i="43"/>
  <c r="X774" i="43"/>
  <c r="Y774" i="43"/>
  <c r="Z774" i="43"/>
  <c r="AA774" i="43"/>
  <c r="AB774" i="43"/>
  <c r="W775" i="43"/>
  <c r="X775" i="43"/>
  <c r="Y775" i="43"/>
  <c r="Z775" i="43"/>
  <c r="AA775" i="43"/>
  <c r="AB775" i="43"/>
  <c r="W776" i="43"/>
  <c r="X776" i="43"/>
  <c r="Y776" i="43"/>
  <c r="Z776" i="43"/>
  <c r="AA776" i="43"/>
  <c r="AB776" i="43"/>
  <c r="W777" i="43"/>
  <c r="X777" i="43"/>
  <c r="Y777" i="43"/>
  <c r="Z777" i="43"/>
  <c r="AA777" i="43"/>
  <c r="AB777" i="43"/>
  <c r="W778" i="43"/>
  <c r="X778" i="43"/>
  <c r="Y778" i="43"/>
  <c r="Z778" i="43"/>
  <c r="AA778" i="43"/>
  <c r="AB778" i="43"/>
  <c r="W779" i="43"/>
  <c r="X779" i="43"/>
  <c r="Y779" i="43"/>
  <c r="Z779" i="43"/>
  <c r="AA779" i="43"/>
  <c r="AB779" i="43"/>
  <c r="W780" i="43"/>
  <c r="X780" i="43"/>
  <c r="Y780" i="43"/>
  <c r="Z780" i="43"/>
  <c r="AA780" i="43"/>
  <c r="AB780" i="43"/>
  <c r="W781" i="43"/>
  <c r="X781" i="43"/>
  <c r="Y781" i="43"/>
  <c r="Z781" i="43"/>
  <c r="AA781" i="43"/>
  <c r="AB781" i="43"/>
  <c r="W782" i="43"/>
  <c r="X782" i="43"/>
  <c r="Y782" i="43"/>
  <c r="Z782" i="43"/>
  <c r="AA782" i="43"/>
  <c r="AB782" i="43"/>
  <c r="W783" i="43"/>
  <c r="X783" i="43"/>
  <c r="Y783" i="43"/>
  <c r="Z783" i="43"/>
  <c r="AA783" i="43"/>
  <c r="AB783" i="43"/>
  <c r="W784" i="43"/>
  <c r="X784" i="43"/>
  <c r="Y784" i="43"/>
  <c r="Z784" i="43"/>
  <c r="AA784" i="43"/>
  <c r="AB784" i="43"/>
  <c r="W785" i="43"/>
  <c r="X785" i="43"/>
  <c r="Y785" i="43"/>
  <c r="Z785" i="43"/>
  <c r="AA785" i="43"/>
  <c r="AB785" i="43"/>
  <c r="W786" i="43"/>
  <c r="X786" i="43"/>
  <c r="Y786" i="43"/>
  <c r="Z786" i="43"/>
  <c r="AA786" i="43"/>
  <c r="AB786" i="43"/>
  <c r="W787" i="43"/>
  <c r="X787" i="43"/>
  <c r="Y787" i="43"/>
  <c r="Z787" i="43"/>
  <c r="AA787" i="43"/>
  <c r="AB787" i="43"/>
  <c r="W788" i="43"/>
  <c r="X788" i="43"/>
  <c r="Y788" i="43"/>
  <c r="Z788" i="43"/>
  <c r="AA788" i="43"/>
  <c r="AB788" i="43"/>
  <c r="W789" i="43"/>
  <c r="X789" i="43"/>
  <c r="Y789" i="43"/>
  <c r="Z789" i="43"/>
  <c r="AA789" i="43"/>
  <c r="AB789" i="43"/>
  <c r="W790" i="43"/>
  <c r="X790" i="43"/>
  <c r="Y790" i="43"/>
  <c r="Z790" i="43"/>
  <c r="AA790" i="43"/>
  <c r="AB790" i="43"/>
  <c r="W791" i="43"/>
  <c r="X791" i="43"/>
  <c r="Y791" i="43"/>
  <c r="Z791" i="43"/>
  <c r="AA791" i="43"/>
  <c r="AB791" i="43"/>
  <c r="W792" i="43"/>
  <c r="X792" i="43"/>
  <c r="Y792" i="43"/>
  <c r="Z792" i="43"/>
  <c r="AA792" i="43"/>
  <c r="AB792" i="43"/>
  <c r="W793" i="43"/>
  <c r="X793" i="43"/>
  <c r="Y793" i="43"/>
  <c r="Z793" i="43"/>
  <c r="AA793" i="43"/>
  <c r="AB793" i="43"/>
  <c r="W794" i="43"/>
  <c r="X794" i="43"/>
  <c r="Y794" i="43"/>
  <c r="Z794" i="43"/>
  <c r="AA794" i="43"/>
  <c r="AB794" i="43"/>
  <c r="W795" i="43"/>
  <c r="X795" i="43"/>
  <c r="Y795" i="43"/>
  <c r="Z795" i="43"/>
  <c r="AA795" i="43"/>
  <c r="AB795" i="43"/>
  <c r="W796" i="43"/>
  <c r="X796" i="43"/>
  <c r="Y796" i="43"/>
  <c r="Z796" i="43"/>
  <c r="AA796" i="43"/>
  <c r="AB796" i="43"/>
  <c r="W797" i="43"/>
  <c r="X797" i="43"/>
  <c r="Y797" i="43"/>
  <c r="Z797" i="43"/>
  <c r="AA797" i="43"/>
  <c r="AB797" i="43"/>
  <c r="W798" i="43"/>
  <c r="X798" i="43"/>
  <c r="Y798" i="43"/>
  <c r="Z798" i="43"/>
  <c r="AA798" i="43"/>
  <c r="AB798" i="43"/>
  <c r="W799" i="43"/>
  <c r="X799" i="43"/>
  <c r="Y799" i="43"/>
  <c r="Z799" i="43"/>
  <c r="AA799" i="43"/>
  <c r="AB799" i="43"/>
  <c r="W800" i="43"/>
  <c r="X800" i="43"/>
  <c r="Y800" i="43"/>
  <c r="Z800" i="43"/>
  <c r="AA800" i="43"/>
  <c r="AB800" i="43"/>
  <c r="W801" i="43"/>
  <c r="X801" i="43"/>
  <c r="Y801" i="43"/>
  <c r="Z801" i="43"/>
  <c r="AA801" i="43"/>
  <c r="AB801" i="43"/>
  <c r="W802" i="43"/>
  <c r="X802" i="43"/>
  <c r="Y802" i="43"/>
  <c r="Z802" i="43"/>
  <c r="AA802" i="43"/>
  <c r="AB802" i="43"/>
  <c r="W803" i="43"/>
  <c r="X803" i="43"/>
  <c r="Y803" i="43"/>
  <c r="Z803" i="43"/>
  <c r="AA803" i="43"/>
  <c r="AB803" i="43"/>
  <c r="W804" i="43"/>
  <c r="X804" i="43"/>
  <c r="Y804" i="43"/>
  <c r="Z804" i="43"/>
  <c r="AA804" i="43"/>
  <c r="AB804" i="43"/>
  <c r="W805" i="43"/>
  <c r="X805" i="43"/>
  <c r="Y805" i="43"/>
  <c r="Z805" i="43"/>
  <c r="AA805" i="43"/>
  <c r="AB805" i="43"/>
  <c r="W806" i="43"/>
  <c r="X806" i="43"/>
  <c r="Y806" i="43"/>
  <c r="Z806" i="43"/>
  <c r="AA806" i="43"/>
  <c r="AB806" i="43"/>
  <c r="W807" i="43"/>
  <c r="X807" i="43"/>
  <c r="Y807" i="43"/>
  <c r="Z807" i="43"/>
  <c r="AA807" i="43"/>
  <c r="AB807" i="43"/>
  <c r="W808" i="43"/>
  <c r="X808" i="43"/>
  <c r="Y808" i="43"/>
  <c r="Z808" i="43"/>
  <c r="AA808" i="43"/>
  <c r="AB808" i="43"/>
  <c r="W809" i="43"/>
  <c r="X809" i="43"/>
  <c r="Y809" i="43"/>
  <c r="Z809" i="43"/>
  <c r="AA809" i="43"/>
  <c r="AB809" i="43"/>
  <c r="W810" i="43"/>
  <c r="X810" i="43"/>
  <c r="Y810" i="43"/>
  <c r="Z810" i="43"/>
  <c r="AA810" i="43"/>
  <c r="AB810" i="43"/>
  <c r="W811" i="43"/>
  <c r="X811" i="43"/>
  <c r="Y811" i="43"/>
  <c r="Z811" i="43"/>
  <c r="AA811" i="43"/>
  <c r="AB811" i="43"/>
  <c r="W812" i="43"/>
  <c r="X812" i="43"/>
  <c r="Y812" i="43"/>
  <c r="Z812" i="43"/>
  <c r="AA812" i="43"/>
  <c r="AB812" i="43"/>
  <c r="W813" i="43"/>
  <c r="X813" i="43"/>
  <c r="Y813" i="43"/>
  <c r="Z813" i="43"/>
  <c r="AA813" i="43"/>
  <c r="AB813" i="43"/>
  <c r="W814" i="43"/>
  <c r="X814" i="43"/>
  <c r="Y814" i="43"/>
  <c r="Z814" i="43"/>
  <c r="AA814" i="43"/>
  <c r="AB814" i="43"/>
  <c r="W815" i="43"/>
  <c r="X815" i="43"/>
  <c r="Y815" i="43"/>
  <c r="Z815" i="43"/>
  <c r="AA815" i="43"/>
  <c r="AB815" i="43"/>
  <c r="W816" i="43"/>
  <c r="X816" i="43"/>
  <c r="Y816" i="43"/>
  <c r="Z816" i="43"/>
  <c r="AA816" i="43"/>
  <c r="AB816" i="43"/>
  <c r="W817" i="43"/>
  <c r="X817" i="43"/>
  <c r="Y817" i="43"/>
  <c r="Z817" i="43"/>
  <c r="AA817" i="43"/>
  <c r="AB817" i="43"/>
  <c r="W818" i="43"/>
  <c r="X818" i="43"/>
  <c r="Y818" i="43"/>
  <c r="Z818" i="43"/>
  <c r="AA818" i="43"/>
  <c r="AB818" i="43"/>
  <c r="W819" i="43"/>
  <c r="X819" i="43"/>
  <c r="Y819" i="43"/>
  <c r="Z819" i="43"/>
  <c r="AA819" i="43"/>
  <c r="AB819" i="43"/>
  <c r="W820" i="43"/>
  <c r="X820" i="43"/>
  <c r="Y820" i="43"/>
  <c r="Z820" i="43"/>
  <c r="AA820" i="43"/>
  <c r="AB820" i="43"/>
  <c r="W821" i="43"/>
  <c r="X821" i="43"/>
  <c r="Y821" i="43"/>
  <c r="Z821" i="43"/>
  <c r="AA821" i="43"/>
  <c r="AB821" i="43"/>
  <c r="W822" i="43"/>
  <c r="X822" i="43"/>
  <c r="Y822" i="43"/>
  <c r="Z822" i="43"/>
  <c r="AA822" i="43"/>
  <c r="AB822" i="43"/>
  <c r="W823" i="43"/>
  <c r="X823" i="43"/>
  <c r="Y823" i="43"/>
  <c r="Z823" i="43"/>
  <c r="AA823" i="43"/>
  <c r="AB823" i="43"/>
  <c r="W824" i="43"/>
  <c r="X824" i="43"/>
  <c r="Y824" i="43"/>
  <c r="Z824" i="43"/>
  <c r="AA824" i="43"/>
  <c r="AB824" i="43"/>
  <c r="W825" i="43"/>
  <c r="X825" i="43"/>
  <c r="Y825" i="43"/>
  <c r="Z825" i="43"/>
  <c r="AA825" i="43"/>
  <c r="AB825" i="43"/>
  <c r="W826" i="43"/>
  <c r="X826" i="43"/>
  <c r="Y826" i="43"/>
  <c r="Z826" i="43"/>
  <c r="AA826" i="43"/>
  <c r="AB826" i="43"/>
  <c r="W827" i="43"/>
  <c r="X827" i="43"/>
  <c r="Y827" i="43"/>
  <c r="Z827" i="43"/>
  <c r="AA827" i="43"/>
  <c r="AB827" i="43"/>
  <c r="W828" i="43"/>
  <c r="X828" i="43"/>
  <c r="Y828" i="43"/>
  <c r="Z828" i="43"/>
  <c r="AA828" i="43"/>
  <c r="AB828" i="43"/>
  <c r="W829" i="43"/>
  <c r="X829" i="43"/>
  <c r="Y829" i="43"/>
  <c r="Z829" i="43"/>
  <c r="AA829" i="43"/>
  <c r="AB829" i="43"/>
  <c r="W830" i="43"/>
  <c r="X830" i="43"/>
  <c r="Y830" i="43"/>
  <c r="Z830" i="43"/>
  <c r="AA830" i="43"/>
  <c r="AB830" i="43"/>
  <c r="W831" i="43"/>
  <c r="X831" i="43"/>
  <c r="Y831" i="43"/>
  <c r="Z831" i="43"/>
  <c r="AA831" i="43"/>
  <c r="AB831" i="43"/>
  <c r="W832" i="43"/>
  <c r="X832" i="43"/>
  <c r="Y832" i="43"/>
  <c r="Z832" i="43"/>
  <c r="AA832" i="43"/>
  <c r="AB832" i="43"/>
  <c r="W833" i="43"/>
  <c r="X833" i="43"/>
  <c r="Y833" i="43"/>
  <c r="Z833" i="43"/>
  <c r="AA833" i="43"/>
  <c r="AB833" i="43"/>
  <c r="W834" i="43"/>
  <c r="X834" i="43"/>
  <c r="Y834" i="43"/>
  <c r="Z834" i="43"/>
  <c r="AA834" i="43"/>
  <c r="AB834" i="43"/>
  <c r="W835" i="43"/>
  <c r="X835" i="43"/>
  <c r="Y835" i="43"/>
  <c r="Z835" i="43"/>
  <c r="AA835" i="43"/>
  <c r="AB835" i="43"/>
  <c r="W836" i="43"/>
  <c r="X836" i="43"/>
  <c r="Y836" i="43"/>
  <c r="Z836" i="43"/>
  <c r="AA836" i="43"/>
  <c r="AB836" i="43"/>
  <c r="W837" i="43"/>
  <c r="X837" i="43"/>
  <c r="Y837" i="43"/>
  <c r="Z837" i="43"/>
  <c r="AA837" i="43"/>
  <c r="AB837" i="43"/>
  <c r="W838" i="43"/>
  <c r="X838" i="43"/>
  <c r="Y838" i="43"/>
  <c r="Z838" i="43"/>
  <c r="AA838" i="43"/>
  <c r="AB838" i="43"/>
  <c r="W839" i="43"/>
  <c r="X839" i="43"/>
  <c r="Y839" i="43"/>
  <c r="Z839" i="43"/>
  <c r="AA839" i="43"/>
  <c r="AB839" i="43"/>
  <c r="W840" i="43"/>
  <c r="X840" i="43"/>
  <c r="Y840" i="43"/>
  <c r="Z840" i="43"/>
  <c r="AA840" i="43"/>
  <c r="AB840" i="43"/>
  <c r="W841" i="43"/>
  <c r="X841" i="43"/>
  <c r="Y841" i="43"/>
  <c r="Z841" i="43"/>
  <c r="AA841" i="43"/>
  <c r="AB841" i="43"/>
  <c r="W842" i="43"/>
  <c r="X842" i="43"/>
  <c r="Y842" i="43"/>
  <c r="Z842" i="43"/>
  <c r="AA842" i="43"/>
  <c r="AB842" i="43"/>
  <c r="W843" i="43"/>
  <c r="X843" i="43"/>
  <c r="Y843" i="43"/>
  <c r="Z843" i="43"/>
  <c r="AA843" i="43"/>
  <c r="AB843" i="43"/>
  <c r="W844" i="43"/>
  <c r="X844" i="43"/>
  <c r="Y844" i="43"/>
  <c r="Z844" i="43"/>
  <c r="AA844" i="43"/>
  <c r="AB844" i="43"/>
  <c r="W845" i="43"/>
  <c r="X845" i="43"/>
  <c r="Y845" i="43"/>
  <c r="Z845" i="43"/>
  <c r="AA845" i="43"/>
  <c r="AB845" i="43"/>
  <c r="W846" i="43"/>
  <c r="X846" i="43"/>
  <c r="Y846" i="43"/>
  <c r="Z846" i="43"/>
  <c r="AA846" i="43"/>
  <c r="AB846" i="43"/>
  <c r="W847" i="43"/>
  <c r="X847" i="43"/>
  <c r="Y847" i="43"/>
  <c r="Z847" i="43"/>
  <c r="AA847" i="43"/>
  <c r="AB847" i="43"/>
  <c r="W848" i="43"/>
  <c r="X848" i="43"/>
  <c r="Y848" i="43"/>
  <c r="Z848" i="43"/>
  <c r="AA848" i="43"/>
  <c r="AB848" i="43"/>
  <c r="W849" i="43"/>
  <c r="X849" i="43"/>
  <c r="Y849" i="43"/>
  <c r="Z849" i="43"/>
  <c r="AA849" i="43"/>
  <c r="AB849" i="43"/>
  <c r="W850" i="43"/>
  <c r="X850" i="43"/>
  <c r="Y850" i="43"/>
  <c r="Z850" i="43"/>
  <c r="AA850" i="43"/>
  <c r="AB850" i="43"/>
  <c r="W851" i="43"/>
  <c r="X851" i="43"/>
  <c r="Y851" i="43"/>
  <c r="Z851" i="43"/>
  <c r="AA851" i="43"/>
  <c r="AB851" i="43"/>
  <c r="W852" i="43"/>
  <c r="X852" i="43"/>
  <c r="Y852" i="43"/>
  <c r="Z852" i="43"/>
  <c r="AA852" i="43"/>
  <c r="AB852" i="43"/>
  <c r="W853" i="43"/>
  <c r="X853" i="43"/>
  <c r="Y853" i="43"/>
  <c r="Z853" i="43"/>
  <c r="AA853" i="43"/>
  <c r="AB853" i="43"/>
  <c r="W854" i="43"/>
  <c r="X854" i="43"/>
  <c r="Y854" i="43"/>
  <c r="Z854" i="43"/>
  <c r="AA854" i="43"/>
  <c r="AB854" i="43"/>
  <c r="W855" i="43"/>
  <c r="X855" i="43"/>
  <c r="Y855" i="43"/>
  <c r="Z855" i="43"/>
  <c r="AA855" i="43"/>
  <c r="AB855" i="43"/>
  <c r="W856" i="43"/>
  <c r="X856" i="43"/>
  <c r="Y856" i="43"/>
  <c r="Z856" i="43"/>
  <c r="AA856" i="43"/>
  <c r="AB856" i="43"/>
  <c r="W857" i="43"/>
  <c r="X857" i="43"/>
  <c r="Y857" i="43"/>
  <c r="Z857" i="43"/>
  <c r="AA857" i="43"/>
  <c r="AB857" i="43"/>
  <c r="W858" i="43"/>
  <c r="X858" i="43"/>
  <c r="Y858" i="43"/>
  <c r="Z858" i="43"/>
  <c r="AA858" i="43"/>
  <c r="AB858" i="43"/>
  <c r="W859" i="43"/>
  <c r="X859" i="43"/>
  <c r="Y859" i="43"/>
  <c r="Z859" i="43"/>
  <c r="AA859" i="43"/>
  <c r="AB859" i="43"/>
  <c r="W860" i="43"/>
  <c r="X860" i="43"/>
  <c r="Y860" i="43"/>
  <c r="Z860" i="43"/>
  <c r="AA860" i="43"/>
  <c r="AB860" i="43"/>
  <c r="W861" i="43"/>
  <c r="X861" i="43"/>
  <c r="Y861" i="43"/>
  <c r="Z861" i="43"/>
  <c r="AA861" i="43"/>
  <c r="AB861" i="43"/>
  <c r="W862" i="43"/>
  <c r="X862" i="43"/>
  <c r="Y862" i="43"/>
  <c r="Z862" i="43"/>
  <c r="AA862" i="43"/>
  <c r="AB862" i="43"/>
  <c r="W863" i="43"/>
  <c r="X863" i="43"/>
  <c r="Y863" i="43"/>
  <c r="Z863" i="43"/>
  <c r="AA863" i="43"/>
  <c r="AB863" i="43"/>
  <c r="W864" i="43"/>
  <c r="X864" i="43"/>
  <c r="Y864" i="43"/>
  <c r="Z864" i="43"/>
  <c r="AA864" i="43"/>
  <c r="AB864" i="43"/>
  <c r="W865" i="43"/>
  <c r="X865" i="43"/>
  <c r="Y865" i="43"/>
  <c r="Z865" i="43"/>
  <c r="AA865" i="43"/>
  <c r="AB865" i="43"/>
  <c r="W866" i="43"/>
  <c r="X866" i="43"/>
  <c r="Y866" i="43"/>
  <c r="Z866" i="43"/>
  <c r="AA866" i="43"/>
  <c r="AB866" i="43"/>
  <c r="W867" i="43"/>
  <c r="X867" i="43"/>
  <c r="Y867" i="43"/>
  <c r="Z867" i="43"/>
  <c r="AA867" i="43"/>
  <c r="AB867" i="43"/>
  <c r="W868" i="43"/>
  <c r="X868" i="43"/>
  <c r="Y868" i="43"/>
  <c r="Z868" i="43"/>
  <c r="AA868" i="43"/>
  <c r="AB868" i="43"/>
  <c r="W869" i="43"/>
  <c r="X869" i="43"/>
  <c r="Y869" i="43"/>
  <c r="Z869" i="43"/>
  <c r="AA869" i="43"/>
  <c r="AB869" i="43"/>
  <c r="W870" i="43"/>
  <c r="X870" i="43"/>
  <c r="Y870" i="43"/>
  <c r="Z870" i="43"/>
  <c r="AA870" i="43"/>
  <c r="AB870" i="43"/>
  <c r="W871" i="43"/>
  <c r="X871" i="43"/>
  <c r="Y871" i="43"/>
  <c r="Z871" i="43"/>
  <c r="AA871" i="43"/>
  <c r="AB871" i="43"/>
  <c r="W872" i="43"/>
  <c r="X872" i="43"/>
  <c r="Y872" i="43"/>
  <c r="Z872" i="43"/>
  <c r="AA872" i="43"/>
  <c r="AB872" i="43"/>
  <c r="W873" i="43"/>
  <c r="X873" i="43"/>
  <c r="Y873" i="43"/>
  <c r="Z873" i="43"/>
  <c r="AA873" i="43"/>
  <c r="AB873" i="43"/>
  <c r="W874" i="43"/>
  <c r="X874" i="43"/>
  <c r="Y874" i="43"/>
  <c r="Z874" i="43"/>
  <c r="AA874" i="43"/>
  <c r="AB874" i="43"/>
  <c r="W875" i="43"/>
  <c r="X875" i="43"/>
  <c r="Y875" i="43"/>
  <c r="Z875" i="43"/>
  <c r="AA875" i="43"/>
  <c r="AB875" i="43"/>
  <c r="W876" i="43"/>
  <c r="X876" i="43"/>
  <c r="Y876" i="43"/>
  <c r="Z876" i="43"/>
  <c r="AA876" i="43"/>
  <c r="AB876" i="43"/>
  <c r="W877" i="43"/>
  <c r="X877" i="43"/>
  <c r="Y877" i="43"/>
  <c r="Z877" i="43"/>
  <c r="AA877" i="43"/>
  <c r="AB877" i="43"/>
  <c r="W878" i="43"/>
  <c r="X878" i="43"/>
  <c r="Y878" i="43"/>
  <c r="Z878" i="43"/>
  <c r="AA878" i="43"/>
  <c r="AB878" i="43"/>
  <c r="W879" i="43"/>
  <c r="X879" i="43"/>
  <c r="Y879" i="43"/>
  <c r="Z879" i="43"/>
  <c r="AA879" i="43"/>
  <c r="AB879" i="43"/>
  <c r="W880" i="43"/>
  <c r="X880" i="43"/>
  <c r="Y880" i="43"/>
  <c r="Z880" i="43"/>
  <c r="AA880" i="43"/>
  <c r="AB880" i="43"/>
  <c r="W881" i="43"/>
  <c r="X881" i="43"/>
  <c r="Y881" i="43"/>
  <c r="Z881" i="43"/>
  <c r="AA881" i="43"/>
  <c r="AB881" i="43"/>
  <c r="W882" i="43"/>
  <c r="X882" i="43"/>
  <c r="Y882" i="43"/>
  <c r="Z882" i="43"/>
  <c r="AA882" i="43"/>
  <c r="AB882" i="43"/>
  <c r="W883" i="43"/>
  <c r="X883" i="43"/>
  <c r="Y883" i="43"/>
  <c r="Z883" i="43"/>
  <c r="AA883" i="43"/>
  <c r="AB883" i="43"/>
  <c r="W884" i="43"/>
  <c r="X884" i="43"/>
  <c r="Y884" i="43"/>
  <c r="Z884" i="43"/>
  <c r="AA884" i="43"/>
  <c r="AB884" i="43"/>
  <c r="W885" i="43"/>
  <c r="X885" i="43"/>
  <c r="Y885" i="43"/>
  <c r="Z885" i="43"/>
  <c r="AA885" i="43"/>
  <c r="AB885" i="43"/>
  <c r="W886" i="43"/>
  <c r="X886" i="43"/>
  <c r="Y886" i="43"/>
  <c r="Z886" i="43"/>
  <c r="AA886" i="43"/>
  <c r="AB886" i="43"/>
  <c r="W887" i="43"/>
  <c r="X887" i="43"/>
  <c r="Y887" i="43"/>
  <c r="Z887" i="43"/>
  <c r="AA887" i="43"/>
  <c r="AB887" i="43"/>
  <c r="W888" i="43"/>
  <c r="X888" i="43"/>
  <c r="Y888" i="43"/>
  <c r="Z888" i="43"/>
  <c r="AA888" i="43"/>
  <c r="AB888" i="43"/>
  <c r="W889" i="43"/>
  <c r="X889" i="43"/>
  <c r="Y889" i="43"/>
  <c r="Z889" i="43"/>
  <c r="AA889" i="43"/>
  <c r="AB889" i="43"/>
  <c r="W890" i="43"/>
  <c r="X890" i="43"/>
  <c r="Y890" i="43"/>
  <c r="Z890" i="43"/>
  <c r="AA890" i="43"/>
  <c r="AB890" i="43"/>
  <c r="W891" i="43"/>
  <c r="X891" i="43"/>
  <c r="Y891" i="43"/>
  <c r="Z891" i="43"/>
  <c r="AA891" i="43"/>
  <c r="AB891" i="43"/>
  <c r="W892" i="43"/>
  <c r="X892" i="43"/>
  <c r="Y892" i="43"/>
  <c r="Z892" i="43"/>
  <c r="AA892" i="43"/>
  <c r="AB892" i="43"/>
  <c r="W893" i="43"/>
  <c r="X893" i="43"/>
  <c r="Y893" i="43"/>
  <c r="Z893" i="43"/>
  <c r="AA893" i="43"/>
  <c r="AB893" i="43"/>
  <c r="W894" i="43"/>
  <c r="X894" i="43"/>
  <c r="Y894" i="43"/>
  <c r="Z894" i="43"/>
  <c r="AA894" i="43"/>
  <c r="AB894" i="43"/>
  <c r="W895" i="43"/>
  <c r="X895" i="43"/>
  <c r="Y895" i="43"/>
  <c r="Z895" i="43"/>
  <c r="AA895" i="43"/>
  <c r="AB895" i="43"/>
  <c r="W896" i="43"/>
  <c r="X896" i="43"/>
  <c r="Y896" i="43"/>
  <c r="Z896" i="43"/>
  <c r="AA896" i="43"/>
  <c r="AB896" i="43"/>
  <c r="W897" i="43"/>
  <c r="X897" i="43"/>
  <c r="Y897" i="43"/>
  <c r="Z897" i="43"/>
  <c r="AA897" i="43"/>
  <c r="AB897" i="43"/>
  <c r="W898" i="43"/>
  <c r="X898" i="43"/>
  <c r="Y898" i="43"/>
  <c r="Z898" i="43"/>
  <c r="AA898" i="43"/>
  <c r="AB898" i="43"/>
  <c r="W899" i="43"/>
  <c r="X899" i="43"/>
  <c r="Y899" i="43"/>
  <c r="Z899" i="43"/>
  <c r="AA899" i="43"/>
  <c r="AB899" i="43"/>
  <c r="W900" i="43"/>
  <c r="X900" i="43"/>
  <c r="Y900" i="43"/>
  <c r="Z900" i="43"/>
  <c r="AA900" i="43"/>
  <c r="AB900" i="43"/>
  <c r="W901" i="43"/>
  <c r="X901" i="43"/>
  <c r="Y901" i="43"/>
  <c r="Z901" i="43"/>
  <c r="AA901" i="43"/>
  <c r="AB901" i="43"/>
  <c r="W902" i="43"/>
  <c r="X902" i="43"/>
  <c r="Y902" i="43"/>
  <c r="Z902" i="43"/>
  <c r="AA902" i="43"/>
  <c r="AB902" i="43"/>
  <c r="W903" i="43"/>
  <c r="X903" i="43"/>
  <c r="Y903" i="43"/>
  <c r="Z903" i="43"/>
  <c r="AA903" i="43"/>
  <c r="AB903" i="43"/>
  <c r="W904" i="43"/>
  <c r="X904" i="43"/>
  <c r="Y904" i="43"/>
  <c r="Z904" i="43"/>
  <c r="AA904" i="43"/>
  <c r="AB904" i="43"/>
  <c r="W905" i="43"/>
  <c r="X905" i="43"/>
  <c r="Y905" i="43"/>
  <c r="Z905" i="43"/>
  <c r="AA905" i="43"/>
  <c r="AB905" i="43"/>
  <c r="W906" i="43"/>
  <c r="X906" i="43"/>
  <c r="Y906" i="43"/>
  <c r="Z906" i="43"/>
  <c r="AA906" i="43"/>
  <c r="AB906" i="43"/>
  <c r="W907" i="43"/>
  <c r="X907" i="43"/>
  <c r="Y907" i="43"/>
  <c r="Z907" i="43"/>
  <c r="AA907" i="43"/>
  <c r="AB907" i="43"/>
  <c r="W908" i="43"/>
  <c r="X908" i="43"/>
  <c r="Y908" i="43"/>
  <c r="Z908" i="43"/>
  <c r="AA908" i="43"/>
  <c r="AB908" i="43"/>
  <c r="W909" i="43"/>
  <c r="X909" i="43"/>
  <c r="Y909" i="43"/>
  <c r="Z909" i="43"/>
  <c r="AA909" i="43"/>
  <c r="AB909" i="43"/>
  <c r="W910" i="43"/>
  <c r="X910" i="43"/>
  <c r="Y910" i="43"/>
  <c r="Z910" i="43"/>
  <c r="AA910" i="43"/>
  <c r="AB910" i="43"/>
  <c r="W911" i="43"/>
  <c r="X911" i="43"/>
  <c r="Y911" i="43"/>
  <c r="Z911" i="43"/>
  <c r="AA911" i="43"/>
  <c r="AB911" i="43"/>
  <c r="W912" i="43"/>
  <c r="X912" i="43"/>
  <c r="Y912" i="43"/>
  <c r="Z912" i="43"/>
  <c r="AA912" i="43"/>
  <c r="AB912" i="43"/>
  <c r="W913" i="43"/>
  <c r="X913" i="43"/>
  <c r="Y913" i="43"/>
  <c r="Z913" i="43"/>
  <c r="AA913" i="43"/>
  <c r="AB913" i="43"/>
  <c r="W914" i="43"/>
  <c r="X914" i="43"/>
  <c r="Y914" i="43"/>
  <c r="Z914" i="43"/>
  <c r="AA914" i="43"/>
  <c r="AB914" i="43"/>
  <c r="W915" i="43"/>
  <c r="X915" i="43"/>
  <c r="Y915" i="43"/>
  <c r="Z915" i="43"/>
  <c r="AA915" i="43"/>
  <c r="AB915" i="43"/>
  <c r="W916" i="43"/>
  <c r="X916" i="43"/>
  <c r="Y916" i="43"/>
  <c r="Z916" i="43"/>
  <c r="AA916" i="43"/>
  <c r="AB916" i="43"/>
  <c r="W917" i="43"/>
  <c r="X917" i="43"/>
  <c r="Y917" i="43"/>
  <c r="Z917" i="43"/>
  <c r="AA917" i="43"/>
  <c r="AB917" i="43"/>
  <c r="W918" i="43"/>
  <c r="X918" i="43"/>
  <c r="Y918" i="43"/>
  <c r="Z918" i="43"/>
  <c r="AA918" i="43"/>
  <c r="AB918" i="43"/>
  <c r="W919" i="43"/>
  <c r="X919" i="43"/>
  <c r="Y919" i="43"/>
  <c r="Z919" i="43"/>
  <c r="AA919" i="43"/>
  <c r="AB919" i="43"/>
  <c r="W920" i="43"/>
  <c r="X920" i="43"/>
  <c r="Y920" i="43"/>
  <c r="Z920" i="43"/>
  <c r="AA920" i="43"/>
  <c r="AB920" i="43"/>
  <c r="W921" i="43"/>
  <c r="X921" i="43"/>
  <c r="Y921" i="43"/>
  <c r="Z921" i="43"/>
  <c r="AA921" i="43"/>
  <c r="AB921" i="43"/>
  <c r="W922" i="43"/>
  <c r="X922" i="43"/>
  <c r="Y922" i="43"/>
  <c r="Z922" i="43"/>
  <c r="AA922" i="43"/>
  <c r="AB922" i="43"/>
  <c r="W923" i="43"/>
  <c r="X923" i="43"/>
  <c r="Y923" i="43"/>
  <c r="Z923" i="43"/>
  <c r="AA923" i="43"/>
  <c r="AB923" i="43"/>
  <c r="W924" i="43"/>
  <c r="X924" i="43"/>
  <c r="Y924" i="43"/>
  <c r="Z924" i="43"/>
  <c r="AA924" i="43"/>
  <c r="AB924" i="43"/>
  <c r="W925" i="43"/>
  <c r="X925" i="43"/>
  <c r="Y925" i="43"/>
  <c r="Z925" i="43"/>
  <c r="AA925" i="43"/>
  <c r="AB925" i="43"/>
  <c r="W926" i="43"/>
  <c r="X926" i="43"/>
  <c r="Y926" i="43"/>
  <c r="Z926" i="43"/>
  <c r="AA926" i="43"/>
  <c r="AB926" i="43"/>
  <c r="W927" i="43"/>
  <c r="X927" i="43"/>
  <c r="Y927" i="43"/>
  <c r="Z927" i="43"/>
  <c r="AA927" i="43"/>
  <c r="AB927" i="43"/>
  <c r="W928" i="43"/>
  <c r="X928" i="43"/>
  <c r="Y928" i="43"/>
  <c r="Z928" i="43"/>
  <c r="AA928" i="43"/>
  <c r="AB928" i="43"/>
  <c r="W929" i="43"/>
  <c r="X929" i="43"/>
  <c r="Y929" i="43"/>
  <c r="Z929" i="43"/>
  <c r="AA929" i="43"/>
  <c r="AB929" i="43"/>
  <c r="W930" i="43"/>
  <c r="X930" i="43"/>
  <c r="Y930" i="43"/>
  <c r="Z930" i="43"/>
  <c r="AA930" i="43"/>
  <c r="AB930" i="43"/>
  <c r="W931" i="43"/>
  <c r="X931" i="43"/>
  <c r="Y931" i="43"/>
  <c r="Z931" i="43"/>
  <c r="AA931" i="43"/>
  <c r="AB931" i="43"/>
  <c r="W932" i="43"/>
  <c r="X932" i="43"/>
  <c r="Y932" i="43"/>
  <c r="Z932" i="43"/>
  <c r="AA932" i="43"/>
  <c r="AB932" i="43"/>
  <c r="W933" i="43"/>
  <c r="X933" i="43"/>
  <c r="Y933" i="43"/>
  <c r="Z933" i="43"/>
  <c r="AA933" i="43"/>
  <c r="AB933" i="43"/>
  <c r="W934" i="43"/>
  <c r="X934" i="43"/>
  <c r="Y934" i="43"/>
  <c r="Z934" i="43"/>
  <c r="AA934" i="43"/>
  <c r="AB934" i="43"/>
  <c r="W935" i="43"/>
  <c r="X935" i="43"/>
  <c r="Y935" i="43"/>
  <c r="Z935" i="43"/>
  <c r="AA935" i="43"/>
  <c r="AB935" i="43"/>
  <c r="W936" i="43"/>
  <c r="X936" i="43"/>
  <c r="Y936" i="43"/>
  <c r="Z936" i="43"/>
  <c r="AA936" i="43"/>
  <c r="AB936" i="43"/>
  <c r="W937" i="43"/>
  <c r="X937" i="43"/>
  <c r="Y937" i="43"/>
  <c r="Z937" i="43"/>
  <c r="AA937" i="43"/>
  <c r="AB937" i="43"/>
  <c r="W938" i="43"/>
  <c r="X938" i="43"/>
  <c r="Y938" i="43"/>
  <c r="Z938" i="43"/>
  <c r="AA938" i="43"/>
  <c r="AB938" i="43"/>
  <c r="W939" i="43"/>
  <c r="X939" i="43"/>
  <c r="Y939" i="43"/>
  <c r="Z939" i="43"/>
  <c r="AA939" i="43"/>
  <c r="AB939" i="43"/>
  <c r="W940" i="43"/>
  <c r="X940" i="43"/>
  <c r="Y940" i="43"/>
  <c r="Z940" i="43"/>
  <c r="AA940" i="43"/>
  <c r="AB940" i="43"/>
  <c r="W941" i="43"/>
  <c r="X941" i="43"/>
  <c r="Y941" i="43"/>
  <c r="Z941" i="43"/>
  <c r="AA941" i="43"/>
  <c r="AB941" i="43"/>
  <c r="W942" i="43"/>
  <c r="X942" i="43"/>
  <c r="Y942" i="43"/>
  <c r="Z942" i="43"/>
  <c r="AA942" i="43"/>
  <c r="AB942" i="43"/>
  <c r="W943" i="43"/>
  <c r="X943" i="43"/>
  <c r="Y943" i="43"/>
  <c r="Z943" i="43"/>
  <c r="AA943" i="43"/>
  <c r="AB943" i="43"/>
  <c r="W944" i="43"/>
  <c r="X944" i="43"/>
  <c r="Y944" i="43"/>
  <c r="Z944" i="43"/>
  <c r="AA944" i="43"/>
  <c r="AB944" i="43"/>
  <c r="W945" i="43"/>
  <c r="X945" i="43"/>
  <c r="Y945" i="43"/>
  <c r="Z945" i="43"/>
  <c r="AA945" i="43"/>
  <c r="AB945" i="43"/>
  <c r="W946" i="43"/>
  <c r="X946" i="43"/>
  <c r="Y946" i="43"/>
  <c r="Z946" i="43"/>
  <c r="AA946" i="43"/>
  <c r="AB946" i="43"/>
  <c r="W947" i="43"/>
  <c r="X947" i="43"/>
  <c r="Y947" i="43"/>
  <c r="Z947" i="43"/>
  <c r="AA947" i="43"/>
  <c r="AB947" i="43"/>
  <c r="W948" i="43"/>
  <c r="X948" i="43"/>
  <c r="Y948" i="43"/>
  <c r="Z948" i="43"/>
  <c r="AA948" i="43"/>
  <c r="AB948" i="43"/>
  <c r="W949" i="43"/>
  <c r="X949" i="43"/>
  <c r="Y949" i="43"/>
  <c r="Z949" i="43"/>
  <c r="AA949" i="43"/>
  <c r="AB949" i="43"/>
  <c r="W950" i="43"/>
  <c r="X950" i="43"/>
  <c r="Y950" i="43"/>
  <c r="Z950" i="43"/>
  <c r="AA950" i="43"/>
  <c r="AB950" i="43"/>
  <c r="W951" i="43"/>
  <c r="X951" i="43"/>
  <c r="Y951" i="43"/>
  <c r="Z951" i="43"/>
  <c r="AA951" i="43"/>
  <c r="AB951" i="43"/>
  <c r="W952" i="43"/>
  <c r="X952" i="43"/>
  <c r="Y952" i="43"/>
  <c r="Z952" i="43"/>
  <c r="AA952" i="43"/>
  <c r="AB952" i="43"/>
  <c r="W953" i="43"/>
  <c r="X953" i="43"/>
  <c r="Y953" i="43"/>
  <c r="Z953" i="43"/>
  <c r="AA953" i="43"/>
  <c r="AB953" i="43"/>
  <c r="W954" i="43"/>
  <c r="X954" i="43"/>
  <c r="Y954" i="43"/>
  <c r="Z954" i="43"/>
  <c r="AA954" i="43"/>
  <c r="AB954" i="43"/>
  <c r="W955" i="43"/>
  <c r="X955" i="43"/>
  <c r="Y955" i="43"/>
  <c r="Z955" i="43"/>
  <c r="AA955" i="43"/>
  <c r="AB955" i="43"/>
  <c r="W956" i="43"/>
  <c r="X956" i="43"/>
  <c r="Y956" i="43"/>
  <c r="Z956" i="43"/>
  <c r="AA956" i="43"/>
  <c r="AB956" i="43"/>
  <c r="W957" i="43"/>
  <c r="X957" i="43"/>
  <c r="Y957" i="43"/>
  <c r="Z957" i="43"/>
  <c r="AA957" i="43"/>
  <c r="AB957" i="43"/>
  <c r="W958" i="43"/>
  <c r="X958" i="43"/>
  <c r="Y958" i="43"/>
  <c r="Z958" i="43"/>
  <c r="AA958" i="43"/>
  <c r="AB958" i="43"/>
  <c r="W959" i="43"/>
  <c r="X959" i="43"/>
  <c r="Y959" i="43"/>
  <c r="Z959" i="43"/>
  <c r="AA959" i="43"/>
  <c r="AB959" i="43"/>
  <c r="W960" i="43"/>
  <c r="X960" i="43"/>
  <c r="Y960" i="43"/>
  <c r="Z960" i="43"/>
  <c r="AA960" i="43"/>
  <c r="AB960" i="43"/>
  <c r="W961" i="43"/>
  <c r="X961" i="43"/>
  <c r="Y961" i="43"/>
  <c r="Z961" i="43"/>
  <c r="AA961" i="43"/>
  <c r="AB961" i="43"/>
  <c r="W962" i="43"/>
  <c r="X962" i="43"/>
  <c r="Y962" i="43"/>
  <c r="Z962" i="43"/>
  <c r="AA962" i="43"/>
  <c r="AB962" i="43"/>
  <c r="W963" i="43"/>
  <c r="X963" i="43"/>
  <c r="Y963" i="43"/>
  <c r="Z963" i="43"/>
  <c r="AA963" i="43"/>
  <c r="AB963" i="43"/>
  <c r="W964" i="43"/>
  <c r="X964" i="43"/>
  <c r="Y964" i="43"/>
  <c r="Z964" i="43"/>
  <c r="AA964" i="43"/>
  <c r="AB964" i="43"/>
  <c r="W965" i="43"/>
  <c r="X965" i="43"/>
  <c r="Y965" i="43"/>
  <c r="Z965" i="43"/>
  <c r="AA965" i="43"/>
  <c r="AB965" i="43"/>
  <c r="W966" i="43"/>
  <c r="X966" i="43"/>
  <c r="Y966" i="43"/>
  <c r="Z966" i="43"/>
  <c r="AA966" i="43"/>
  <c r="AB966" i="43"/>
  <c r="W967" i="43"/>
  <c r="X967" i="43"/>
  <c r="Y967" i="43"/>
  <c r="Z967" i="43"/>
  <c r="AA967" i="43"/>
  <c r="AB967" i="43"/>
  <c r="W968" i="43"/>
  <c r="X968" i="43"/>
  <c r="Y968" i="43"/>
  <c r="Z968" i="43"/>
  <c r="AA968" i="43"/>
  <c r="AB968" i="43"/>
  <c r="W969" i="43"/>
  <c r="X969" i="43"/>
  <c r="Y969" i="43"/>
  <c r="Z969" i="43"/>
  <c r="AA969" i="43"/>
  <c r="AB969" i="43"/>
  <c r="W970" i="43"/>
  <c r="X970" i="43"/>
  <c r="Y970" i="43"/>
  <c r="Z970" i="43"/>
  <c r="AA970" i="43"/>
  <c r="AB970" i="43"/>
  <c r="W971" i="43"/>
  <c r="X971" i="43"/>
  <c r="Y971" i="43"/>
  <c r="Z971" i="43"/>
  <c r="AA971" i="43"/>
  <c r="AB971" i="43"/>
  <c r="W972" i="43"/>
  <c r="X972" i="43"/>
  <c r="Y972" i="43"/>
  <c r="Z972" i="43"/>
  <c r="AA972" i="43"/>
  <c r="AB972" i="43"/>
  <c r="W973" i="43"/>
  <c r="X973" i="43"/>
  <c r="Y973" i="43"/>
  <c r="Z973" i="43"/>
  <c r="AA973" i="43"/>
  <c r="AB973" i="43"/>
  <c r="W974" i="43"/>
  <c r="X974" i="43"/>
  <c r="Y974" i="43"/>
  <c r="Z974" i="43"/>
  <c r="AA974" i="43"/>
  <c r="AB974" i="43"/>
  <c r="W975" i="43"/>
  <c r="X975" i="43"/>
  <c r="Y975" i="43"/>
  <c r="Z975" i="43"/>
  <c r="AA975" i="43"/>
  <c r="AB975" i="43"/>
  <c r="W976" i="43"/>
  <c r="X976" i="43"/>
  <c r="Y976" i="43"/>
  <c r="Z976" i="43"/>
  <c r="AA976" i="43"/>
  <c r="AB976" i="43"/>
  <c r="W977" i="43"/>
  <c r="X977" i="43"/>
  <c r="Y977" i="43"/>
  <c r="Z977" i="43"/>
  <c r="AA977" i="43"/>
  <c r="AB977" i="43"/>
  <c r="W978" i="43"/>
  <c r="X978" i="43"/>
  <c r="Y978" i="43"/>
  <c r="Z978" i="43"/>
  <c r="AA978" i="43"/>
  <c r="AB978" i="43"/>
  <c r="W979" i="43"/>
  <c r="X979" i="43"/>
  <c r="Y979" i="43"/>
  <c r="Z979" i="43"/>
  <c r="AA979" i="43"/>
  <c r="AB979" i="43"/>
  <c r="W980" i="43"/>
  <c r="X980" i="43"/>
  <c r="Y980" i="43"/>
  <c r="Z980" i="43"/>
  <c r="AA980" i="43"/>
  <c r="AB980" i="43"/>
  <c r="W981" i="43"/>
  <c r="X981" i="43"/>
  <c r="Y981" i="43"/>
  <c r="Z981" i="43"/>
  <c r="AA981" i="43"/>
  <c r="AB981" i="43"/>
  <c r="W982" i="43"/>
  <c r="X982" i="43"/>
  <c r="Y982" i="43"/>
  <c r="Z982" i="43"/>
  <c r="AA982" i="43"/>
  <c r="AB982" i="43"/>
  <c r="W983" i="43"/>
  <c r="X983" i="43"/>
  <c r="Y983" i="43"/>
  <c r="Z983" i="43"/>
  <c r="AA983" i="43"/>
  <c r="AB983" i="43"/>
  <c r="W984" i="43"/>
  <c r="X984" i="43"/>
  <c r="Y984" i="43"/>
  <c r="Z984" i="43"/>
  <c r="AA984" i="43"/>
  <c r="AB984" i="43"/>
  <c r="W985" i="43"/>
  <c r="X985" i="43"/>
  <c r="Y985" i="43"/>
  <c r="Z985" i="43"/>
  <c r="AA985" i="43"/>
  <c r="AB985" i="43"/>
  <c r="W986" i="43"/>
  <c r="X986" i="43"/>
  <c r="Y986" i="43"/>
  <c r="Z986" i="43"/>
  <c r="AA986" i="43"/>
  <c r="AB986" i="43"/>
  <c r="W987" i="43"/>
  <c r="X987" i="43"/>
  <c r="Y987" i="43"/>
  <c r="Z987" i="43"/>
  <c r="AA987" i="43"/>
  <c r="AB987" i="43"/>
  <c r="W988" i="43"/>
  <c r="X988" i="43"/>
  <c r="Y988" i="43"/>
  <c r="Z988" i="43"/>
  <c r="AA988" i="43"/>
  <c r="AB988" i="43"/>
  <c r="W989" i="43"/>
  <c r="X989" i="43"/>
  <c r="Y989" i="43"/>
  <c r="Z989" i="43"/>
  <c r="AA989" i="43"/>
  <c r="AB989" i="43"/>
  <c r="W990" i="43"/>
  <c r="X990" i="43"/>
  <c r="Y990" i="43"/>
  <c r="Z990" i="43"/>
  <c r="AA990" i="43"/>
  <c r="AB990" i="43"/>
  <c r="W991" i="43"/>
  <c r="X991" i="43"/>
  <c r="Y991" i="43"/>
  <c r="Z991" i="43"/>
  <c r="AA991" i="43"/>
  <c r="AB991" i="43"/>
  <c r="W992" i="43"/>
  <c r="X992" i="43"/>
  <c r="Y992" i="43"/>
  <c r="Z992" i="43"/>
  <c r="AA992" i="43"/>
  <c r="AB992" i="43"/>
  <c r="W993" i="43"/>
  <c r="X993" i="43"/>
  <c r="Y993" i="43"/>
  <c r="Z993" i="43"/>
  <c r="AA993" i="43"/>
  <c r="AB993" i="43"/>
  <c r="W994" i="43"/>
  <c r="X994" i="43"/>
  <c r="Y994" i="43"/>
  <c r="Z994" i="43"/>
  <c r="AA994" i="43"/>
  <c r="AB994" i="43"/>
  <c r="W995" i="43"/>
  <c r="X995" i="43"/>
  <c r="Y995" i="43"/>
  <c r="Z995" i="43"/>
  <c r="AA995" i="43"/>
  <c r="AB995" i="43"/>
  <c r="W996" i="43"/>
  <c r="X996" i="43"/>
  <c r="Y996" i="43"/>
  <c r="Z996" i="43"/>
  <c r="AA996" i="43"/>
  <c r="AB996" i="43"/>
  <c r="W997" i="43"/>
  <c r="X997" i="43"/>
  <c r="Y997" i="43"/>
  <c r="Z997" i="43"/>
  <c r="AA997" i="43"/>
  <c r="AB997" i="43"/>
  <c r="W998" i="43"/>
  <c r="X998" i="43"/>
  <c r="Y998" i="43"/>
  <c r="Z998" i="43"/>
  <c r="AA998" i="43"/>
  <c r="AB998" i="43"/>
  <c r="W999" i="43"/>
  <c r="X999" i="43"/>
  <c r="Y999" i="43"/>
  <c r="Z999" i="43"/>
  <c r="AA999" i="43"/>
  <c r="AB999" i="43"/>
  <c r="W1000" i="43"/>
  <c r="X1000" i="43"/>
  <c r="Y1000" i="43"/>
  <c r="Z1000" i="43"/>
  <c r="AA1000" i="43"/>
  <c r="AB1000" i="43"/>
  <c r="W1001" i="43"/>
  <c r="X1001" i="43"/>
  <c r="Y1001" i="43"/>
  <c r="Z1001" i="43"/>
  <c r="AA1001" i="43"/>
  <c r="AB1001" i="43"/>
  <c r="W1002" i="43"/>
  <c r="X1002" i="43"/>
  <c r="Y1002" i="43"/>
  <c r="Z1002" i="43"/>
  <c r="AA1002" i="43"/>
  <c r="AB1002" i="43"/>
  <c r="W1003" i="43"/>
  <c r="X1003" i="43"/>
  <c r="Y1003" i="43"/>
  <c r="Z1003" i="43"/>
  <c r="AA1003" i="43"/>
  <c r="AB1003" i="43"/>
  <c r="W1004" i="43"/>
  <c r="X1004" i="43"/>
  <c r="Y1004" i="43"/>
  <c r="Z1004" i="43"/>
  <c r="AA1004" i="43"/>
  <c r="AB1004" i="43"/>
  <c r="W1005" i="43"/>
  <c r="X1005" i="43"/>
  <c r="Y1005" i="43"/>
  <c r="Z1005" i="43"/>
  <c r="AA1005" i="43"/>
  <c r="AB1005" i="43"/>
  <c r="W1006" i="43"/>
  <c r="X1006" i="43"/>
  <c r="Y1006" i="43"/>
  <c r="Z1006" i="43"/>
  <c r="AA1006" i="43"/>
  <c r="AB1006" i="43"/>
  <c r="W1007" i="43"/>
  <c r="X1007" i="43"/>
  <c r="Y1007" i="43"/>
  <c r="Z1007" i="43"/>
  <c r="AA1007" i="43"/>
  <c r="AB1007" i="43"/>
  <c r="W1008" i="43"/>
  <c r="X1008" i="43"/>
  <c r="Y1008" i="43"/>
  <c r="Z1008" i="43"/>
  <c r="AA1008" i="43"/>
  <c r="AB1008" i="43"/>
  <c r="W1009" i="43"/>
  <c r="X1009" i="43"/>
  <c r="Y1009" i="43"/>
  <c r="Z1009" i="43"/>
  <c r="AA1009" i="43"/>
  <c r="AB1009" i="43"/>
  <c r="W1010" i="43"/>
  <c r="X1010" i="43"/>
  <c r="Y1010" i="43"/>
  <c r="Z1010" i="43"/>
  <c r="AA1010" i="43"/>
  <c r="AB1010" i="43"/>
  <c r="W1011" i="43"/>
  <c r="X1011" i="43"/>
  <c r="Y1011" i="43"/>
  <c r="Z1011" i="43"/>
  <c r="AA1011" i="43"/>
  <c r="AB1011" i="43"/>
  <c r="W1012" i="43"/>
  <c r="X1012" i="43"/>
  <c r="Y1012" i="43"/>
  <c r="Z1012" i="43"/>
  <c r="AA1012" i="43"/>
  <c r="AB1012" i="43"/>
  <c r="W1013" i="43"/>
  <c r="X1013" i="43"/>
  <c r="Y1013" i="43"/>
  <c r="Z1013" i="43"/>
  <c r="AA1013" i="43"/>
  <c r="AB1013" i="43"/>
  <c r="W1014" i="43"/>
  <c r="X1014" i="43"/>
  <c r="Y1014" i="43"/>
  <c r="Z1014" i="43"/>
  <c r="AA1014" i="43"/>
  <c r="AB1014" i="43"/>
  <c r="W1015" i="43"/>
  <c r="X1015" i="43"/>
  <c r="Y1015" i="43"/>
  <c r="Z1015" i="43"/>
  <c r="AA1015" i="43"/>
  <c r="AB1015" i="43"/>
  <c r="W1016" i="43"/>
  <c r="X1016" i="43"/>
  <c r="Y1016" i="43"/>
  <c r="Z1016" i="43"/>
  <c r="AA1016" i="43"/>
  <c r="AB1016" i="43"/>
  <c r="W1017" i="43"/>
  <c r="X1017" i="43"/>
  <c r="Y1017" i="43"/>
  <c r="Z1017" i="43"/>
  <c r="AA1017" i="43"/>
  <c r="AB1017" i="43"/>
  <c r="W1018" i="43"/>
  <c r="X1018" i="43"/>
  <c r="Y1018" i="43"/>
  <c r="Z1018" i="43"/>
  <c r="AA1018" i="43"/>
  <c r="AB1018" i="43"/>
  <c r="W1019" i="43"/>
  <c r="X1019" i="43"/>
  <c r="Y1019" i="43"/>
  <c r="Z1019" i="43"/>
  <c r="AA1019" i="43"/>
  <c r="AB1019" i="43"/>
  <c r="W1020" i="43"/>
  <c r="X1020" i="43"/>
  <c r="Y1020" i="43"/>
  <c r="Z1020" i="43"/>
  <c r="AA1020" i="43"/>
  <c r="AB1020" i="43"/>
  <c r="W1021" i="43"/>
  <c r="X1021" i="43"/>
  <c r="Y1021" i="43"/>
  <c r="Z1021" i="43"/>
  <c r="AA1021" i="43"/>
  <c r="AB1021" i="43"/>
  <c r="W1022" i="43"/>
  <c r="X1022" i="43"/>
  <c r="Y1022" i="43"/>
  <c r="Z1022" i="43"/>
  <c r="AA1022" i="43"/>
  <c r="AB1022" i="43"/>
  <c r="W1023" i="43"/>
  <c r="X1023" i="43"/>
  <c r="Y1023" i="43"/>
  <c r="Z1023" i="43"/>
  <c r="AA1023" i="43"/>
  <c r="AB1023" i="43"/>
  <c r="W1024" i="43"/>
  <c r="X1024" i="43"/>
  <c r="Y1024" i="43"/>
  <c r="Z1024" i="43"/>
  <c r="AA1024" i="43"/>
  <c r="AB1024" i="43"/>
  <c r="W1025" i="43"/>
  <c r="X1025" i="43"/>
  <c r="Y1025" i="43"/>
  <c r="Z1025" i="43"/>
  <c r="AA1025" i="43"/>
  <c r="AB1025" i="43"/>
  <c r="W1026" i="43"/>
  <c r="X1026" i="43"/>
  <c r="Y1026" i="43"/>
  <c r="Z1026" i="43"/>
  <c r="AA1026" i="43"/>
  <c r="AB1026" i="43"/>
  <c r="W1027" i="43"/>
  <c r="X1027" i="43"/>
  <c r="Y1027" i="43"/>
  <c r="Z1027" i="43"/>
  <c r="AA1027" i="43"/>
  <c r="AB1027" i="43"/>
  <c r="W1028" i="43"/>
  <c r="X1028" i="43"/>
  <c r="Y1028" i="43"/>
  <c r="Z1028" i="43"/>
  <c r="AA1028" i="43"/>
  <c r="AB1028" i="43"/>
  <c r="W1029" i="43"/>
  <c r="X1029" i="43"/>
  <c r="Y1029" i="43"/>
  <c r="Z1029" i="43"/>
  <c r="AA1029" i="43"/>
  <c r="AB1029" i="43"/>
  <c r="W1030" i="43"/>
  <c r="X1030" i="43"/>
  <c r="Y1030" i="43"/>
  <c r="Z1030" i="43"/>
  <c r="AA1030" i="43"/>
  <c r="AB1030" i="43"/>
  <c r="W1031" i="43"/>
  <c r="X1031" i="43"/>
  <c r="Y1031" i="43"/>
  <c r="Z1031" i="43"/>
  <c r="AA1031" i="43"/>
  <c r="AB1031" i="43"/>
  <c r="W1032" i="43"/>
  <c r="X1032" i="43"/>
  <c r="Y1032" i="43"/>
  <c r="Z1032" i="43"/>
  <c r="AA1032" i="43"/>
  <c r="AB1032" i="43"/>
  <c r="W1033" i="43"/>
  <c r="X1033" i="43"/>
  <c r="Y1033" i="43"/>
  <c r="Z1033" i="43"/>
  <c r="AA1033" i="43"/>
  <c r="AB1033" i="43"/>
  <c r="W1034" i="43"/>
  <c r="X1034" i="43"/>
  <c r="Y1034" i="43"/>
  <c r="Z1034" i="43"/>
  <c r="AA1034" i="43"/>
  <c r="AB1034" i="43"/>
  <c r="W1035" i="43"/>
  <c r="X1035" i="43"/>
  <c r="Y1035" i="43"/>
  <c r="Z1035" i="43"/>
  <c r="AA1035" i="43"/>
  <c r="AB1035" i="43"/>
  <c r="W1036" i="43"/>
  <c r="X1036" i="43"/>
  <c r="Y1036" i="43"/>
  <c r="Z1036" i="43"/>
  <c r="AA1036" i="43"/>
  <c r="AB1036" i="43"/>
  <c r="W1037" i="43"/>
  <c r="X1037" i="43"/>
  <c r="Y1037" i="43"/>
  <c r="Z1037" i="43"/>
  <c r="AA1037" i="43"/>
  <c r="AB1037" i="43"/>
  <c r="W1038" i="43"/>
  <c r="X1038" i="43"/>
  <c r="Y1038" i="43"/>
  <c r="Z1038" i="43"/>
  <c r="AA1038" i="43"/>
  <c r="AB1038" i="43"/>
  <c r="W1039" i="43"/>
  <c r="X1039" i="43"/>
  <c r="Y1039" i="43"/>
  <c r="Z1039" i="43"/>
  <c r="AA1039" i="43"/>
  <c r="AB1039" i="43"/>
  <c r="W1040" i="43"/>
  <c r="X1040" i="43"/>
  <c r="Y1040" i="43"/>
  <c r="Z1040" i="43"/>
  <c r="AA1040" i="43"/>
  <c r="AB1040" i="43"/>
  <c r="W1041" i="43"/>
  <c r="X1041" i="43"/>
  <c r="Y1041" i="43"/>
  <c r="Z1041" i="43"/>
  <c r="AA1041" i="43"/>
  <c r="AB1041" i="43"/>
  <c r="W1042" i="43"/>
  <c r="X1042" i="43"/>
  <c r="Y1042" i="43"/>
  <c r="Z1042" i="43"/>
  <c r="AA1042" i="43"/>
  <c r="AB1042" i="43"/>
  <c r="W1043" i="43"/>
  <c r="X1043" i="43"/>
  <c r="Y1043" i="43"/>
  <c r="Z1043" i="43"/>
  <c r="AA1043" i="43"/>
  <c r="AB1043" i="43"/>
  <c r="W1044" i="43"/>
  <c r="X1044" i="43"/>
  <c r="Y1044" i="43"/>
  <c r="Z1044" i="43"/>
  <c r="AA1044" i="43"/>
  <c r="AB1044" i="43"/>
  <c r="W1045" i="43"/>
  <c r="X1045" i="43"/>
  <c r="Y1045" i="43"/>
  <c r="Z1045" i="43"/>
  <c r="AA1045" i="43"/>
  <c r="AB1045" i="43"/>
  <c r="W1046" i="43"/>
  <c r="X1046" i="43"/>
  <c r="Y1046" i="43"/>
  <c r="Z1046" i="43"/>
  <c r="AA1046" i="43"/>
  <c r="AB1046" i="43"/>
  <c r="W1047" i="43"/>
  <c r="X1047" i="43"/>
  <c r="Y1047" i="43"/>
  <c r="Z1047" i="43"/>
  <c r="AA1047" i="43"/>
  <c r="AB1047" i="43"/>
  <c r="W1048" i="43"/>
  <c r="X1048" i="43"/>
  <c r="Y1048" i="43"/>
  <c r="Z1048" i="43"/>
  <c r="AA1048" i="43"/>
  <c r="AB1048" i="43"/>
  <c r="W1049" i="43"/>
  <c r="X1049" i="43"/>
  <c r="Y1049" i="43"/>
  <c r="Z1049" i="43"/>
  <c r="AA1049" i="43"/>
  <c r="AB1049" i="43"/>
  <c r="W1050" i="43"/>
  <c r="X1050" i="43"/>
  <c r="Y1050" i="43"/>
  <c r="Z1050" i="43"/>
  <c r="AA1050" i="43"/>
  <c r="AB1050" i="43"/>
  <c r="W1051" i="43"/>
  <c r="X1051" i="43"/>
  <c r="Y1051" i="43"/>
  <c r="Z1051" i="43"/>
  <c r="AA1051" i="43"/>
  <c r="AB1051" i="43"/>
  <c r="W1052" i="43"/>
  <c r="X1052" i="43"/>
  <c r="Y1052" i="43"/>
  <c r="Z1052" i="43"/>
  <c r="AA1052" i="43"/>
  <c r="AB1052" i="43"/>
  <c r="W1053" i="43"/>
  <c r="X1053" i="43"/>
  <c r="Y1053" i="43"/>
  <c r="Z1053" i="43"/>
  <c r="AA1053" i="43"/>
  <c r="AB1053" i="43"/>
  <c r="W1054" i="43"/>
  <c r="X1054" i="43"/>
  <c r="Y1054" i="43"/>
  <c r="Z1054" i="43"/>
  <c r="AA1054" i="43"/>
  <c r="AB1054" i="43"/>
  <c r="W1055" i="43"/>
  <c r="X1055" i="43"/>
  <c r="Y1055" i="43"/>
  <c r="Z1055" i="43"/>
  <c r="AA1055" i="43"/>
  <c r="AB1055" i="43"/>
  <c r="W1056" i="43"/>
  <c r="X1056" i="43"/>
  <c r="Y1056" i="43"/>
  <c r="Z1056" i="43"/>
  <c r="AA1056" i="43"/>
  <c r="AB1056" i="43"/>
  <c r="W1057" i="43"/>
  <c r="X1057" i="43"/>
  <c r="Y1057" i="43"/>
  <c r="Z1057" i="43"/>
  <c r="AA1057" i="43"/>
  <c r="AB1057" i="43"/>
  <c r="W1058" i="43"/>
  <c r="X1058" i="43"/>
  <c r="Y1058" i="43"/>
  <c r="Z1058" i="43"/>
  <c r="AA1058" i="43"/>
  <c r="AB1058" i="43"/>
  <c r="W1059" i="43"/>
  <c r="X1059" i="43"/>
  <c r="Y1059" i="43"/>
  <c r="Z1059" i="43"/>
  <c r="AA1059" i="43"/>
  <c r="AB1059" i="43"/>
  <c r="W1060" i="43"/>
  <c r="X1060" i="43"/>
  <c r="Y1060" i="43"/>
  <c r="Z1060" i="43"/>
  <c r="AA1060" i="43"/>
  <c r="AB1060" i="43"/>
  <c r="W1061" i="43"/>
  <c r="X1061" i="43"/>
  <c r="Y1061" i="43"/>
  <c r="Z1061" i="43"/>
  <c r="AA1061" i="43"/>
  <c r="AB1061" i="43"/>
  <c r="W1062" i="43"/>
  <c r="X1062" i="43"/>
  <c r="Y1062" i="43"/>
  <c r="Z1062" i="43"/>
  <c r="AA1062" i="43"/>
  <c r="AB1062" i="43"/>
  <c r="W1063" i="43"/>
  <c r="X1063" i="43"/>
  <c r="Y1063" i="43"/>
  <c r="Z1063" i="43"/>
  <c r="AA1063" i="43"/>
  <c r="AB1063" i="43"/>
  <c r="W1064" i="43"/>
  <c r="X1064" i="43"/>
  <c r="Y1064" i="43"/>
  <c r="Z1064" i="43"/>
  <c r="AA1064" i="43"/>
  <c r="AB1064" i="43"/>
  <c r="W1065" i="43"/>
  <c r="X1065" i="43"/>
  <c r="Y1065" i="43"/>
  <c r="Z1065" i="43"/>
  <c r="AA1065" i="43"/>
  <c r="AB1065" i="43"/>
  <c r="W1066" i="43"/>
  <c r="X1066" i="43"/>
  <c r="Y1066" i="43"/>
  <c r="Z1066" i="43"/>
  <c r="AA1066" i="43"/>
  <c r="AB1066" i="43"/>
  <c r="W1067" i="43"/>
  <c r="X1067" i="43"/>
  <c r="Y1067" i="43"/>
  <c r="Z1067" i="43"/>
  <c r="AA1067" i="43"/>
  <c r="AB1067" i="43"/>
  <c r="W1068" i="43"/>
  <c r="X1068" i="43"/>
  <c r="Y1068" i="43"/>
  <c r="Z1068" i="43"/>
  <c r="AA1068" i="43"/>
  <c r="AB1068" i="43"/>
  <c r="W1069" i="43"/>
  <c r="X1069" i="43"/>
  <c r="Y1069" i="43"/>
  <c r="Z1069" i="43"/>
  <c r="AA1069" i="43"/>
  <c r="AB1069" i="43"/>
  <c r="W1070" i="43"/>
  <c r="X1070" i="43"/>
  <c r="Y1070" i="43"/>
  <c r="Z1070" i="43"/>
  <c r="AA1070" i="43"/>
  <c r="AB1070" i="43"/>
  <c r="W1071" i="43"/>
  <c r="X1071" i="43"/>
  <c r="Y1071" i="43"/>
  <c r="Z1071" i="43"/>
  <c r="AA1071" i="43"/>
  <c r="AB1071" i="43"/>
  <c r="W1072" i="43"/>
  <c r="X1072" i="43"/>
  <c r="Y1072" i="43"/>
  <c r="Z1072" i="43"/>
  <c r="AA1072" i="43"/>
  <c r="AB1072" i="43"/>
  <c r="W1073" i="43"/>
  <c r="X1073" i="43"/>
  <c r="Y1073" i="43"/>
  <c r="Z1073" i="43"/>
  <c r="AA1073" i="43"/>
  <c r="AB1073" i="43"/>
  <c r="W1074" i="43"/>
  <c r="X1074" i="43"/>
  <c r="Y1074" i="43"/>
  <c r="Z1074" i="43"/>
  <c r="AA1074" i="43"/>
  <c r="AB1074" i="43"/>
  <c r="W1075" i="43"/>
  <c r="X1075" i="43"/>
  <c r="Y1075" i="43"/>
  <c r="Z1075" i="43"/>
  <c r="AA1075" i="43"/>
  <c r="AB1075" i="43"/>
  <c r="W1076" i="43"/>
  <c r="X1076" i="43"/>
  <c r="Y1076" i="43"/>
  <c r="Z1076" i="43"/>
  <c r="AA1076" i="43"/>
  <c r="AB1076" i="43"/>
  <c r="W1077" i="43"/>
  <c r="X1077" i="43"/>
  <c r="Y1077" i="43"/>
  <c r="Z1077" i="43"/>
  <c r="AA1077" i="43"/>
  <c r="AB1077" i="43"/>
  <c r="W1078" i="43"/>
  <c r="X1078" i="43"/>
  <c r="Y1078" i="43"/>
  <c r="Z1078" i="43"/>
  <c r="AA1078" i="43"/>
  <c r="AB1078" i="43"/>
  <c r="W1079" i="43"/>
  <c r="X1079" i="43"/>
  <c r="Y1079" i="43"/>
  <c r="Z1079" i="43"/>
  <c r="AA1079" i="43"/>
  <c r="AB1079" i="43"/>
  <c r="W1080" i="43"/>
  <c r="X1080" i="43"/>
  <c r="Y1080" i="43"/>
  <c r="Z1080" i="43"/>
  <c r="AA1080" i="43"/>
  <c r="AB1080" i="43"/>
  <c r="W1081" i="43"/>
  <c r="X1081" i="43"/>
  <c r="Y1081" i="43"/>
  <c r="Z1081" i="43"/>
  <c r="AA1081" i="43"/>
  <c r="AB1081" i="43"/>
  <c r="W1082" i="43"/>
  <c r="X1082" i="43"/>
  <c r="Y1082" i="43"/>
  <c r="Z1082" i="43"/>
  <c r="AA1082" i="43"/>
  <c r="AB1082" i="43"/>
  <c r="W1083" i="43"/>
  <c r="X1083" i="43"/>
  <c r="Y1083" i="43"/>
  <c r="Z1083" i="43"/>
  <c r="AA1083" i="43"/>
  <c r="AB1083" i="43"/>
  <c r="W1084" i="43"/>
  <c r="X1084" i="43"/>
  <c r="Y1084" i="43"/>
  <c r="Z1084" i="43"/>
  <c r="AA1084" i="43"/>
  <c r="AB1084" i="43"/>
  <c r="W1085" i="43"/>
  <c r="X1085" i="43"/>
  <c r="Y1085" i="43"/>
  <c r="Z1085" i="43"/>
  <c r="AA1085" i="43"/>
  <c r="AB1085" i="43"/>
  <c r="W1086" i="43"/>
  <c r="X1086" i="43"/>
  <c r="Y1086" i="43"/>
  <c r="Z1086" i="43"/>
  <c r="AA1086" i="43"/>
  <c r="AB1086" i="43"/>
  <c r="W1087" i="43"/>
  <c r="X1087" i="43"/>
  <c r="Y1087" i="43"/>
  <c r="Z1087" i="43"/>
  <c r="AA1087" i="43"/>
  <c r="AB1087" i="43"/>
  <c r="W1088" i="43"/>
  <c r="X1088" i="43"/>
  <c r="Y1088" i="43"/>
  <c r="Z1088" i="43"/>
  <c r="AA1088" i="43"/>
  <c r="AB1088" i="43"/>
  <c r="W1089" i="43"/>
  <c r="X1089" i="43"/>
  <c r="Y1089" i="43"/>
  <c r="Z1089" i="43"/>
  <c r="AA1089" i="43"/>
  <c r="AB1089" i="43"/>
  <c r="W1090" i="43"/>
  <c r="X1090" i="43"/>
  <c r="Y1090" i="43"/>
  <c r="Z1090" i="43"/>
  <c r="AA1090" i="43"/>
  <c r="AB1090" i="43"/>
  <c r="W1091" i="43"/>
  <c r="X1091" i="43"/>
  <c r="Y1091" i="43"/>
  <c r="Z1091" i="43"/>
  <c r="AA1091" i="43"/>
  <c r="AB1091" i="43"/>
  <c r="W1092" i="43"/>
  <c r="X1092" i="43"/>
  <c r="Y1092" i="43"/>
  <c r="Z1092" i="43"/>
  <c r="AA1092" i="43"/>
  <c r="AB1092" i="43"/>
  <c r="W1093" i="43"/>
  <c r="X1093" i="43"/>
  <c r="Y1093" i="43"/>
  <c r="Z1093" i="43"/>
  <c r="AA1093" i="43"/>
  <c r="AB1093" i="43"/>
  <c r="W1094" i="43"/>
  <c r="X1094" i="43"/>
  <c r="Y1094" i="43"/>
  <c r="Z1094" i="43"/>
  <c r="AA1094" i="43"/>
  <c r="AB1094" i="43"/>
  <c r="W1095" i="43"/>
  <c r="X1095" i="43"/>
  <c r="Y1095" i="43"/>
  <c r="Z1095" i="43"/>
  <c r="AA1095" i="43"/>
  <c r="AB1095" i="43"/>
  <c r="W1096" i="43"/>
  <c r="X1096" i="43"/>
  <c r="Y1096" i="43"/>
  <c r="Z1096" i="43"/>
  <c r="AA1096" i="43"/>
  <c r="AB1096" i="43"/>
  <c r="W1097" i="43"/>
  <c r="X1097" i="43"/>
  <c r="Y1097" i="43"/>
  <c r="Z1097" i="43"/>
  <c r="AA1097" i="43"/>
  <c r="AB1097" i="43"/>
  <c r="W1098" i="43"/>
  <c r="X1098" i="43"/>
  <c r="Y1098" i="43"/>
  <c r="Z1098" i="43"/>
  <c r="AA1098" i="43"/>
  <c r="AB1098" i="43"/>
  <c r="W1099" i="43"/>
  <c r="X1099" i="43"/>
  <c r="Y1099" i="43"/>
  <c r="Z1099" i="43"/>
  <c r="AA1099" i="43"/>
  <c r="AB1099" i="43"/>
  <c r="W1100" i="43"/>
  <c r="X1100" i="43"/>
  <c r="Y1100" i="43"/>
  <c r="Z1100" i="43"/>
  <c r="AA1100" i="43"/>
  <c r="AB1100" i="43"/>
  <c r="W1101" i="43"/>
  <c r="X1101" i="43"/>
  <c r="Y1101" i="43"/>
  <c r="Z1101" i="43"/>
  <c r="AA1101" i="43"/>
  <c r="AB1101" i="43"/>
  <c r="W1102" i="43"/>
  <c r="X1102" i="43"/>
  <c r="Y1102" i="43"/>
  <c r="Z1102" i="43"/>
  <c r="AA1102" i="43"/>
  <c r="AB1102" i="43"/>
  <c r="W1103" i="43"/>
  <c r="X1103" i="43"/>
  <c r="Y1103" i="43"/>
  <c r="Z1103" i="43"/>
  <c r="AA1103" i="43"/>
  <c r="AB1103" i="43"/>
  <c r="W1104" i="43"/>
  <c r="X1104" i="43"/>
  <c r="Y1104" i="43"/>
  <c r="Z1104" i="43"/>
  <c r="AA1104" i="43"/>
  <c r="AB1104" i="43"/>
  <c r="W1105" i="43"/>
  <c r="X1105" i="43"/>
  <c r="Y1105" i="43"/>
  <c r="Z1105" i="43"/>
  <c r="AA1105" i="43"/>
  <c r="AB1105" i="43"/>
  <c r="W1106" i="43"/>
  <c r="X1106" i="43"/>
  <c r="Y1106" i="43"/>
  <c r="Z1106" i="43"/>
  <c r="AA1106" i="43"/>
  <c r="AB1106" i="43"/>
  <c r="W1107" i="43"/>
  <c r="X1107" i="43"/>
  <c r="Y1107" i="43"/>
  <c r="Z1107" i="43"/>
  <c r="AA1107" i="43"/>
  <c r="AB1107" i="43"/>
  <c r="W1108" i="43"/>
  <c r="X1108" i="43"/>
  <c r="Y1108" i="43"/>
  <c r="Z1108" i="43"/>
  <c r="AA1108" i="43"/>
  <c r="AB1108" i="43"/>
  <c r="W1109" i="43"/>
  <c r="X1109" i="43"/>
  <c r="Y1109" i="43"/>
  <c r="Z1109" i="43"/>
  <c r="AA1109" i="43"/>
  <c r="AB1109" i="43"/>
  <c r="W1110" i="43"/>
  <c r="X1110" i="43"/>
  <c r="Y1110" i="43"/>
  <c r="Z1110" i="43"/>
  <c r="AA1110" i="43"/>
  <c r="AB1110" i="43"/>
  <c r="W1111" i="43"/>
  <c r="X1111" i="43"/>
  <c r="Y1111" i="43"/>
  <c r="Z1111" i="43"/>
  <c r="AA1111" i="43"/>
  <c r="AB1111" i="43"/>
  <c r="W1112" i="43"/>
  <c r="X1112" i="43"/>
  <c r="Y1112" i="43"/>
  <c r="Z1112" i="43"/>
  <c r="AA1112" i="43"/>
  <c r="AB1112" i="43"/>
  <c r="W1113" i="43"/>
  <c r="X1113" i="43"/>
  <c r="Y1113" i="43"/>
  <c r="Z1113" i="43"/>
  <c r="AA1113" i="43"/>
  <c r="AB1113" i="43"/>
  <c r="W1114" i="43"/>
  <c r="X1114" i="43"/>
  <c r="Y1114" i="43"/>
  <c r="Z1114" i="43"/>
  <c r="AA1114" i="43"/>
  <c r="AB1114" i="43"/>
  <c r="W1115" i="43"/>
  <c r="X1115" i="43"/>
  <c r="Y1115" i="43"/>
  <c r="Z1115" i="43"/>
  <c r="AA1115" i="43"/>
  <c r="AB1115" i="43"/>
  <c r="W1116" i="43"/>
  <c r="X1116" i="43"/>
  <c r="Y1116" i="43"/>
  <c r="Z1116" i="43"/>
  <c r="AA1116" i="43"/>
  <c r="AB1116" i="43"/>
  <c r="W1117" i="43"/>
  <c r="X1117" i="43"/>
  <c r="Y1117" i="43"/>
  <c r="Z1117" i="43"/>
  <c r="AA1117" i="43"/>
  <c r="AB1117" i="43"/>
  <c r="W1118" i="43"/>
  <c r="X1118" i="43"/>
  <c r="Y1118" i="43"/>
  <c r="Z1118" i="43"/>
  <c r="AA1118" i="43"/>
  <c r="AB1118" i="43"/>
  <c r="W1119" i="43"/>
  <c r="X1119" i="43"/>
  <c r="Y1119" i="43"/>
  <c r="Z1119" i="43"/>
  <c r="AA1119" i="43"/>
  <c r="AB1119" i="43"/>
  <c r="W1120" i="43"/>
  <c r="X1120" i="43"/>
  <c r="Y1120" i="43"/>
  <c r="Z1120" i="43"/>
  <c r="AA1120" i="43"/>
  <c r="AB1120" i="43"/>
  <c r="W1121" i="43"/>
  <c r="X1121" i="43"/>
  <c r="Y1121" i="43"/>
  <c r="Z1121" i="43"/>
  <c r="AA1121" i="43"/>
  <c r="AB1121" i="43"/>
  <c r="W1122" i="43"/>
  <c r="X1122" i="43"/>
  <c r="Y1122" i="43"/>
  <c r="Z1122" i="43"/>
  <c r="AA1122" i="43"/>
  <c r="AB1122" i="43"/>
  <c r="W1123" i="43"/>
  <c r="X1123" i="43"/>
  <c r="Y1123" i="43"/>
  <c r="Z1123" i="43"/>
  <c r="AA1123" i="43"/>
  <c r="AB1123" i="43"/>
  <c r="W1124" i="43"/>
  <c r="X1124" i="43"/>
  <c r="Y1124" i="43"/>
  <c r="Z1124" i="43"/>
  <c r="AA1124" i="43"/>
  <c r="AB1124" i="43"/>
  <c r="W1125" i="43"/>
  <c r="X1125" i="43"/>
  <c r="Y1125" i="43"/>
  <c r="Z1125" i="43"/>
  <c r="AA1125" i="43"/>
  <c r="AB1125" i="43"/>
  <c r="W1126" i="43"/>
  <c r="X1126" i="43"/>
  <c r="Y1126" i="43"/>
  <c r="Z1126" i="43"/>
  <c r="AA1126" i="43"/>
  <c r="AB1126" i="43"/>
  <c r="W1127" i="43"/>
  <c r="X1127" i="43"/>
  <c r="Y1127" i="43"/>
  <c r="Z1127" i="43"/>
  <c r="AA1127" i="43"/>
  <c r="AB1127" i="43"/>
  <c r="W1128" i="43"/>
  <c r="X1128" i="43"/>
  <c r="Y1128" i="43"/>
  <c r="Z1128" i="43"/>
  <c r="AA1128" i="43"/>
  <c r="AB1128" i="43"/>
  <c r="W1129" i="43"/>
  <c r="X1129" i="43"/>
  <c r="Y1129" i="43"/>
  <c r="Z1129" i="43"/>
  <c r="AA1129" i="43"/>
  <c r="AB1129" i="43"/>
  <c r="W1130" i="43"/>
  <c r="X1130" i="43"/>
  <c r="Y1130" i="43"/>
  <c r="Z1130" i="43"/>
  <c r="AA1130" i="43"/>
  <c r="AB1130" i="43"/>
  <c r="W1131" i="43"/>
  <c r="X1131" i="43"/>
  <c r="Y1131" i="43"/>
  <c r="Z1131" i="43"/>
  <c r="AA1131" i="43"/>
  <c r="AB1131" i="43"/>
  <c r="W1132" i="43"/>
  <c r="X1132" i="43"/>
  <c r="Y1132" i="43"/>
  <c r="Z1132" i="43"/>
  <c r="AA1132" i="43"/>
  <c r="AB1132" i="43"/>
  <c r="W1133" i="43"/>
  <c r="X1133" i="43"/>
  <c r="Y1133" i="43"/>
  <c r="Z1133" i="43"/>
  <c r="AA1133" i="43"/>
  <c r="AB1133" i="43"/>
  <c r="W1134" i="43"/>
  <c r="X1134" i="43"/>
  <c r="Y1134" i="43"/>
  <c r="Z1134" i="43"/>
  <c r="AA1134" i="43"/>
  <c r="AB1134" i="43"/>
  <c r="W1135" i="43"/>
  <c r="X1135" i="43"/>
  <c r="Y1135" i="43"/>
  <c r="Z1135" i="43"/>
  <c r="AA1135" i="43"/>
  <c r="AB1135" i="43"/>
  <c r="W1136" i="43"/>
  <c r="X1136" i="43"/>
  <c r="Y1136" i="43"/>
  <c r="Z1136" i="43"/>
  <c r="AA1136" i="43"/>
  <c r="AB1136" i="43"/>
  <c r="W1137" i="43"/>
  <c r="X1137" i="43"/>
  <c r="Y1137" i="43"/>
  <c r="Z1137" i="43"/>
  <c r="AA1137" i="43"/>
  <c r="AB1137" i="43"/>
  <c r="W1138" i="43"/>
  <c r="X1138" i="43"/>
  <c r="Y1138" i="43"/>
  <c r="Z1138" i="43"/>
  <c r="AA1138" i="43"/>
  <c r="AB1138" i="43"/>
  <c r="W1139" i="43"/>
  <c r="X1139" i="43"/>
  <c r="Y1139" i="43"/>
  <c r="Z1139" i="43"/>
  <c r="AA1139" i="43"/>
  <c r="AB1139" i="43"/>
  <c r="W1140" i="43"/>
  <c r="X1140" i="43"/>
  <c r="Y1140" i="43"/>
  <c r="Z1140" i="43"/>
  <c r="AA1140" i="43"/>
  <c r="AB1140" i="43"/>
  <c r="W1141" i="43"/>
  <c r="X1141" i="43"/>
  <c r="Y1141" i="43"/>
  <c r="Z1141" i="43"/>
  <c r="AA1141" i="43"/>
  <c r="AB1141" i="43"/>
  <c r="W1142" i="43"/>
  <c r="X1142" i="43"/>
  <c r="Y1142" i="43"/>
  <c r="Z1142" i="43"/>
  <c r="AA1142" i="43"/>
  <c r="AB1142" i="43"/>
  <c r="W1143" i="43"/>
  <c r="X1143" i="43"/>
  <c r="Y1143" i="43"/>
  <c r="Z1143" i="43"/>
  <c r="AA1143" i="43"/>
  <c r="AB1143" i="43"/>
  <c r="W1144" i="43"/>
  <c r="X1144" i="43"/>
  <c r="Y1144" i="43"/>
  <c r="Z1144" i="43"/>
  <c r="AA1144" i="43"/>
  <c r="AB1144" i="43"/>
  <c r="W1145" i="43"/>
  <c r="X1145" i="43"/>
  <c r="Y1145" i="43"/>
  <c r="Z1145" i="43"/>
  <c r="AA1145" i="43"/>
  <c r="AB1145" i="43"/>
  <c r="W1146" i="43"/>
  <c r="X1146" i="43"/>
  <c r="Y1146" i="43"/>
  <c r="Z1146" i="43"/>
  <c r="AA1146" i="43"/>
  <c r="AB1146" i="43"/>
  <c r="W1147" i="43"/>
  <c r="X1147" i="43"/>
  <c r="Y1147" i="43"/>
  <c r="Z1147" i="43"/>
  <c r="AA1147" i="43"/>
  <c r="AB1147" i="43"/>
  <c r="W1148" i="43"/>
  <c r="X1148" i="43"/>
  <c r="Y1148" i="43"/>
  <c r="Z1148" i="43"/>
  <c r="AA1148" i="43"/>
  <c r="AB1148" i="43"/>
  <c r="W1149" i="43"/>
  <c r="X1149" i="43"/>
  <c r="Y1149" i="43"/>
  <c r="Z1149" i="43"/>
  <c r="AA1149" i="43"/>
  <c r="AB1149" i="43"/>
  <c r="W1150" i="43"/>
  <c r="X1150" i="43"/>
  <c r="Y1150" i="43"/>
  <c r="Z1150" i="43"/>
  <c r="AA1150" i="43"/>
  <c r="AB1150" i="43"/>
  <c r="W1151" i="43"/>
  <c r="X1151" i="43"/>
  <c r="Y1151" i="43"/>
  <c r="Z1151" i="43"/>
  <c r="AA1151" i="43"/>
  <c r="AB1151" i="43"/>
  <c r="W1152" i="43"/>
  <c r="X1152" i="43"/>
  <c r="Y1152" i="43"/>
  <c r="Z1152" i="43"/>
  <c r="AA1152" i="43"/>
  <c r="AB1152" i="43"/>
  <c r="W1153" i="43"/>
  <c r="X1153" i="43"/>
  <c r="Y1153" i="43"/>
  <c r="Z1153" i="43"/>
  <c r="AA1153" i="43"/>
  <c r="AB1153" i="43"/>
  <c r="W1154" i="43"/>
  <c r="X1154" i="43"/>
  <c r="Y1154" i="43"/>
  <c r="Z1154" i="43"/>
  <c r="AA1154" i="43"/>
  <c r="AB1154" i="43"/>
  <c r="W1155" i="43"/>
  <c r="X1155" i="43"/>
  <c r="Y1155" i="43"/>
  <c r="Z1155" i="43"/>
  <c r="AA1155" i="43"/>
  <c r="AB1155" i="43"/>
  <c r="W1156" i="43"/>
  <c r="X1156" i="43"/>
  <c r="Y1156" i="43"/>
  <c r="Z1156" i="43"/>
  <c r="AA1156" i="43"/>
  <c r="AB1156" i="43"/>
  <c r="W1157" i="43"/>
  <c r="X1157" i="43"/>
  <c r="Y1157" i="43"/>
  <c r="Z1157" i="43"/>
  <c r="AA1157" i="43"/>
  <c r="AB1157" i="43"/>
  <c r="W1158" i="43"/>
  <c r="X1158" i="43"/>
  <c r="Y1158" i="43"/>
  <c r="Z1158" i="43"/>
  <c r="AA1158" i="43"/>
  <c r="AB1158" i="43"/>
  <c r="W1159" i="43"/>
  <c r="X1159" i="43"/>
  <c r="Y1159" i="43"/>
  <c r="Z1159" i="43"/>
  <c r="AA1159" i="43"/>
  <c r="AB1159" i="43"/>
  <c r="W1160" i="43"/>
  <c r="X1160" i="43"/>
  <c r="Y1160" i="43"/>
  <c r="Z1160" i="43"/>
  <c r="AA1160" i="43"/>
  <c r="AB1160" i="43"/>
  <c r="W1161" i="43"/>
  <c r="X1161" i="43"/>
  <c r="Y1161" i="43"/>
  <c r="Z1161" i="43"/>
  <c r="AA1161" i="43"/>
  <c r="AB1161" i="43"/>
  <c r="W1162" i="43"/>
  <c r="X1162" i="43"/>
  <c r="Y1162" i="43"/>
  <c r="Z1162" i="43"/>
  <c r="AA1162" i="43"/>
  <c r="AB1162" i="43"/>
  <c r="W1163" i="43"/>
  <c r="X1163" i="43"/>
  <c r="Y1163" i="43"/>
  <c r="Z1163" i="43"/>
  <c r="AA1163" i="43"/>
  <c r="AB1163" i="43"/>
  <c r="W1164" i="43"/>
  <c r="X1164" i="43"/>
  <c r="Y1164" i="43"/>
  <c r="Z1164" i="43"/>
  <c r="AA1164" i="43"/>
  <c r="AB1164" i="43"/>
  <c r="W1165" i="43"/>
  <c r="X1165" i="43"/>
  <c r="Y1165" i="43"/>
  <c r="Z1165" i="43"/>
  <c r="AA1165" i="43"/>
  <c r="AB1165" i="43"/>
  <c r="W1166" i="43"/>
  <c r="X1166" i="43"/>
  <c r="Y1166" i="43"/>
  <c r="Z1166" i="43"/>
  <c r="AA1166" i="43"/>
  <c r="AB1166" i="43"/>
  <c r="W1167" i="43"/>
  <c r="X1167" i="43"/>
  <c r="Y1167" i="43"/>
  <c r="Z1167" i="43"/>
  <c r="AA1167" i="43"/>
  <c r="AB1167" i="43"/>
  <c r="W1168" i="43"/>
  <c r="X1168" i="43"/>
  <c r="Y1168" i="43"/>
  <c r="Z1168" i="43"/>
  <c r="AA1168" i="43"/>
  <c r="AB1168" i="43"/>
  <c r="W1169" i="43"/>
  <c r="X1169" i="43"/>
  <c r="Y1169" i="43"/>
  <c r="Z1169" i="43"/>
  <c r="AA1169" i="43"/>
  <c r="AB1169" i="43"/>
  <c r="W1170" i="43"/>
  <c r="X1170" i="43"/>
  <c r="Y1170" i="43"/>
  <c r="Z1170" i="43"/>
  <c r="AA1170" i="43"/>
  <c r="AB1170" i="43"/>
  <c r="W1171" i="43"/>
  <c r="X1171" i="43"/>
  <c r="Y1171" i="43"/>
  <c r="Z1171" i="43"/>
  <c r="AA1171" i="43"/>
  <c r="AB1171" i="43"/>
  <c r="W1172" i="43"/>
  <c r="X1172" i="43"/>
  <c r="Y1172" i="43"/>
  <c r="Z1172" i="43"/>
  <c r="AA1172" i="43"/>
  <c r="AB1172" i="43"/>
  <c r="W1173" i="43"/>
  <c r="X1173" i="43"/>
  <c r="Y1173" i="43"/>
  <c r="Z1173" i="43"/>
  <c r="AA1173" i="43"/>
  <c r="AB1173" i="43"/>
  <c r="W1174" i="43"/>
  <c r="X1174" i="43"/>
  <c r="Y1174" i="43"/>
  <c r="Z1174" i="43"/>
  <c r="AA1174" i="43"/>
  <c r="AB1174" i="43"/>
  <c r="W1175" i="43"/>
  <c r="X1175" i="43"/>
  <c r="Y1175" i="43"/>
  <c r="Z1175" i="43"/>
  <c r="AA1175" i="43"/>
  <c r="AB1175" i="43"/>
  <c r="W1176" i="43"/>
  <c r="X1176" i="43"/>
  <c r="Y1176" i="43"/>
  <c r="Z1176" i="43"/>
  <c r="AA1176" i="43"/>
  <c r="AB1176" i="43"/>
  <c r="W1177" i="43"/>
  <c r="X1177" i="43"/>
  <c r="Y1177" i="43"/>
  <c r="Z1177" i="43"/>
  <c r="AA1177" i="43"/>
  <c r="AB1177" i="43"/>
  <c r="W1178" i="43"/>
  <c r="X1178" i="43"/>
  <c r="Y1178" i="43"/>
  <c r="Z1178" i="43"/>
  <c r="AA1178" i="43"/>
  <c r="AB1178" i="43"/>
  <c r="W1179" i="43"/>
  <c r="X1179" i="43"/>
  <c r="Y1179" i="43"/>
  <c r="Z1179" i="43"/>
  <c r="AA1179" i="43"/>
  <c r="AB1179" i="43"/>
  <c r="W1180" i="43"/>
  <c r="X1180" i="43"/>
  <c r="Y1180" i="43"/>
  <c r="Z1180" i="43"/>
  <c r="AA1180" i="43"/>
  <c r="AB1180" i="43"/>
  <c r="W1181" i="43"/>
  <c r="X1181" i="43"/>
  <c r="Y1181" i="43"/>
  <c r="Z1181" i="43"/>
  <c r="AA1181" i="43"/>
  <c r="AB1181" i="43"/>
  <c r="W1182" i="43"/>
  <c r="X1182" i="43"/>
  <c r="Y1182" i="43"/>
  <c r="Z1182" i="43"/>
  <c r="AA1182" i="43"/>
  <c r="AB1182" i="43"/>
  <c r="W1183" i="43"/>
  <c r="X1183" i="43"/>
  <c r="Y1183" i="43"/>
  <c r="Z1183" i="43"/>
  <c r="AA1183" i="43"/>
  <c r="AB1183" i="43"/>
  <c r="W1184" i="43"/>
  <c r="X1184" i="43"/>
  <c r="Y1184" i="43"/>
  <c r="Z1184" i="43"/>
  <c r="AA1184" i="43"/>
  <c r="AB1184" i="43"/>
  <c r="W1185" i="43"/>
  <c r="X1185" i="43"/>
  <c r="Y1185" i="43"/>
  <c r="Z1185" i="43"/>
  <c r="AA1185" i="43"/>
  <c r="AB1185" i="43"/>
  <c r="W1186" i="43"/>
  <c r="X1186" i="43"/>
  <c r="Y1186" i="43"/>
  <c r="Z1186" i="43"/>
  <c r="AA1186" i="43"/>
  <c r="AB1186" i="43"/>
  <c r="W1187" i="43"/>
  <c r="X1187" i="43"/>
  <c r="Y1187" i="43"/>
  <c r="Z1187" i="43"/>
  <c r="AA1187" i="43"/>
  <c r="AB1187" i="43"/>
  <c r="W1188" i="43"/>
  <c r="X1188" i="43"/>
  <c r="Y1188" i="43"/>
  <c r="Z1188" i="43"/>
  <c r="AA1188" i="43"/>
  <c r="AB1188" i="43"/>
  <c r="W1189" i="43"/>
  <c r="X1189" i="43"/>
  <c r="Y1189" i="43"/>
  <c r="Z1189" i="43"/>
  <c r="AA1189" i="43"/>
  <c r="AB1189" i="43"/>
  <c r="W1190" i="43"/>
  <c r="X1190" i="43"/>
  <c r="Y1190" i="43"/>
  <c r="Z1190" i="43"/>
  <c r="AA1190" i="43"/>
  <c r="AB1190" i="43"/>
  <c r="W1191" i="43"/>
  <c r="X1191" i="43"/>
  <c r="Y1191" i="43"/>
  <c r="Z1191" i="43"/>
  <c r="AA1191" i="43"/>
  <c r="AB1191" i="43"/>
  <c r="W1192" i="43"/>
  <c r="X1192" i="43"/>
  <c r="Y1192" i="43"/>
  <c r="Z1192" i="43"/>
  <c r="AA1192" i="43"/>
  <c r="AB1192" i="43"/>
  <c r="W1193" i="43"/>
  <c r="X1193" i="43"/>
  <c r="Y1193" i="43"/>
  <c r="Z1193" i="43"/>
  <c r="AA1193" i="43"/>
  <c r="AB1193" i="43"/>
  <c r="W1194" i="43"/>
  <c r="X1194" i="43"/>
  <c r="Y1194" i="43"/>
  <c r="Z1194" i="43"/>
  <c r="AA1194" i="43"/>
  <c r="AB1194" i="43"/>
  <c r="W1195" i="43"/>
  <c r="X1195" i="43"/>
  <c r="Y1195" i="43"/>
  <c r="Z1195" i="43"/>
  <c r="AA1195" i="43"/>
  <c r="AB1195" i="43"/>
  <c r="W1196" i="43"/>
  <c r="X1196" i="43"/>
  <c r="Y1196" i="43"/>
  <c r="Z1196" i="43"/>
  <c r="AA1196" i="43"/>
  <c r="AB1196" i="43"/>
  <c r="W1197" i="43"/>
  <c r="X1197" i="43"/>
  <c r="Y1197" i="43"/>
  <c r="Z1197" i="43"/>
  <c r="AA1197" i="43"/>
  <c r="AB1197" i="43"/>
  <c r="W1198" i="43"/>
  <c r="X1198" i="43"/>
  <c r="Y1198" i="43"/>
  <c r="Z1198" i="43"/>
  <c r="AA1198" i="43"/>
  <c r="AB1198" i="43"/>
  <c r="W1199" i="43"/>
  <c r="X1199" i="43"/>
  <c r="Y1199" i="43"/>
  <c r="Z1199" i="43"/>
  <c r="AA1199" i="43"/>
  <c r="AB1199" i="43"/>
  <c r="W1200" i="43"/>
  <c r="X1200" i="43"/>
  <c r="Y1200" i="43"/>
  <c r="Z1200" i="43"/>
  <c r="AA1200" i="43"/>
  <c r="AB1200" i="43"/>
  <c r="W1201" i="43"/>
  <c r="X1201" i="43"/>
  <c r="Y1201" i="43"/>
  <c r="Z1201" i="43"/>
  <c r="AA1201" i="43"/>
  <c r="AB1201" i="43"/>
  <c r="W1202" i="43"/>
  <c r="X1202" i="43"/>
  <c r="Y1202" i="43"/>
  <c r="Z1202" i="43"/>
  <c r="AA1202" i="43"/>
  <c r="AB1202" i="43"/>
  <c r="W1203" i="43"/>
  <c r="X1203" i="43"/>
  <c r="Y1203" i="43"/>
  <c r="Z1203" i="43"/>
  <c r="AA1203" i="43"/>
  <c r="AB1203" i="43"/>
  <c r="W1204" i="43"/>
  <c r="X1204" i="43"/>
  <c r="Y1204" i="43"/>
  <c r="Z1204" i="43"/>
  <c r="AA1204" i="43"/>
  <c r="AB1204" i="43"/>
  <c r="W1205" i="43"/>
  <c r="X1205" i="43"/>
  <c r="Y1205" i="43"/>
  <c r="Z1205" i="43"/>
  <c r="AA1205" i="43"/>
  <c r="AB1205" i="43"/>
  <c r="W1206" i="43"/>
  <c r="X1206" i="43"/>
  <c r="Y1206" i="43"/>
  <c r="Z1206" i="43"/>
  <c r="AA1206" i="43"/>
  <c r="AB1206" i="43"/>
  <c r="W1207" i="43"/>
  <c r="X1207" i="43"/>
  <c r="Y1207" i="43"/>
  <c r="Z1207" i="43"/>
  <c r="AA1207" i="43"/>
  <c r="AB1207" i="43"/>
  <c r="W1208" i="43"/>
  <c r="X1208" i="43"/>
  <c r="Y1208" i="43"/>
  <c r="Z1208" i="43"/>
  <c r="AA1208" i="43"/>
  <c r="AB1208" i="43"/>
  <c r="W1209" i="43"/>
  <c r="X1209" i="43"/>
  <c r="Y1209" i="43"/>
  <c r="Z1209" i="43"/>
  <c r="AA1209" i="43"/>
  <c r="AB1209" i="43"/>
  <c r="W1210" i="43"/>
  <c r="X1210" i="43"/>
  <c r="Y1210" i="43"/>
  <c r="Z1210" i="43"/>
  <c r="AA1210" i="43"/>
  <c r="AB1210" i="43"/>
  <c r="W1211" i="43"/>
  <c r="X1211" i="43"/>
  <c r="Y1211" i="43"/>
  <c r="Z1211" i="43"/>
  <c r="AA1211" i="43"/>
  <c r="AB1211" i="43"/>
  <c r="W1212" i="43"/>
  <c r="X1212" i="43"/>
  <c r="Y1212" i="43"/>
  <c r="Z1212" i="43"/>
  <c r="AA1212" i="43"/>
  <c r="AB1212" i="43"/>
  <c r="W1213" i="43"/>
  <c r="X1213" i="43"/>
  <c r="Y1213" i="43"/>
  <c r="Z1213" i="43"/>
  <c r="AA1213" i="43"/>
  <c r="AB1213" i="43"/>
  <c r="W1214" i="43"/>
  <c r="X1214" i="43"/>
  <c r="Y1214" i="43"/>
  <c r="Z1214" i="43"/>
  <c r="AA1214" i="43"/>
  <c r="AB1214" i="43"/>
  <c r="W1215" i="43"/>
  <c r="X1215" i="43"/>
  <c r="Y1215" i="43"/>
  <c r="Z1215" i="43"/>
  <c r="AA1215" i="43"/>
  <c r="AB1215" i="43"/>
  <c r="W1216" i="43"/>
  <c r="X1216" i="43"/>
  <c r="Y1216" i="43"/>
  <c r="Z1216" i="43"/>
  <c r="AA1216" i="43"/>
  <c r="AB1216" i="43"/>
  <c r="W1217" i="43"/>
  <c r="X1217" i="43"/>
  <c r="Y1217" i="43"/>
  <c r="Z1217" i="43"/>
  <c r="AA1217" i="43"/>
  <c r="AB1217" i="43"/>
  <c r="W1218" i="43"/>
  <c r="X1218" i="43"/>
  <c r="Y1218" i="43"/>
  <c r="Z1218" i="43"/>
  <c r="AA1218" i="43"/>
  <c r="AB1218" i="43"/>
  <c r="W1219" i="43"/>
  <c r="X1219" i="43"/>
  <c r="Y1219" i="43"/>
  <c r="Z1219" i="43"/>
  <c r="AA1219" i="43"/>
  <c r="AB1219" i="43"/>
  <c r="W1220" i="43"/>
  <c r="X1220" i="43"/>
  <c r="Y1220" i="43"/>
  <c r="Z1220" i="43"/>
  <c r="AA1220" i="43"/>
  <c r="AB1220" i="43"/>
  <c r="W1221" i="43"/>
  <c r="X1221" i="43"/>
  <c r="Y1221" i="43"/>
  <c r="Z1221" i="43"/>
  <c r="AA1221" i="43"/>
  <c r="AB1221" i="43"/>
  <c r="W1222" i="43"/>
  <c r="X1222" i="43"/>
  <c r="Y1222" i="43"/>
  <c r="Z1222" i="43"/>
  <c r="AA1222" i="43"/>
  <c r="AB1222" i="43"/>
  <c r="W1223" i="43"/>
  <c r="X1223" i="43"/>
  <c r="Y1223" i="43"/>
  <c r="Z1223" i="43"/>
  <c r="AA1223" i="43"/>
  <c r="AB1223" i="43"/>
  <c r="W1224" i="43"/>
  <c r="X1224" i="43"/>
  <c r="Y1224" i="43"/>
  <c r="Z1224" i="43"/>
  <c r="AA1224" i="43"/>
  <c r="AB1224" i="43"/>
  <c r="W1225" i="43"/>
  <c r="X1225" i="43"/>
  <c r="Y1225" i="43"/>
  <c r="Z1225" i="43"/>
  <c r="AA1225" i="43"/>
  <c r="AB1225" i="43"/>
  <c r="W1226" i="43"/>
  <c r="X1226" i="43"/>
  <c r="Y1226" i="43"/>
  <c r="Z1226" i="43"/>
  <c r="AA1226" i="43"/>
  <c r="AB1226" i="43"/>
  <c r="W1227" i="43"/>
  <c r="X1227" i="43"/>
  <c r="Y1227" i="43"/>
  <c r="Z1227" i="43"/>
  <c r="AA1227" i="43"/>
  <c r="AB1227" i="43"/>
  <c r="W1228" i="43"/>
  <c r="X1228" i="43"/>
  <c r="Y1228" i="43"/>
  <c r="Z1228" i="43"/>
  <c r="AA1228" i="43"/>
  <c r="AB1228" i="43"/>
  <c r="W1229" i="43"/>
  <c r="X1229" i="43"/>
  <c r="Y1229" i="43"/>
  <c r="Z1229" i="43"/>
  <c r="AA1229" i="43"/>
  <c r="AB1229" i="43"/>
  <c r="W1230" i="43"/>
  <c r="X1230" i="43"/>
  <c r="Y1230" i="43"/>
  <c r="Z1230" i="43"/>
  <c r="AA1230" i="43"/>
  <c r="AB1230" i="43"/>
  <c r="W1231" i="43"/>
  <c r="X1231" i="43"/>
  <c r="Y1231" i="43"/>
  <c r="Z1231" i="43"/>
  <c r="AA1231" i="43"/>
  <c r="AB1231" i="43"/>
  <c r="W1232" i="43"/>
  <c r="X1232" i="43"/>
  <c r="Y1232" i="43"/>
  <c r="Z1232" i="43"/>
  <c r="AA1232" i="43"/>
  <c r="AB1232" i="43"/>
  <c r="W1233" i="43"/>
  <c r="X1233" i="43"/>
  <c r="Y1233" i="43"/>
  <c r="Z1233" i="43"/>
  <c r="AA1233" i="43"/>
  <c r="AB1233" i="43"/>
  <c r="W1234" i="43"/>
  <c r="X1234" i="43"/>
  <c r="Y1234" i="43"/>
  <c r="Z1234" i="43"/>
  <c r="AA1234" i="43"/>
  <c r="AB1234" i="43"/>
  <c r="W1235" i="43"/>
  <c r="X1235" i="43"/>
  <c r="Y1235" i="43"/>
  <c r="Z1235" i="43"/>
  <c r="AA1235" i="43"/>
  <c r="AB1235" i="43"/>
  <c r="W1236" i="43"/>
  <c r="X1236" i="43"/>
  <c r="Y1236" i="43"/>
  <c r="Z1236" i="43"/>
  <c r="AA1236" i="43"/>
  <c r="AB1236" i="43"/>
  <c r="W1237" i="43"/>
  <c r="X1237" i="43"/>
  <c r="Y1237" i="43"/>
  <c r="Z1237" i="43"/>
  <c r="AA1237" i="43"/>
  <c r="AB1237" i="43"/>
  <c r="W1238" i="43"/>
  <c r="X1238" i="43"/>
  <c r="Y1238" i="43"/>
  <c r="Z1238" i="43"/>
  <c r="AA1238" i="43"/>
  <c r="AB1238" i="43"/>
  <c r="W1239" i="43"/>
  <c r="X1239" i="43"/>
  <c r="Y1239" i="43"/>
  <c r="Z1239" i="43"/>
  <c r="AA1239" i="43"/>
  <c r="AB1239" i="43"/>
  <c r="W1240" i="43"/>
  <c r="X1240" i="43"/>
  <c r="Y1240" i="43"/>
  <c r="Z1240" i="43"/>
  <c r="AA1240" i="43"/>
  <c r="AB1240" i="43"/>
  <c r="W1241" i="43"/>
  <c r="X1241" i="43"/>
  <c r="Y1241" i="43"/>
  <c r="Z1241" i="43"/>
  <c r="AA1241" i="43"/>
  <c r="AB1241" i="43"/>
  <c r="W1242" i="43"/>
  <c r="X1242" i="43"/>
  <c r="Y1242" i="43"/>
  <c r="Z1242" i="43"/>
  <c r="AA1242" i="43"/>
  <c r="AB1242" i="43"/>
  <c r="W1243" i="43"/>
  <c r="X1243" i="43"/>
  <c r="Y1243" i="43"/>
  <c r="Z1243" i="43"/>
  <c r="AA1243" i="43"/>
  <c r="AB1243" i="43"/>
  <c r="W1244" i="43"/>
  <c r="X1244" i="43"/>
  <c r="Y1244" i="43"/>
  <c r="Z1244" i="43"/>
  <c r="AA1244" i="43"/>
  <c r="AB1244" i="43"/>
  <c r="W1245" i="43"/>
  <c r="X1245" i="43"/>
  <c r="Y1245" i="43"/>
  <c r="Z1245" i="43"/>
  <c r="AA1245" i="43"/>
  <c r="AB1245" i="43"/>
  <c r="W1246" i="43"/>
  <c r="X1246" i="43"/>
  <c r="Y1246" i="43"/>
  <c r="Z1246" i="43"/>
  <c r="AA1246" i="43"/>
  <c r="AB1246" i="43"/>
  <c r="W1247" i="43"/>
  <c r="X1247" i="43"/>
  <c r="Y1247" i="43"/>
  <c r="Z1247" i="43"/>
  <c r="AA1247" i="43"/>
  <c r="AB1247" i="43"/>
  <c r="W1248" i="43"/>
  <c r="X1248" i="43"/>
  <c r="Y1248" i="43"/>
  <c r="Z1248" i="43"/>
  <c r="AA1248" i="43"/>
  <c r="AB1248" i="43"/>
  <c r="W1249" i="43"/>
  <c r="X1249" i="43"/>
  <c r="Y1249" i="43"/>
  <c r="Z1249" i="43"/>
  <c r="AA1249" i="43"/>
  <c r="AB1249" i="43"/>
  <c r="W1250" i="43"/>
  <c r="X1250" i="43"/>
  <c r="Y1250" i="43"/>
  <c r="Z1250" i="43"/>
  <c r="AA1250" i="43"/>
  <c r="AB1250" i="43"/>
  <c r="W1251" i="43"/>
  <c r="X1251" i="43"/>
  <c r="Y1251" i="43"/>
  <c r="Z1251" i="43"/>
  <c r="AA1251" i="43"/>
  <c r="AB1251" i="43"/>
  <c r="W1252" i="43"/>
  <c r="X1252" i="43"/>
  <c r="Y1252" i="43"/>
  <c r="Z1252" i="43"/>
  <c r="AA1252" i="43"/>
  <c r="AB1252" i="43"/>
  <c r="W1253" i="43"/>
  <c r="X1253" i="43"/>
  <c r="Y1253" i="43"/>
  <c r="Z1253" i="43"/>
  <c r="AA1253" i="43"/>
  <c r="AB1253" i="43"/>
  <c r="W1254" i="43"/>
  <c r="X1254" i="43"/>
  <c r="Y1254" i="43"/>
  <c r="Z1254" i="43"/>
  <c r="AA1254" i="43"/>
  <c r="AB1254" i="43"/>
  <c r="W1255" i="43"/>
  <c r="X1255" i="43"/>
  <c r="Y1255" i="43"/>
  <c r="Z1255" i="43"/>
  <c r="AA1255" i="43"/>
  <c r="AB1255" i="43"/>
  <c r="W1256" i="43"/>
  <c r="X1256" i="43"/>
  <c r="Y1256" i="43"/>
  <c r="Z1256" i="43"/>
  <c r="AA1256" i="43"/>
  <c r="AB1256" i="43"/>
  <c r="W1257" i="43"/>
  <c r="X1257" i="43"/>
  <c r="Y1257" i="43"/>
  <c r="Z1257" i="43"/>
  <c r="AA1257" i="43"/>
  <c r="AB1257" i="43"/>
  <c r="W1258" i="43"/>
  <c r="X1258" i="43"/>
  <c r="Y1258" i="43"/>
  <c r="Z1258" i="43"/>
  <c r="AA1258" i="43"/>
  <c r="AB1258" i="43"/>
  <c r="W1259" i="43"/>
  <c r="X1259" i="43"/>
  <c r="Y1259" i="43"/>
  <c r="Z1259" i="43"/>
  <c r="AA1259" i="43"/>
  <c r="AB1259" i="43"/>
  <c r="W1260" i="43"/>
  <c r="X1260" i="43"/>
  <c r="Y1260" i="43"/>
  <c r="Z1260" i="43"/>
  <c r="AA1260" i="43"/>
  <c r="AB1260" i="43"/>
  <c r="W1261" i="43"/>
  <c r="X1261" i="43"/>
  <c r="Y1261" i="43"/>
  <c r="Z1261" i="43"/>
  <c r="AA1261" i="43"/>
  <c r="AB1261" i="43"/>
  <c r="W1262" i="43"/>
  <c r="X1262" i="43"/>
  <c r="Y1262" i="43"/>
  <c r="Z1262" i="43"/>
  <c r="AA1262" i="43"/>
  <c r="AB1262" i="43"/>
  <c r="W1263" i="43"/>
  <c r="X1263" i="43"/>
  <c r="Y1263" i="43"/>
  <c r="Z1263" i="43"/>
  <c r="AA1263" i="43"/>
  <c r="AB1263" i="43"/>
  <c r="W1264" i="43"/>
  <c r="X1264" i="43"/>
  <c r="Y1264" i="43"/>
  <c r="Z1264" i="43"/>
  <c r="AA1264" i="43"/>
  <c r="AB1264" i="43"/>
  <c r="W1265" i="43"/>
  <c r="X1265" i="43"/>
  <c r="Y1265" i="43"/>
  <c r="Z1265" i="43"/>
  <c r="AA1265" i="43"/>
  <c r="AB1265" i="43"/>
  <c r="W1266" i="43"/>
  <c r="X1266" i="43"/>
  <c r="Y1266" i="43"/>
  <c r="Z1266" i="43"/>
  <c r="AA1266" i="43"/>
  <c r="AB1266" i="43"/>
  <c r="W1267" i="43"/>
  <c r="X1267" i="43"/>
  <c r="Y1267" i="43"/>
  <c r="Z1267" i="43"/>
  <c r="AA1267" i="43"/>
  <c r="AB1267" i="43"/>
  <c r="W1268" i="43"/>
  <c r="X1268" i="43"/>
  <c r="Y1268" i="43"/>
  <c r="Z1268" i="43"/>
  <c r="AA1268" i="43"/>
  <c r="AB1268" i="43"/>
  <c r="W1269" i="43"/>
  <c r="X1269" i="43"/>
  <c r="Y1269" i="43"/>
  <c r="Z1269" i="43"/>
  <c r="AA1269" i="43"/>
  <c r="AB1269" i="43"/>
  <c r="W1270" i="43"/>
  <c r="X1270" i="43"/>
  <c r="Y1270" i="43"/>
  <c r="Z1270" i="43"/>
  <c r="AA1270" i="43"/>
  <c r="AB1270" i="43"/>
  <c r="W1271" i="43"/>
  <c r="X1271" i="43"/>
  <c r="Y1271" i="43"/>
  <c r="Z1271" i="43"/>
  <c r="AA1271" i="43"/>
  <c r="AB1271" i="43"/>
  <c r="W1272" i="43"/>
  <c r="X1272" i="43"/>
  <c r="Y1272" i="43"/>
  <c r="Z1272" i="43"/>
  <c r="AA1272" i="43"/>
  <c r="AB1272" i="43"/>
  <c r="W1273" i="43"/>
  <c r="X1273" i="43"/>
  <c r="Y1273" i="43"/>
  <c r="Z1273" i="43"/>
  <c r="AA1273" i="43"/>
  <c r="AB1273" i="43"/>
  <c r="W1274" i="43"/>
  <c r="X1274" i="43"/>
  <c r="Y1274" i="43"/>
  <c r="Z1274" i="43"/>
  <c r="AA1274" i="43"/>
  <c r="AB1274" i="43"/>
  <c r="W1275" i="43"/>
  <c r="X1275" i="43"/>
  <c r="Y1275" i="43"/>
  <c r="Z1275" i="43"/>
  <c r="AA1275" i="43"/>
  <c r="AB1275" i="43"/>
  <c r="W1276" i="43"/>
  <c r="X1276" i="43"/>
  <c r="Y1276" i="43"/>
  <c r="Z1276" i="43"/>
  <c r="AA1276" i="43"/>
  <c r="AB1276" i="43"/>
  <c r="W1277" i="43"/>
  <c r="X1277" i="43"/>
  <c r="Y1277" i="43"/>
  <c r="Z1277" i="43"/>
  <c r="AA1277" i="43"/>
  <c r="AB1277" i="43"/>
  <c r="W1278" i="43"/>
  <c r="X1278" i="43"/>
  <c r="Y1278" i="43"/>
  <c r="Z1278" i="43"/>
  <c r="AA1278" i="43"/>
  <c r="AB1278" i="43"/>
  <c r="W1279" i="43"/>
  <c r="X1279" i="43"/>
  <c r="Y1279" i="43"/>
  <c r="Z1279" i="43"/>
  <c r="AA1279" i="43"/>
  <c r="AB1279" i="43"/>
  <c r="W1280" i="43"/>
  <c r="X1280" i="43"/>
  <c r="Y1280" i="43"/>
  <c r="Z1280" i="43"/>
  <c r="AA1280" i="43"/>
  <c r="AB1280" i="43"/>
  <c r="W1281" i="43"/>
  <c r="X1281" i="43"/>
  <c r="Y1281" i="43"/>
  <c r="Z1281" i="43"/>
  <c r="AA1281" i="43"/>
  <c r="AB1281" i="43"/>
  <c r="W1282" i="43"/>
  <c r="X1282" i="43"/>
  <c r="Y1282" i="43"/>
  <c r="Z1282" i="43"/>
  <c r="AA1282" i="43"/>
  <c r="AB1282" i="43"/>
  <c r="W1283" i="43"/>
  <c r="X1283" i="43"/>
  <c r="Y1283" i="43"/>
  <c r="Z1283" i="43"/>
  <c r="AA1283" i="43"/>
  <c r="AB1283" i="43"/>
  <c r="W1284" i="43"/>
  <c r="X1284" i="43"/>
  <c r="Y1284" i="43"/>
  <c r="Z1284" i="43"/>
  <c r="AA1284" i="43"/>
  <c r="AB1284" i="43"/>
  <c r="W1285" i="43"/>
  <c r="X1285" i="43"/>
  <c r="Y1285" i="43"/>
  <c r="Z1285" i="43"/>
  <c r="AA1285" i="43"/>
  <c r="AB1285" i="43"/>
  <c r="W1286" i="43"/>
  <c r="X1286" i="43"/>
  <c r="Y1286" i="43"/>
  <c r="Z1286" i="43"/>
  <c r="AA1286" i="43"/>
  <c r="AB1286" i="43"/>
  <c r="W1287" i="43"/>
  <c r="X1287" i="43"/>
  <c r="Y1287" i="43"/>
  <c r="Z1287" i="43"/>
  <c r="AA1287" i="43"/>
  <c r="AB1287" i="43"/>
  <c r="W1288" i="43"/>
  <c r="X1288" i="43"/>
  <c r="Y1288" i="43"/>
  <c r="Z1288" i="43"/>
  <c r="AA1288" i="43"/>
  <c r="AB1288" i="43"/>
  <c r="W1289" i="43"/>
  <c r="X1289" i="43"/>
  <c r="Y1289" i="43"/>
  <c r="Z1289" i="43"/>
  <c r="AA1289" i="43"/>
  <c r="AB1289" i="43"/>
  <c r="W1290" i="43"/>
  <c r="X1290" i="43"/>
  <c r="Y1290" i="43"/>
  <c r="Z1290" i="43"/>
  <c r="AA1290" i="43"/>
  <c r="AB1290" i="43"/>
  <c r="W1291" i="43"/>
  <c r="X1291" i="43"/>
  <c r="Y1291" i="43"/>
  <c r="Z1291" i="43"/>
  <c r="AA1291" i="43"/>
  <c r="AB1291" i="43"/>
  <c r="W1292" i="43"/>
  <c r="X1292" i="43"/>
  <c r="Y1292" i="43"/>
  <c r="Z1292" i="43"/>
  <c r="AA1292" i="43"/>
  <c r="AB1292" i="43"/>
  <c r="W1293" i="43"/>
  <c r="X1293" i="43"/>
  <c r="Y1293" i="43"/>
  <c r="Z1293" i="43"/>
  <c r="AA1293" i="43"/>
  <c r="AB1293" i="43"/>
  <c r="W1294" i="43"/>
  <c r="X1294" i="43"/>
  <c r="Y1294" i="43"/>
  <c r="Z1294" i="43"/>
  <c r="AA1294" i="43"/>
  <c r="AB1294" i="43"/>
  <c r="W1295" i="43"/>
  <c r="X1295" i="43"/>
  <c r="Y1295" i="43"/>
  <c r="Z1295" i="43"/>
  <c r="AA1295" i="43"/>
  <c r="AB1295" i="43"/>
  <c r="W1296" i="43"/>
  <c r="X1296" i="43"/>
  <c r="Y1296" i="43"/>
  <c r="Z1296" i="43"/>
  <c r="AA1296" i="43"/>
  <c r="AB1296" i="43"/>
  <c r="W1297" i="43"/>
  <c r="X1297" i="43"/>
  <c r="Y1297" i="43"/>
  <c r="Z1297" i="43"/>
  <c r="AA1297" i="43"/>
  <c r="AB1297" i="43"/>
  <c r="W1298" i="43"/>
  <c r="X1298" i="43"/>
  <c r="Y1298" i="43"/>
  <c r="Z1298" i="43"/>
  <c r="AA1298" i="43"/>
  <c r="AB1298" i="43"/>
  <c r="W1299" i="43"/>
  <c r="X1299" i="43"/>
  <c r="Y1299" i="43"/>
  <c r="Z1299" i="43"/>
  <c r="AA1299" i="43"/>
  <c r="AB1299" i="43"/>
  <c r="W1300" i="43"/>
  <c r="X1300" i="43"/>
  <c r="Y1300" i="43"/>
  <c r="Z1300" i="43"/>
  <c r="AA1300" i="43"/>
  <c r="AB1300" i="43"/>
  <c r="W1301" i="43"/>
  <c r="X1301" i="43"/>
  <c r="Y1301" i="43"/>
  <c r="Z1301" i="43"/>
  <c r="AA1301" i="43"/>
  <c r="AB1301" i="43"/>
  <c r="W1302" i="43"/>
  <c r="X1302" i="43"/>
  <c r="Y1302" i="43"/>
  <c r="Z1302" i="43"/>
  <c r="AA1302" i="43"/>
  <c r="AB1302" i="43"/>
  <c r="W1303" i="43"/>
  <c r="X1303" i="43"/>
  <c r="Y1303" i="43"/>
  <c r="Z1303" i="43"/>
  <c r="AA1303" i="43"/>
  <c r="AB1303" i="43"/>
  <c r="W1304" i="43"/>
  <c r="X1304" i="43"/>
  <c r="Y1304" i="43"/>
  <c r="Z1304" i="43"/>
  <c r="AA1304" i="43"/>
  <c r="AB1304" i="43"/>
  <c r="W1305" i="43"/>
  <c r="X1305" i="43"/>
  <c r="Y1305" i="43"/>
  <c r="Z1305" i="43"/>
  <c r="AA1305" i="43"/>
  <c r="AB1305" i="43"/>
  <c r="W1306" i="43"/>
  <c r="X1306" i="43"/>
  <c r="Y1306" i="43"/>
  <c r="Z1306" i="43"/>
  <c r="AA1306" i="43"/>
  <c r="AB1306" i="43"/>
  <c r="W1307" i="43"/>
  <c r="X1307" i="43"/>
  <c r="Y1307" i="43"/>
  <c r="Z1307" i="43"/>
  <c r="AA1307" i="43"/>
  <c r="AB1307" i="43"/>
  <c r="W1308" i="43"/>
  <c r="X1308" i="43"/>
  <c r="Y1308" i="43"/>
  <c r="Z1308" i="43"/>
  <c r="AA1308" i="43"/>
  <c r="AB1308" i="43"/>
  <c r="W1309" i="43"/>
  <c r="X1309" i="43"/>
  <c r="Y1309" i="43"/>
  <c r="Z1309" i="43"/>
  <c r="AA1309" i="43"/>
  <c r="AB1309" i="43"/>
  <c r="W1310" i="43"/>
  <c r="X1310" i="43"/>
  <c r="Y1310" i="43"/>
  <c r="Z1310" i="43"/>
  <c r="AA1310" i="43"/>
  <c r="AB1310" i="43"/>
  <c r="W1311" i="43"/>
  <c r="X1311" i="43"/>
  <c r="Y1311" i="43"/>
  <c r="Z1311" i="43"/>
  <c r="AA1311" i="43"/>
  <c r="AB1311" i="43"/>
  <c r="W1312" i="43"/>
  <c r="X1312" i="43"/>
  <c r="Y1312" i="43"/>
  <c r="Z1312" i="43"/>
  <c r="AA1312" i="43"/>
  <c r="AB1312" i="43"/>
  <c r="W1313" i="43"/>
  <c r="X1313" i="43"/>
  <c r="Y1313" i="43"/>
  <c r="Z1313" i="43"/>
  <c r="AA1313" i="43"/>
  <c r="AB1313" i="43"/>
  <c r="W1314" i="43"/>
  <c r="X1314" i="43"/>
  <c r="Y1314" i="43"/>
  <c r="Z1314" i="43"/>
  <c r="AA1314" i="43"/>
  <c r="AB1314" i="43"/>
  <c r="W1315" i="43"/>
  <c r="X1315" i="43"/>
  <c r="Y1315" i="43"/>
  <c r="Z1315" i="43"/>
  <c r="AA1315" i="43"/>
  <c r="AB1315" i="43"/>
  <c r="W1316" i="43"/>
  <c r="X1316" i="43"/>
  <c r="Y1316" i="43"/>
  <c r="Z1316" i="43"/>
  <c r="AA1316" i="43"/>
  <c r="AB1316" i="43"/>
  <c r="W1317" i="43"/>
  <c r="X1317" i="43"/>
  <c r="Y1317" i="43"/>
  <c r="Z1317" i="43"/>
  <c r="AA1317" i="43"/>
  <c r="AB1317" i="43"/>
  <c r="W1318" i="43"/>
  <c r="X1318" i="43"/>
  <c r="Y1318" i="43"/>
  <c r="Z1318" i="43"/>
  <c r="AA1318" i="43"/>
  <c r="AB1318" i="43"/>
  <c r="W1319" i="43"/>
  <c r="X1319" i="43"/>
  <c r="Y1319" i="43"/>
  <c r="Z1319" i="43"/>
  <c r="AA1319" i="43"/>
  <c r="AB1319" i="43"/>
  <c r="W1320" i="43"/>
  <c r="X1320" i="43"/>
  <c r="Y1320" i="43"/>
  <c r="Z1320" i="43"/>
  <c r="AA1320" i="43"/>
  <c r="AB1320" i="43"/>
  <c r="W1321" i="43"/>
  <c r="X1321" i="43"/>
  <c r="Y1321" i="43"/>
  <c r="Z1321" i="43"/>
  <c r="AA1321" i="43"/>
  <c r="AB1321" i="43"/>
  <c r="W1322" i="43"/>
  <c r="X1322" i="43"/>
  <c r="Y1322" i="43"/>
  <c r="Z1322" i="43"/>
  <c r="AA1322" i="43"/>
  <c r="AB1322" i="43"/>
  <c r="W1323" i="43"/>
  <c r="X1323" i="43"/>
  <c r="Y1323" i="43"/>
  <c r="Z1323" i="43"/>
  <c r="AA1323" i="43"/>
  <c r="AB1323" i="43"/>
  <c r="W1324" i="43"/>
  <c r="X1324" i="43"/>
  <c r="Y1324" i="43"/>
  <c r="Z1324" i="43"/>
  <c r="AA1324" i="43"/>
  <c r="AB1324" i="43"/>
  <c r="W1325" i="43"/>
  <c r="X1325" i="43"/>
  <c r="Y1325" i="43"/>
  <c r="Z1325" i="43"/>
  <c r="AA1325" i="43"/>
  <c r="AB1325" i="43"/>
  <c r="W1326" i="43"/>
  <c r="X1326" i="43"/>
  <c r="Y1326" i="43"/>
  <c r="Z1326" i="43"/>
  <c r="AA1326" i="43"/>
  <c r="AB1326" i="43"/>
  <c r="W1327" i="43"/>
  <c r="X1327" i="43"/>
  <c r="Y1327" i="43"/>
  <c r="Z1327" i="43"/>
  <c r="AA1327" i="43"/>
  <c r="AB1327" i="43"/>
  <c r="W1328" i="43"/>
  <c r="X1328" i="43"/>
  <c r="Y1328" i="43"/>
  <c r="Z1328" i="43"/>
  <c r="AA1328" i="43"/>
  <c r="AB1328" i="43"/>
  <c r="W1329" i="43"/>
  <c r="X1329" i="43"/>
  <c r="Y1329" i="43"/>
  <c r="Z1329" i="43"/>
  <c r="AA1329" i="43"/>
  <c r="AB1329" i="43"/>
  <c r="W1330" i="43"/>
  <c r="X1330" i="43"/>
  <c r="Y1330" i="43"/>
  <c r="Z1330" i="43"/>
  <c r="AA1330" i="43"/>
  <c r="AB1330" i="43"/>
  <c r="W1331" i="43"/>
  <c r="X1331" i="43"/>
  <c r="Y1331" i="43"/>
  <c r="Z1331" i="43"/>
  <c r="AA1331" i="43"/>
  <c r="AB1331" i="43"/>
  <c r="W1332" i="43"/>
  <c r="X1332" i="43"/>
  <c r="Y1332" i="43"/>
  <c r="Z1332" i="43"/>
  <c r="AA1332" i="43"/>
  <c r="AB1332" i="43"/>
  <c r="W1333" i="43"/>
  <c r="X1333" i="43"/>
  <c r="Y1333" i="43"/>
  <c r="Z1333" i="43"/>
  <c r="AA1333" i="43"/>
  <c r="AB1333" i="43"/>
  <c r="W1334" i="43"/>
  <c r="X1334" i="43"/>
  <c r="Y1334" i="43"/>
  <c r="Z1334" i="43"/>
  <c r="AA1334" i="43"/>
  <c r="AB1334" i="43"/>
  <c r="W1335" i="43"/>
  <c r="X1335" i="43"/>
  <c r="Y1335" i="43"/>
  <c r="Z1335" i="43"/>
  <c r="AA1335" i="43"/>
  <c r="AB1335" i="43"/>
  <c r="W1336" i="43"/>
  <c r="X1336" i="43"/>
  <c r="Y1336" i="43"/>
  <c r="Z1336" i="43"/>
  <c r="AA1336" i="43"/>
  <c r="AB1336" i="43"/>
  <c r="W1337" i="43"/>
  <c r="X1337" i="43"/>
  <c r="Y1337" i="43"/>
  <c r="Z1337" i="43"/>
  <c r="AA1337" i="43"/>
  <c r="AB1337" i="43"/>
  <c r="W1338" i="43"/>
  <c r="X1338" i="43"/>
  <c r="Y1338" i="43"/>
  <c r="Z1338" i="43"/>
  <c r="AA1338" i="43"/>
  <c r="AB1338" i="43"/>
  <c r="W1339" i="43"/>
  <c r="X1339" i="43"/>
  <c r="Y1339" i="43"/>
  <c r="Z1339" i="43"/>
  <c r="AA1339" i="43"/>
  <c r="AB1339" i="43"/>
  <c r="W1340" i="43"/>
  <c r="X1340" i="43"/>
  <c r="Y1340" i="43"/>
  <c r="Z1340" i="43"/>
  <c r="AA1340" i="43"/>
  <c r="AB1340" i="43"/>
  <c r="W1341" i="43"/>
  <c r="X1341" i="43"/>
  <c r="Y1341" i="43"/>
  <c r="Z1341" i="43"/>
  <c r="AA1341" i="43"/>
  <c r="AB1341" i="43"/>
  <c r="W1342" i="43"/>
  <c r="X1342" i="43"/>
  <c r="Y1342" i="43"/>
  <c r="Z1342" i="43"/>
  <c r="AA1342" i="43"/>
  <c r="AB1342" i="43"/>
  <c r="W1343" i="43"/>
  <c r="X1343" i="43"/>
  <c r="Y1343" i="43"/>
  <c r="Z1343" i="43"/>
  <c r="AA1343" i="43"/>
  <c r="AB1343" i="43"/>
  <c r="W1344" i="43"/>
  <c r="X1344" i="43"/>
  <c r="Y1344" i="43"/>
  <c r="Z1344" i="43"/>
  <c r="AA1344" i="43"/>
  <c r="AB1344" i="43"/>
  <c r="W1345" i="43"/>
  <c r="X1345" i="43"/>
  <c r="Y1345" i="43"/>
  <c r="Z1345" i="43"/>
  <c r="AA1345" i="43"/>
  <c r="AB1345" i="43"/>
  <c r="W1346" i="43"/>
  <c r="X1346" i="43"/>
  <c r="Y1346" i="43"/>
  <c r="Z1346" i="43"/>
  <c r="AA1346" i="43"/>
  <c r="AB1346" i="43"/>
  <c r="W1347" i="43"/>
  <c r="X1347" i="43"/>
  <c r="Y1347" i="43"/>
  <c r="Z1347" i="43"/>
  <c r="AA1347" i="43"/>
  <c r="AB1347" i="43"/>
  <c r="W1348" i="43"/>
  <c r="X1348" i="43"/>
  <c r="Y1348" i="43"/>
  <c r="Z1348" i="43"/>
  <c r="AA1348" i="43"/>
  <c r="AB1348" i="43"/>
  <c r="W1349" i="43"/>
  <c r="X1349" i="43"/>
  <c r="Y1349" i="43"/>
  <c r="Z1349" i="43"/>
  <c r="AA1349" i="43"/>
  <c r="AB1349" i="43"/>
  <c r="W1350" i="43"/>
  <c r="X1350" i="43"/>
  <c r="Y1350" i="43"/>
  <c r="Z1350" i="43"/>
  <c r="AA1350" i="43"/>
  <c r="AB1350" i="43"/>
  <c r="W1351" i="43"/>
  <c r="X1351" i="43"/>
  <c r="Y1351" i="43"/>
  <c r="Z1351" i="43"/>
  <c r="AA1351" i="43"/>
  <c r="AB1351" i="43"/>
  <c r="W1352" i="43"/>
  <c r="X1352" i="43"/>
  <c r="Y1352" i="43"/>
  <c r="Z1352" i="43"/>
  <c r="AA1352" i="43"/>
  <c r="AB1352" i="43"/>
  <c r="W1353" i="43"/>
  <c r="X1353" i="43"/>
  <c r="Y1353" i="43"/>
  <c r="Z1353" i="43"/>
  <c r="AA1353" i="43"/>
  <c r="AB1353" i="43"/>
  <c r="W1354" i="43"/>
  <c r="X1354" i="43"/>
  <c r="Y1354" i="43"/>
  <c r="Z1354" i="43"/>
  <c r="AA1354" i="43"/>
  <c r="AB1354" i="43"/>
  <c r="W1355" i="43"/>
  <c r="X1355" i="43"/>
  <c r="Y1355" i="43"/>
  <c r="Z1355" i="43"/>
  <c r="AA1355" i="43"/>
  <c r="AB1355" i="43"/>
  <c r="W1356" i="43"/>
  <c r="X1356" i="43"/>
  <c r="Y1356" i="43"/>
  <c r="Z1356" i="43"/>
  <c r="AA1356" i="43"/>
  <c r="AB1356" i="43"/>
  <c r="W1357" i="43"/>
  <c r="X1357" i="43"/>
  <c r="Y1357" i="43"/>
  <c r="Z1357" i="43"/>
  <c r="AA1357" i="43"/>
  <c r="AB1357" i="43"/>
  <c r="W1358" i="43"/>
  <c r="X1358" i="43"/>
  <c r="Y1358" i="43"/>
  <c r="Z1358" i="43"/>
  <c r="AA1358" i="43"/>
  <c r="AB1358" i="43"/>
  <c r="W1359" i="43"/>
  <c r="X1359" i="43"/>
  <c r="Y1359" i="43"/>
  <c r="Z1359" i="43"/>
  <c r="AA1359" i="43"/>
  <c r="AB1359" i="43"/>
  <c r="W1360" i="43"/>
  <c r="X1360" i="43"/>
  <c r="Y1360" i="43"/>
  <c r="Z1360" i="43"/>
  <c r="AA1360" i="43"/>
  <c r="AB1360" i="43"/>
  <c r="W1361" i="43"/>
  <c r="X1361" i="43"/>
  <c r="Y1361" i="43"/>
  <c r="Z1361" i="43"/>
  <c r="AA1361" i="43"/>
  <c r="AB1361" i="43"/>
  <c r="W1362" i="43"/>
  <c r="X1362" i="43"/>
  <c r="Y1362" i="43"/>
  <c r="Z1362" i="43"/>
  <c r="AA1362" i="43"/>
  <c r="AB1362" i="43"/>
  <c r="W1363" i="43"/>
  <c r="X1363" i="43"/>
  <c r="Y1363" i="43"/>
  <c r="Z1363" i="43"/>
  <c r="AA1363" i="43"/>
  <c r="AB1363" i="43"/>
  <c r="W1364" i="43"/>
  <c r="X1364" i="43"/>
  <c r="Y1364" i="43"/>
  <c r="Z1364" i="43"/>
  <c r="AA1364" i="43"/>
  <c r="AB1364" i="43"/>
  <c r="W1365" i="43"/>
  <c r="X1365" i="43"/>
  <c r="Y1365" i="43"/>
  <c r="Z1365" i="43"/>
  <c r="AA1365" i="43"/>
  <c r="AB1365" i="43"/>
  <c r="W1366" i="43"/>
  <c r="X1366" i="43"/>
  <c r="Y1366" i="43"/>
  <c r="Z1366" i="43"/>
  <c r="AA1366" i="43"/>
  <c r="AB1366" i="43"/>
  <c r="W1367" i="43"/>
  <c r="X1367" i="43"/>
  <c r="Y1367" i="43"/>
  <c r="Z1367" i="43"/>
  <c r="AA1367" i="43"/>
  <c r="AB1367" i="43"/>
  <c r="W1368" i="43"/>
  <c r="X1368" i="43"/>
  <c r="Y1368" i="43"/>
  <c r="Z1368" i="43"/>
  <c r="AA1368" i="43"/>
  <c r="AB1368" i="43"/>
  <c r="W1369" i="43"/>
  <c r="X1369" i="43"/>
  <c r="Y1369" i="43"/>
  <c r="Z1369" i="43"/>
  <c r="AA1369" i="43"/>
  <c r="AB1369" i="43"/>
  <c r="W1370" i="43"/>
  <c r="X1370" i="43"/>
  <c r="Y1370" i="43"/>
  <c r="Z1370" i="43"/>
  <c r="AA1370" i="43"/>
  <c r="AB1370" i="43"/>
  <c r="W1371" i="43"/>
  <c r="X1371" i="43"/>
  <c r="Y1371" i="43"/>
  <c r="Z1371" i="43"/>
  <c r="AA1371" i="43"/>
  <c r="AB1371" i="43"/>
  <c r="W1372" i="43"/>
  <c r="X1372" i="43"/>
  <c r="Y1372" i="43"/>
  <c r="Z1372" i="43"/>
  <c r="AA1372" i="43"/>
  <c r="AB1372" i="43"/>
  <c r="W1373" i="43"/>
  <c r="X1373" i="43"/>
  <c r="Y1373" i="43"/>
  <c r="Z1373" i="43"/>
  <c r="AA1373" i="43"/>
  <c r="AB1373" i="43"/>
  <c r="W1374" i="43"/>
  <c r="X1374" i="43"/>
  <c r="Y1374" i="43"/>
  <c r="Z1374" i="43"/>
  <c r="AA1374" i="43"/>
  <c r="AB1374" i="43"/>
  <c r="W1375" i="43"/>
  <c r="X1375" i="43"/>
  <c r="Y1375" i="43"/>
  <c r="Z1375" i="43"/>
  <c r="AA1375" i="43"/>
  <c r="AB1375" i="43"/>
  <c r="W1376" i="43"/>
  <c r="X1376" i="43"/>
  <c r="Y1376" i="43"/>
  <c r="Z1376" i="43"/>
  <c r="AA1376" i="43"/>
  <c r="AB1376" i="43"/>
  <c r="W1377" i="43"/>
  <c r="X1377" i="43"/>
  <c r="Y1377" i="43"/>
  <c r="Z1377" i="43"/>
  <c r="AA1377" i="43"/>
  <c r="AB1377" i="43"/>
  <c r="W1378" i="43"/>
  <c r="X1378" i="43"/>
  <c r="Y1378" i="43"/>
  <c r="Z1378" i="43"/>
  <c r="AA1378" i="43"/>
  <c r="AB1378" i="43"/>
  <c r="W1379" i="43"/>
  <c r="X1379" i="43"/>
  <c r="Y1379" i="43"/>
  <c r="Z1379" i="43"/>
  <c r="AA1379" i="43"/>
  <c r="AB1379" i="43"/>
  <c r="W1380" i="43"/>
  <c r="X1380" i="43"/>
  <c r="Y1380" i="43"/>
  <c r="Z1380" i="43"/>
  <c r="AA1380" i="43"/>
  <c r="AB1380" i="43"/>
  <c r="W1381" i="43"/>
  <c r="X1381" i="43"/>
  <c r="Y1381" i="43"/>
  <c r="Z1381" i="43"/>
  <c r="AA1381" i="43"/>
  <c r="AB1381" i="43"/>
  <c r="W1382" i="43"/>
  <c r="X1382" i="43"/>
  <c r="Y1382" i="43"/>
  <c r="Z1382" i="43"/>
  <c r="AA1382" i="43"/>
  <c r="AB1382" i="43"/>
  <c r="W1383" i="43"/>
  <c r="X1383" i="43"/>
  <c r="Y1383" i="43"/>
  <c r="Z1383" i="43"/>
  <c r="AA1383" i="43"/>
  <c r="AB1383" i="43"/>
  <c r="W1384" i="43"/>
  <c r="X1384" i="43"/>
  <c r="Y1384" i="43"/>
  <c r="Z1384" i="43"/>
  <c r="AA1384" i="43"/>
  <c r="AB1384" i="43"/>
  <c r="W1385" i="43"/>
  <c r="X1385" i="43"/>
  <c r="Y1385" i="43"/>
  <c r="Z1385" i="43"/>
  <c r="AA1385" i="43"/>
  <c r="AB1385" i="43"/>
  <c r="W1386" i="43"/>
  <c r="X1386" i="43"/>
  <c r="Y1386" i="43"/>
  <c r="Z1386" i="43"/>
  <c r="AA1386" i="43"/>
  <c r="AB1386" i="43"/>
  <c r="W1387" i="43"/>
  <c r="X1387" i="43"/>
  <c r="Y1387" i="43"/>
  <c r="Z1387" i="43"/>
  <c r="AA1387" i="43"/>
  <c r="AB1387" i="43"/>
  <c r="W1388" i="43"/>
  <c r="X1388" i="43"/>
  <c r="Y1388" i="43"/>
  <c r="Z1388" i="43"/>
  <c r="AA1388" i="43"/>
  <c r="AB1388" i="43"/>
  <c r="W1389" i="43"/>
  <c r="X1389" i="43"/>
  <c r="Y1389" i="43"/>
  <c r="Z1389" i="43"/>
  <c r="AA1389" i="43"/>
  <c r="AB1389" i="43"/>
  <c r="W1390" i="43"/>
  <c r="X1390" i="43"/>
  <c r="Y1390" i="43"/>
  <c r="Z1390" i="43"/>
  <c r="AA1390" i="43"/>
  <c r="AB1390" i="43"/>
  <c r="W1391" i="43"/>
  <c r="X1391" i="43"/>
  <c r="Y1391" i="43"/>
  <c r="Z1391" i="43"/>
  <c r="AA1391" i="43"/>
  <c r="AB1391" i="43"/>
  <c r="W1392" i="43"/>
  <c r="X1392" i="43"/>
  <c r="Y1392" i="43"/>
  <c r="Z1392" i="43"/>
  <c r="AA1392" i="43"/>
  <c r="AB1392" i="43"/>
  <c r="W1393" i="43"/>
  <c r="X1393" i="43"/>
  <c r="Y1393" i="43"/>
  <c r="Z1393" i="43"/>
  <c r="AA1393" i="43"/>
  <c r="AB1393" i="43"/>
  <c r="W1394" i="43"/>
  <c r="X1394" i="43"/>
  <c r="Y1394" i="43"/>
  <c r="Z1394" i="43"/>
  <c r="AA1394" i="43"/>
  <c r="AB1394" i="43"/>
  <c r="W1395" i="43"/>
  <c r="X1395" i="43"/>
  <c r="Y1395" i="43"/>
  <c r="Z1395" i="43"/>
  <c r="AA1395" i="43"/>
  <c r="AB1395" i="43"/>
  <c r="W1396" i="43"/>
  <c r="X1396" i="43"/>
  <c r="Y1396" i="43"/>
  <c r="Z1396" i="43"/>
  <c r="AA1396" i="43"/>
  <c r="AB1396" i="43"/>
  <c r="W1397" i="43"/>
  <c r="X1397" i="43"/>
  <c r="Y1397" i="43"/>
  <c r="Z1397" i="43"/>
  <c r="AA1397" i="43"/>
  <c r="AB1397" i="43"/>
  <c r="W1398" i="43"/>
  <c r="X1398" i="43"/>
  <c r="Y1398" i="43"/>
  <c r="Z1398" i="43"/>
  <c r="AA1398" i="43"/>
  <c r="AB1398" i="43"/>
  <c r="W1399" i="43"/>
  <c r="X1399" i="43"/>
  <c r="Y1399" i="43"/>
  <c r="Z1399" i="43"/>
  <c r="AA1399" i="43"/>
  <c r="AB1399" i="43"/>
  <c r="W1400" i="43"/>
  <c r="X1400" i="43"/>
  <c r="Y1400" i="43"/>
  <c r="Z1400" i="43"/>
  <c r="AA1400" i="43"/>
  <c r="AB1400" i="43"/>
  <c r="W1401" i="43"/>
  <c r="X1401" i="43"/>
  <c r="Y1401" i="43"/>
  <c r="Z1401" i="43"/>
  <c r="AA1401" i="43"/>
  <c r="AB1401" i="43"/>
  <c r="W1402" i="43"/>
  <c r="X1402" i="43"/>
  <c r="Y1402" i="43"/>
  <c r="Z1402" i="43"/>
  <c r="AA1402" i="43"/>
  <c r="AB1402" i="43"/>
  <c r="W1403" i="43"/>
  <c r="X1403" i="43"/>
  <c r="Y1403" i="43"/>
  <c r="Z1403" i="43"/>
  <c r="AA1403" i="43"/>
  <c r="AB1403" i="43"/>
  <c r="W1404" i="43"/>
  <c r="X1404" i="43"/>
  <c r="Y1404" i="43"/>
  <c r="Z1404" i="43"/>
  <c r="AA1404" i="43"/>
  <c r="AB1404" i="43"/>
  <c r="W1405" i="43"/>
  <c r="X1405" i="43"/>
  <c r="Y1405" i="43"/>
  <c r="Z1405" i="43"/>
  <c r="AA1405" i="43"/>
  <c r="AB1405" i="43"/>
  <c r="W1406" i="43"/>
  <c r="X1406" i="43"/>
  <c r="Y1406" i="43"/>
  <c r="Z1406" i="43"/>
  <c r="AA1406" i="43"/>
  <c r="AB1406" i="43"/>
  <c r="W1407" i="43"/>
  <c r="X1407" i="43"/>
  <c r="Y1407" i="43"/>
  <c r="Z1407" i="43"/>
  <c r="AA1407" i="43"/>
  <c r="AB1407" i="43"/>
  <c r="W1408" i="43"/>
  <c r="X1408" i="43"/>
  <c r="Y1408" i="43"/>
  <c r="Z1408" i="43"/>
  <c r="AA1408" i="43"/>
  <c r="AB1408" i="43"/>
  <c r="W1409" i="43"/>
  <c r="X1409" i="43"/>
  <c r="Y1409" i="43"/>
  <c r="Z1409" i="43"/>
  <c r="AA1409" i="43"/>
  <c r="AB1409" i="43"/>
  <c r="W1410" i="43"/>
  <c r="X1410" i="43"/>
  <c r="Y1410" i="43"/>
  <c r="Z1410" i="43"/>
  <c r="AA1410" i="43"/>
  <c r="AB1410" i="43"/>
  <c r="W1411" i="43"/>
  <c r="X1411" i="43"/>
  <c r="Y1411" i="43"/>
  <c r="Z1411" i="43"/>
  <c r="AA1411" i="43"/>
  <c r="AB1411" i="43"/>
  <c r="W1412" i="43"/>
  <c r="X1412" i="43"/>
  <c r="Y1412" i="43"/>
  <c r="Z1412" i="43"/>
  <c r="AA1412" i="43"/>
  <c r="AB1412" i="43"/>
  <c r="W1413" i="43"/>
  <c r="X1413" i="43"/>
  <c r="Y1413" i="43"/>
  <c r="Z1413" i="43"/>
  <c r="AA1413" i="43"/>
  <c r="AB1413" i="43"/>
  <c r="W1414" i="43"/>
  <c r="X1414" i="43"/>
  <c r="Y1414" i="43"/>
  <c r="Z1414" i="43"/>
  <c r="AA1414" i="43"/>
  <c r="AB1414" i="43"/>
  <c r="W1415" i="43"/>
  <c r="X1415" i="43"/>
  <c r="Y1415" i="43"/>
  <c r="Z1415" i="43"/>
  <c r="AA1415" i="43"/>
  <c r="AB1415" i="43"/>
  <c r="W1416" i="43"/>
  <c r="X1416" i="43"/>
  <c r="Y1416" i="43"/>
  <c r="Z1416" i="43"/>
  <c r="AA1416" i="43"/>
  <c r="AB1416" i="43"/>
  <c r="W1417" i="43"/>
  <c r="X1417" i="43"/>
  <c r="Y1417" i="43"/>
  <c r="Z1417" i="43"/>
  <c r="AA1417" i="43"/>
  <c r="AB1417" i="43"/>
  <c r="W1418" i="43"/>
  <c r="X1418" i="43"/>
  <c r="Y1418" i="43"/>
  <c r="Z1418" i="43"/>
  <c r="AA1418" i="43"/>
  <c r="AB1418" i="43"/>
  <c r="W1419" i="43"/>
  <c r="X1419" i="43"/>
  <c r="Y1419" i="43"/>
  <c r="Z1419" i="43"/>
  <c r="AA1419" i="43"/>
  <c r="AB1419" i="43"/>
  <c r="W1420" i="43"/>
  <c r="X1420" i="43"/>
  <c r="Y1420" i="43"/>
  <c r="Z1420" i="43"/>
  <c r="AA1420" i="43"/>
  <c r="AB1420" i="43"/>
  <c r="W1421" i="43"/>
  <c r="X1421" i="43"/>
  <c r="Y1421" i="43"/>
  <c r="Z1421" i="43"/>
  <c r="AA1421" i="43"/>
  <c r="AB1421" i="43"/>
  <c r="W1422" i="43"/>
  <c r="X1422" i="43"/>
  <c r="Y1422" i="43"/>
  <c r="Z1422" i="43"/>
  <c r="AA1422" i="43"/>
  <c r="AB1422" i="43"/>
  <c r="W1423" i="43"/>
  <c r="X1423" i="43"/>
  <c r="Y1423" i="43"/>
  <c r="Z1423" i="43"/>
  <c r="AA1423" i="43"/>
  <c r="AB1423" i="43"/>
  <c r="W1424" i="43"/>
  <c r="X1424" i="43"/>
  <c r="Y1424" i="43"/>
  <c r="Z1424" i="43"/>
  <c r="AA1424" i="43"/>
  <c r="AB1424" i="43"/>
  <c r="W1425" i="43"/>
  <c r="X1425" i="43"/>
  <c r="Y1425" i="43"/>
  <c r="Z1425" i="43"/>
  <c r="AA1425" i="43"/>
  <c r="AB1425" i="43"/>
  <c r="W1426" i="43"/>
  <c r="X1426" i="43"/>
  <c r="Y1426" i="43"/>
  <c r="Z1426" i="43"/>
  <c r="AA1426" i="43"/>
  <c r="AB1426" i="43"/>
  <c r="W1427" i="43"/>
  <c r="X1427" i="43"/>
  <c r="Y1427" i="43"/>
  <c r="Z1427" i="43"/>
  <c r="AA1427" i="43"/>
  <c r="AB1427" i="43"/>
  <c r="W1428" i="43"/>
  <c r="X1428" i="43"/>
  <c r="Y1428" i="43"/>
  <c r="Z1428" i="43"/>
  <c r="AA1428" i="43"/>
  <c r="AB1428" i="43"/>
  <c r="W1429" i="43"/>
  <c r="X1429" i="43"/>
  <c r="Y1429" i="43"/>
  <c r="Z1429" i="43"/>
  <c r="AA1429" i="43"/>
  <c r="AB1429" i="43"/>
  <c r="W1430" i="43"/>
  <c r="X1430" i="43"/>
  <c r="Y1430" i="43"/>
  <c r="Z1430" i="43"/>
  <c r="AA1430" i="43"/>
  <c r="AB1430" i="43"/>
  <c r="W1431" i="43"/>
  <c r="X1431" i="43"/>
  <c r="Y1431" i="43"/>
  <c r="Z1431" i="43"/>
  <c r="AA1431" i="43"/>
  <c r="AB1431" i="43"/>
  <c r="W1432" i="43"/>
  <c r="X1432" i="43"/>
  <c r="Y1432" i="43"/>
  <c r="Z1432" i="43"/>
  <c r="AA1432" i="43"/>
  <c r="AB1432" i="43"/>
  <c r="W1433" i="43"/>
  <c r="X1433" i="43"/>
  <c r="Y1433" i="43"/>
  <c r="Z1433" i="43"/>
  <c r="AA1433" i="43"/>
  <c r="AB1433" i="43"/>
  <c r="W1434" i="43"/>
  <c r="X1434" i="43"/>
  <c r="Y1434" i="43"/>
  <c r="Z1434" i="43"/>
  <c r="AA1434" i="43"/>
  <c r="AB1434" i="43"/>
  <c r="W1435" i="43"/>
  <c r="X1435" i="43"/>
  <c r="Y1435" i="43"/>
  <c r="Z1435" i="43"/>
  <c r="AA1435" i="43"/>
  <c r="AB1435" i="43"/>
  <c r="W1436" i="43"/>
  <c r="X1436" i="43"/>
  <c r="Y1436" i="43"/>
  <c r="Z1436" i="43"/>
  <c r="AA1436" i="43"/>
  <c r="AB1436" i="43"/>
  <c r="W1437" i="43"/>
  <c r="X1437" i="43"/>
  <c r="Y1437" i="43"/>
  <c r="Z1437" i="43"/>
  <c r="AA1437" i="43"/>
  <c r="AB1437" i="43"/>
  <c r="W1438" i="43"/>
  <c r="X1438" i="43"/>
  <c r="Y1438" i="43"/>
  <c r="Z1438" i="43"/>
  <c r="AA1438" i="43"/>
  <c r="AB1438" i="43"/>
  <c r="W1439" i="43"/>
  <c r="X1439" i="43"/>
  <c r="Y1439" i="43"/>
  <c r="Z1439" i="43"/>
  <c r="AA1439" i="43"/>
  <c r="AB1439" i="43"/>
  <c r="W1440" i="43"/>
  <c r="X1440" i="43"/>
  <c r="Y1440" i="43"/>
  <c r="Z1440" i="43"/>
  <c r="AA1440" i="43"/>
  <c r="AB1440" i="43"/>
  <c r="W1441" i="43"/>
  <c r="X1441" i="43"/>
  <c r="Y1441" i="43"/>
  <c r="Z1441" i="43"/>
  <c r="AA1441" i="43"/>
  <c r="AB1441" i="43"/>
  <c r="W1442" i="43"/>
  <c r="X1442" i="43"/>
  <c r="Y1442" i="43"/>
  <c r="Z1442" i="43"/>
  <c r="AA1442" i="43"/>
  <c r="AB1442" i="43"/>
  <c r="W1443" i="43"/>
  <c r="X1443" i="43"/>
  <c r="Y1443" i="43"/>
  <c r="Z1443" i="43"/>
  <c r="AA1443" i="43"/>
  <c r="AB1443" i="43"/>
  <c r="W1444" i="43"/>
  <c r="X1444" i="43"/>
  <c r="Y1444" i="43"/>
  <c r="Z1444" i="43"/>
  <c r="AA1444" i="43"/>
  <c r="AB1444" i="43"/>
  <c r="W1445" i="43"/>
  <c r="X1445" i="43"/>
  <c r="Y1445" i="43"/>
  <c r="Z1445" i="43"/>
  <c r="AA1445" i="43"/>
  <c r="AB1445" i="43"/>
  <c r="W1446" i="43"/>
  <c r="X1446" i="43"/>
  <c r="Y1446" i="43"/>
  <c r="Z1446" i="43"/>
  <c r="AA1446" i="43"/>
  <c r="AB1446" i="43"/>
  <c r="W1447" i="43"/>
  <c r="X1447" i="43"/>
  <c r="Y1447" i="43"/>
  <c r="Z1447" i="43"/>
  <c r="AA1447" i="43"/>
  <c r="AB1447" i="43"/>
  <c r="W1448" i="43"/>
  <c r="X1448" i="43"/>
  <c r="Y1448" i="43"/>
  <c r="Z1448" i="43"/>
  <c r="AA1448" i="43"/>
  <c r="AB1448" i="43"/>
  <c r="W1449" i="43"/>
  <c r="X1449" i="43"/>
  <c r="Y1449" i="43"/>
  <c r="Z1449" i="43"/>
  <c r="AA1449" i="43"/>
  <c r="AB1449" i="43"/>
  <c r="W1450" i="43"/>
  <c r="X1450" i="43"/>
  <c r="Y1450" i="43"/>
  <c r="Z1450" i="43"/>
  <c r="AA1450" i="43"/>
  <c r="AB1450" i="43"/>
  <c r="W1451" i="43"/>
  <c r="X1451" i="43"/>
  <c r="Y1451" i="43"/>
  <c r="Z1451" i="43"/>
  <c r="AA1451" i="43"/>
  <c r="AB1451" i="43"/>
  <c r="W1452" i="43"/>
  <c r="X1452" i="43"/>
  <c r="Y1452" i="43"/>
  <c r="Z1452" i="43"/>
  <c r="AA1452" i="43"/>
  <c r="AB1452" i="43"/>
  <c r="W1453" i="43"/>
  <c r="X1453" i="43"/>
  <c r="Y1453" i="43"/>
  <c r="Z1453" i="43"/>
  <c r="AA1453" i="43"/>
  <c r="AB1453" i="43"/>
  <c r="W1454" i="43"/>
  <c r="X1454" i="43"/>
  <c r="Y1454" i="43"/>
  <c r="Z1454" i="43"/>
  <c r="AA1454" i="43"/>
  <c r="AB1454" i="43"/>
  <c r="W1455" i="43"/>
  <c r="X1455" i="43"/>
  <c r="Y1455" i="43"/>
  <c r="Z1455" i="43"/>
  <c r="AA1455" i="43"/>
  <c r="AB1455" i="43"/>
  <c r="W1456" i="43"/>
  <c r="X1456" i="43"/>
  <c r="Y1456" i="43"/>
  <c r="Z1456" i="43"/>
  <c r="AA1456" i="43"/>
  <c r="AB1456" i="43"/>
  <c r="W1457" i="43"/>
  <c r="X1457" i="43"/>
  <c r="Y1457" i="43"/>
  <c r="Z1457" i="43"/>
  <c r="AA1457" i="43"/>
  <c r="AB1457" i="43"/>
  <c r="W1458" i="43"/>
  <c r="X1458" i="43"/>
  <c r="Y1458" i="43"/>
  <c r="Z1458" i="43"/>
  <c r="AA1458" i="43"/>
  <c r="AB1458" i="43"/>
  <c r="W1459" i="43"/>
  <c r="X1459" i="43"/>
  <c r="Y1459" i="43"/>
  <c r="Z1459" i="43"/>
  <c r="AA1459" i="43"/>
  <c r="AB1459" i="43"/>
  <c r="W1460" i="43"/>
  <c r="X1460" i="43"/>
  <c r="Y1460" i="43"/>
  <c r="Z1460" i="43"/>
  <c r="AA1460" i="43"/>
  <c r="AB1460" i="43"/>
  <c r="W1461" i="43"/>
  <c r="X1461" i="43"/>
  <c r="Y1461" i="43"/>
  <c r="Z1461" i="43"/>
  <c r="AA1461" i="43"/>
  <c r="AB1461" i="43"/>
  <c r="W1462" i="43"/>
  <c r="X1462" i="43"/>
  <c r="Y1462" i="43"/>
  <c r="Z1462" i="43"/>
  <c r="AA1462" i="43"/>
  <c r="AB1462" i="43"/>
  <c r="W1463" i="43"/>
  <c r="X1463" i="43"/>
  <c r="Y1463" i="43"/>
  <c r="Z1463" i="43"/>
  <c r="AA1463" i="43"/>
  <c r="AB1463" i="43"/>
  <c r="W1464" i="43"/>
  <c r="X1464" i="43"/>
  <c r="Y1464" i="43"/>
  <c r="Z1464" i="43"/>
  <c r="AA1464" i="43"/>
  <c r="AB1464" i="43"/>
  <c r="W1465" i="43"/>
  <c r="X1465" i="43"/>
  <c r="Y1465" i="43"/>
  <c r="Z1465" i="43"/>
  <c r="AA1465" i="43"/>
  <c r="AB1465" i="43"/>
  <c r="W1466" i="43"/>
  <c r="X1466" i="43"/>
  <c r="Y1466" i="43"/>
  <c r="Z1466" i="43"/>
  <c r="AA1466" i="43"/>
  <c r="AB1466" i="43"/>
  <c r="W1467" i="43"/>
  <c r="X1467" i="43"/>
  <c r="Y1467" i="43"/>
  <c r="Z1467" i="43"/>
  <c r="AA1467" i="43"/>
  <c r="AB1467" i="43"/>
  <c r="W1468" i="43"/>
  <c r="X1468" i="43"/>
  <c r="Y1468" i="43"/>
  <c r="Z1468" i="43"/>
  <c r="AA1468" i="43"/>
  <c r="AB1468" i="43"/>
  <c r="W1469" i="43"/>
  <c r="X1469" i="43"/>
  <c r="Y1469" i="43"/>
  <c r="Z1469" i="43"/>
  <c r="AA1469" i="43"/>
  <c r="AB1469" i="43"/>
  <c r="W1470" i="43"/>
  <c r="X1470" i="43"/>
  <c r="Y1470" i="43"/>
  <c r="Z1470" i="43"/>
  <c r="AA1470" i="43"/>
  <c r="AB1470" i="43"/>
  <c r="W1471" i="43"/>
  <c r="X1471" i="43"/>
  <c r="Y1471" i="43"/>
  <c r="Z1471" i="43"/>
  <c r="AA1471" i="43"/>
  <c r="AB1471" i="43"/>
  <c r="W1472" i="43"/>
  <c r="X1472" i="43"/>
  <c r="Y1472" i="43"/>
  <c r="Z1472" i="43"/>
  <c r="AA1472" i="43"/>
  <c r="AB1472" i="43"/>
  <c r="W1473" i="43"/>
  <c r="X1473" i="43"/>
  <c r="Y1473" i="43"/>
  <c r="Z1473" i="43"/>
  <c r="AA1473" i="43"/>
  <c r="AB1473" i="43"/>
  <c r="W1474" i="43"/>
  <c r="X1474" i="43"/>
  <c r="Y1474" i="43"/>
  <c r="Z1474" i="43"/>
  <c r="AA1474" i="43"/>
  <c r="AB1474" i="43"/>
  <c r="W1475" i="43"/>
  <c r="X1475" i="43"/>
  <c r="Y1475" i="43"/>
  <c r="Z1475" i="43"/>
  <c r="AA1475" i="43"/>
  <c r="AB1475" i="43"/>
  <c r="W1476" i="43"/>
  <c r="X1476" i="43"/>
  <c r="Y1476" i="43"/>
  <c r="Z1476" i="43"/>
  <c r="AA1476" i="43"/>
  <c r="AB1476" i="43"/>
  <c r="W1477" i="43"/>
  <c r="X1477" i="43"/>
  <c r="Y1477" i="43"/>
  <c r="Z1477" i="43"/>
  <c r="AA1477" i="43"/>
  <c r="AB1477" i="43"/>
  <c r="W1478" i="43"/>
  <c r="X1478" i="43"/>
  <c r="Y1478" i="43"/>
  <c r="Z1478" i="43"/>
  <c r="AA1478" i="43"/>
  <c r="AB1478" i="43"/>
  <c r="W1479" i="43"/>
  <c r="X1479" i="43"/>
  <c r="Y1479" i="43"/>
  <c r="Z1479" i="43"/>
  <c r="AA1479" i="43"/>
  <c r="AB1479" i="43"/>
  <c r="W1480" i="43"/>
  <c r="X1480" i="43"/>
  <c r="Y1480" i="43"/>
  <c r="Z1480" i="43"/>
  <c r="AA1480" i="43"/>
  <c r="AB1480" i="43"/>
  <c r="W1481" i="43"/>
  <c r="X1481" i="43"/>
  <c r="Y1481" i="43"/>
  <c r="Z1481" i="43"/>
  <c r="AA1481" i="43"/>
  <c r="AB1481" i="43"/>
  <c r="W1482" i="43"/>
  <c r="X1482" i="43"/>
  <c r="Y1482" i="43"/>
  <c r="Z1482" i="43"/>
  <c r="AA1482" i="43"/>
  <c r="AB1482" i="43"/>
  <c r="W1483" i="43"/>
  <c r="X1483" i="43"/>
  <c r="Y1483" i="43"/>
  <c r="Z1483" i="43"/>
  <c r="AA1483" i="43"/>
  <c r="AB1483" i="43"/>
  <c r="W1484" i="43"/>
  <c r="X1484" i="43"/>
  <c r="Y1484" i="43"/>
  <c r="Z1484" i="43"/>
  <c r="AA1484" i="43"/>
  <c r="AB1484" i="43"/>
  <c r="W1485" i="43"/>
  <c r="X1485" i="43"/>
  <c r="Y1485" i="43"/>
  <c r="Z1485" i="43"/>
  <c r="AA1485" i="43"/>
  <c r="AB1485" i="43"/>
  <c r="W1486" i="43"/>
  <c r="X1486" i="43"/>
  <c r="Y1486" i="43"/>
  <c r="Z1486" i="43"/>
  <c r="AA1486" i="43"/>
  <c r="AB1486" i="43"/>
  <c r="W1487" i="43"/>
  <c r="X1487" i="43"/>
  <c r="Y1487" i="43"/>
  <c r="Z1487" i="43"/>
  <c r="AA1487" i="43"/>
  <c r="AB1487" i="43"/>
  <c r="W1488" i="43"/>
  <c r="X1488" i="43"/>
  <c r="Y1488" i="43"/>
  <c r="Z1488" i="43"/>
  <c r="AA1488" i="43"/>
  <c r="AB1488" i="43"/>
  <c r="W1489" i="43"/>
  <c r="X1489" i="43"/>
  <c r="Y1489" i="43"/>
  <c r="Z1489" i="43"/>
  <c r="AA1489" i="43"/>
  <c r="AB1489" i="43"/>
  <c r="W1490" i="43"/>
  <c r="X1490" i="43"/>
  <c r="Y1490" i="43"/>
  <c r="Z1490" i="43"/>
  <c r="AA1490" i="43"/>
  <c r="AB1490" i="43"/>
  <c r="W1491" i="43"/>
  <c r="X1491" i="43"/>
  <c r="Y1491" i="43"/>
  <c r="Z1491" i="43"/>
  <c r="AA1491" i="43"/>
  <c r="AB1491" i="43"/>
  <c r="W1492" i="43"/>
  <c r="X1492" i="43"/>
  <c r="Y1492" i="43"/>
  <c r="Z1492" i="43"/>
  <c r="AA1492" i="43"/>
  <c r="AB1492" i="43"/>
  <c r="W1493" i="43"/>
  <c r="X1493" i="43"/>
  <c r="Y1493" i="43"/>
  <c r="Z1493" i="43"/>
  <c r="AA1493" i="43"/>
  <c r="AB1493" i="43"/>
  <c r="W1494" i="43"/>
  <c r="X1494" i="43"/>
  <c r="Y1494" i="43"/>
  <c r="Z1494" i="43"/>
  <c r="AA1494" i="43"/>
  <c r="AB1494" i="43"/>
  <c r="W1495" i="43"/>
  <c r="X1495" i="43"/>
  <c r="Y1495" i="43"/>
  <c r="Z1495" i="43"/>
  <c r="AA1495" i="43"/>
  <c r="AB1495" i="43"/>
  <c r="W1496" i="43"/>
  <c r="X1496" i="43"/>
  <c r="Y1496" i="43"/>
  <c r="Z1496" i="43"/>
  <c r="AA1496" i="43"/>
  <c r="AB1496" i="43"/>
  <c r="W1497" i="43"/>
  <c r="X1497" i="43"/>
  <c r="Y1497" i="43"/>
  <c r="Z1497" i="43"/>
  <c r="AA1497" i="43"/>
  <c r="AB1497" i="43"/>
  <c r="W1498" i="43"/>
  <c r="X1498" i="43"/>
  <c r="Y1498" i="43"/>
  <c r="Z1498" i="43"/>
  <c r="AA1498" i="43"/>
  <c r="AB1498" i="43"/>
  <c r="W1499" i="43"/>
  <c r="X1499" i="43"/>
  <c r="Y1499" i="43"/>
  <c r="Z1499" i="43"/>
  <c r="AA1499" i="43"/>
  <c r="AB1499" i="43"/>
  <c r="W1500" i="43"/>
  <c r="X1500" i="43"/>
  <c r="Y1500" i="43"/>
  <c r="Z1500" i="43"/>
  <c r="AA1500" i="43"/>
  <c r="AB1500" i="43"/>
  <c r="W1501" i="43"/>
  <c r="X1501" i="43"/>
  <c r="Y1501" i="43"/>
  <c r="Z1501" i="43"/>
  <c r="AA1501" i="43"/>
  <c r="AB1501" i="43"/>
  <c r="W1502" i="43"/>
  <c r="X1502" i="43"/>
  <c r="Y1502" i="43"/>
  <c r="Z1502" i="43"/>
  <c r="AA1502" i="43"/>
  <c r="AB1502" i="43"/>
  <c r="W1503" i="43"/>
  <c r="X1503" i="43"/>
  <c r="Y1503" i="43"/>
  <c r="Z1503" i="43"/>
  <c r="AA1503" i="43"/>
  <c r="AB1503" i="43"/>
  <c r="W1504" i="43"/>
  <c r="X1504" i="43"/>
  <c r="Y1504" i="43"/>
  <c r="Z1504" i="43"/>
  <c r="AA1504" i="43"/>
  <c r="AB1504" i="43"/>
  <c r="W1505" i="43"/>
  <c r="X1505" i="43"/>
  <c r="Y1505" i="43"/>
  <c r="Z1505" i="43"/>
  <c r="AA1505" i="43"/>
  <c r="AB1505" i="43"/>
  <c r="W1506" i="43"/>
  <c r="X1506" i="43"/>
  <c r="Y1506" i="43"/>
  <c r="Z1506" i="43"/>
  <c r="AA1506" i="43"/>
  <c r="AB1506" i="43"/>
  <c r="W1507" i="43"/>
  <c r="X1507" i="43"/>
  <c r="Y1507" i="43"/>
  <c r="Z1507" i="43"/>
  <c r="AA1507" i="43"/>
  <c r="AB1507" i="43"/>
  <c r="W1508" i="43"/>
  <c r="X1508" i="43"/>
  <c r="Y1508" i="43"/>
  <c r="Z1508" i="43"/>
  <c r="AA1508" i="43"/>
  <c r="AB1508" i="43"/>
  <c r="W1509" i="43"/>
  <c r="X1509" i="43"/>
  <c r="Y1509" i="43"/>
  <c r="Z1509" i="43"/>
  <c r="AA1509" i="43"/>
  <c r="AB1509" i="43"/>
  <c r="W1510" i="43"/>
  <c r="X1510" i="43"/>
  <c r="Y1510" i="43"/>
  <c r="Z1510" i="43"/>
  <c r="AA1510" i="43"/>
  <c r="AB1510" i="43"/>
  <c r="W1511" i="43"/>
  <c r="X1511" i="43"/>
  <c r="Y1511" i="43"/>
  <c r="Z1511" i="43"/>
  <c r="AA1511" i="43"/>
  <c r="AB1511" i="43"/>
  <c r="W1512" i="43"/>
  <c r="X1512" i="43"/>
  <c r="Y1512" i="43"/>
  <c r="Z1512" i="43"/>
  <c r="AA1512" i="43"/>
  <c r="AB1512" i="43"/>
  <c r="W1513" i="43"/>
  <c r="X1513" i="43"/>
  <c r="Y1513" i="43"/>
  <c r="Z1513" i="43"/>
  <c r="AA1513" i="43"/>
  <c r="AB1513" i="43"/>
  <c r="W1514" i="43"/>
  <c r="X1514" i="43"/>
  <c r="Y1514" i="43"/>
  <c r="Z1514" i="43"/>
  <c r="AA1514" i="43"/>
  <c r="AB1514" i="43"/>
  <c r="W1515" i="43"/>
  <c r="X1515" i="43"/>
  <c r="Y1515" i="43"/>
  <c r="Z1515" i="43"/>
  <c r="AA1515" i="43"/>
  <c r="AB1515" i="43"/>
  <c r="W1516" i="43"/>
  <c r="X1516" i="43"/>
  <c r="Y1516" i="43"/>
  <c r="Z1516" i="43"/>
  <c r="AA1516" i="43"/>
  <c r="AB1516" i="43"/>
  <c r="W1517" i="43"/>
  <c r="X1517" i="43"/>
  <c r="Y1517" i="43"/>
  <c r="Z1517" i="43"/>
  <c r="AA1517" i="43"/>
  <c r="AB1517" i="43"/>
  <c r="W1518" i="43"/>
  <c r="X1518" i="43"/>
  <c r="Y1518" i="43"/>
  <c r="Z1518" i="43"/>
  <c r="AA1518" i="43"/>
  <c r="AB1518" i="43"/>
  <c r="W1519" i="43"/>
  <c r="X1519" i="43"/>
  <c r="Y1519" i="43"/>
  <c r="Z1519" i="43"/>
  <c r="AA1519" i="43"/>
  <c r="AB1519" i="43"/>
  <c r="W1520" i="43"/>
  <c r="X1520" i="43"/>
  <c r="Y1520" i="43"/>
  <c r="Z1520" i="43"/>
  <c r="AA1520" i="43"/>
  <c r="AB1520" i="43"/>
  <c r="W1521" i="43"/>
  <c r="X1521" i="43"/>
  <c r="Y1521" i="43"/>
  <c r="Z1521" i="43"/>
  <c r="AA1521" i="43"/>
  <c r="AB1521" i="43"/>
  <c r="W1522" i="43"/>
  <c r="X1522" i="43"/>
  <c r="Y1522" i="43"/>
  <c r="Z1522" i="43"/>
  <c r="AA1522" i="43"/>
  <c r="AB1522" i="43"/>
  <c r="W1523" i="43"/>
  <c r="X1523" i="43"/>
  <c r="Y1523" i="43"/>
  <c r="Z1523" i="43"/>
  <c r="AA1523" i="43"/>
  <c r="AB1523" i="43"/>
  <c r="W1524" i="43"/>
  <c r="X1524" i="43"/>
  <c r="Y1524" i="43"/>
  <c r="Z1524" i="43"/>
  <c r="AA1524" i="43"/>
  <c r="AB1524" i="43"/>
  <c r="W1525" i="43"/>
  <c r="X1525" i="43"/>
  <c r="Y1525" i="43"/>
  <c r="Z1525" i="43"/>
  <c r="AA1525" i="43"/>
  <c r="AB1525" i="43"/>
  <c r="W1526" i="43"/>
  <c r="X1526" i="43"/>
  <c r="Y1526" i="43"/>
  <c r="Z1526" i="43"/>
  <c r="AA1526" i="43"/>
  <c r="AB1526" i="43"/>
  <c r="W1527" i="43"/>
  <c r="X1527" i="43"/>
  <c r="Y1527" i="43"/>
  <c r="Z1527" i="43"/>
  <c r="AA1527" i="43"/>
  <c r="AB1527" i="43"/>
  <c r="W1528" i="43"/>
  <c r="X1528" i="43"/>
  <c r="Y1528" i="43"/>
  <c r="Z1528" i="43"/>
  <c r="AA1528" i="43"/>
  <c r="AB1528" i="43"/>
  <c r="W1529" i="43"/>
  <c r="X1529" i="43"/>
  <c r="Y1529" i="43"/>
  <c r="Z1529" i="43"/>
  <c r="AA1529" i="43"/>
  <c r="AB1529" i="43"/>
  <c r="W1530" i="43"/>
  <c r="X1530" i="43"/>
  <c r="Y1530" i="43"/>
  <c r="Z1530" i="43"/>
  <c r="AA1530" i="43"/>
  <c r="AB1530" i="43"/>
  <c r="W1531" i="43"/>
  <c r="X1531" i="43"/>
  <c r="Y1531" i="43"/>
  <c r="Z1531" i="43"/>
  <c r="AA1531" i="43"/>
  <c r="AB1531" i="43"/>
  <c r="W1532" i="43"/>
  <c r="X1532" i="43"/>
  <c r="Y1532" i="43"/>
  <c r="Z1532" i="43"/>
  <c r="AA1532" i="43"/>
  <c r="AB1532" i="43"/>
  <c r="W1533" i="43"/>
  <c r="X1533" i="43"/>
  <c r="Y1533" i="43"/>
  <c r="Z1533" i="43"/>
  <c r="AA1533" i="43"/>
  <c r="AB1533" i="43"/>
  <c r="W1534" i="43"/>
  <c r="X1534" i="43"/>
  <c r="Y1534" i="43"/>
  <c r="Z1534" i="43"/>
  <c r="AA1534" i="43"/>
  <c r="AB1534" i="43"/>
  <c r="W1535" i="43"/>
  <c r="X1535" i="43"/>
  <c r="Y1535" i="43"/>
  <c r="Z1535" i="43"/>
  <c r="AA1535" i="43"/>
  <c r="AB1535" i="43"/>
  <c r="W1536" i="43"/>
  <c r="X1536" i="43"/>
  <c r="Y1536" i="43"/>
  <c r="Z1536" i="43"/>
  <c r="AA1536" i="43"/>
  <c r="AB1536" i="43"/>
  <c r="W1537" i="43"/>
  <c r="X1537" i="43"/>
  <c r="Y1537" i="43"/>
  <c r="Z1537" i="43"/>
  <c r="AA1537" i="43"/>
  <c r="AB1537" i="43"/>
  <c r="W1538" i="43"/>
  <c r="X1538" i="43"/>
  <c r="Y1538" i="43"/>
  <c r="Z1538" i="43"/>
  <c r="AA1538" i="43"/>
  <c r="AB1538" i="43"/>
  <c r="W1539" i="43"/>
  <c r="X1539" i="43"/>
  <c r="Y1539" i="43"/>
  <c r="Z1539" i="43"/>
  <c r="AA1539" i="43"/>
  <c r="AB1539" i="43"/>
  <c r="W1540" i="43"/>
  <c r="X1540" i="43"/>
  <c r="Y1540" i="43"/>
  <c r="Z1540" i="43"/>
  <c r="AA1540" i="43"/>
  <c r="AB1540" i="43"/>
  <c r="W1541" i="43"/>
  <c r="X1541" i="43"/>
  <c r="Y1541" i="43"/>
  <c r="Z1541" i="43"/>
  <c r="AA1541" i="43"/>
  <c r="AB1541" i="43"/>
  <c r="W1542" i="43"/>
  <c r="X1542" i="43"/>
  <c r="Y1542" i="43"/>
  <c r="Z1542" i="43"/>
  <c r="AA1542" i="43"/>
  <c r="AB1542" i="43"/>
  <c r="W1543" i="43"/>
  <c r="X1543" i="43"/>
  <c r="Y1543" i="43"/>
  <c r="Z1543" i="43"/>
  <c r="AA1543" i="43"/>
  <c r="AB1543" i="43"/>
  <c r="W1544" i="43"/>
  <c r="X1544" i="43"/>
  <c r="Y1544" i="43"/>
  <c r="Z1544" i="43"/>
  <c r="AA1544" i="43"/>
  <c r="AB1544" i="43"/>
  <c r="W1545" i="43"/>
  <c r="X1545" i="43"/>
  <c r="Y1545" i="43"/>
  <c r="Z1545" i="43"/>
  <c r="AA1545" i="43"/>
  <c r="AB1545" i="43"/>
  <c r="W1546" i="43"/>
  <c r="X1546" i="43"/>
  <c r="Y1546" i="43"/>
  <c r="Z1546" i="43"/>
  <c r="AA1546" i="43"/>
  <c r="AB1546" i="43"/>
  <c r="W1547" i="43"/>
  <c r="X1547" i="43"/>
  <c r="Y1547" i="43"/>
  <c r="Z1547" i="43"/>
  <c r="AA1547" i="43"/>
  <c r="AB1547" i="43"/>
  <c r="W1548" i="43"/>
  <c r="X1548" i="43"/>
  <c r="Y1548" i="43"/>
  <c r="Z1548" i="43"/>
  <c r="AA1548" i="43"/>
  <c r="AB1548" i="43"/>
  <c r="W1549" i="43"/>
  <c r="X1549" i="43"/>
  <c r="Y1549" i="43"/>
  <c r="Z1549" i="43"/>
  <c r="AA1549" i="43"/>
  <c r="AB1549" i="43"/>
  <c r="W1550" i="43"/>
  <c r="X1550" i="43"/>
  <c r="Y1550" i="43"/>
  <c r="Z1550" i="43"/>
  <c r="AA1550" i="43"/>
  <c r="AB1550" i="43"/>
  <c r="W1551" i="43"/>
  <c r="X1551" i="43"/>
  <c r="Y1551" i="43"/>
  <c r="Z1551" i="43"/>
  <c r="AA1551" i="43"/>
  <c r="AB1551" i="43"/>
  <c r="W1552" i="43"/>
  <c r="X1552" i="43"/>
  <c r="Y1552" i="43"/>
  <c r="Z1552" i="43"/>
  <c r="AA1552" i="43"/>
  <c r="AB1552" i="43"/>
  <c r="W1553" i="43"/>
  <c r="X1553" i="43"/>
  <c r="Y1553" i="43"/>
  <c r="Z1553" i="43"/>
  <c r="AA1553" i="43"/>
  <c r="AB1553" i="43"/>
  <c r="W1554" i="43"/>
  <c r="X1554" i="43"/>
  <c r="Y1554" i="43"/>
  <c r="Z1554" i="43"/>
  <c r="AA1554" i="43"/>
  <c r="AB1554" i="43"/>
  <c r="W1555" i="43"/>
  <c r="X1555" i="43"/>
  <c r="Y1555" i="43"/>
  <c r="Z1555" i="43"/>
  <c r="AA1555" i="43"/>
  <c r="AB1555" i="43"/>
  <c r="W1556" i="43"/>
  <c r="X1556" i="43"/>
  <c r="Y1556" i="43"/>
  <c r="Z1556" i="43"/>
  <c r="AA1556" i="43"/>
  <c r="AB1556" i="43"/>
  <c r="W1557" i="43"/>
  <c r="X1557" i="43"/>
  <c r="Y1557" i="43"/>
  <c r="Z1557" i="43"/>
  <c r="AA1557" i="43"/>
  <c r="AB1557" i="43"/>
  <c r="W1558" i="43"/>
  <c r="X1558" i="43"/>
  <c r="Y1558" i="43"/>
  <c r="Z1558" i="43"/>
  <c r="AA1558" i="43"/>
  <c r="AB1558" i="43"/>
  <c r="W1559" i="43"/>
  <c r="X1559" i="43"/>
  <c r="Y1559" i="43"/>
  <c r="Z1559" i="43"/>
  <c r="AA1559" i="43"/>
  <c r="AB1559" i="43"/>
  <c r="W1560" i="43"/>
  <c r="X1560" i="43"/>
  <c r="Y1560" i="43"/>
  <c r="Z1560" i="43"/>
  <c r="AA1560" i="43"/>
  <c r="AB1560" i="43"/>
  <c r="W1561" i="43"/>
  <c r="X1561" i="43"/>
  <c r="Y1561" i="43"/>
  <c r="Z1561" i="43"/>
  <c r="AA1561" i="43"/>
  <c r="AB1561" i="43"/>
  <c r="W1562" i="43"/>
  <c r="X1562" i="43"/>
  <c r="Y1562" i="43"/>
  <c r="Z1562" i="43"/>
  <c r="AA1562" i="43"/>
  <c r="AB1562" i="43"/>
  <c r="W1563" i="43"/>
  <c r="X1563" i="43"/>
  <c r="Y1563" i="43"/>
  <c r="Z1563" i="43"/>
  <c r="AA1563" i="43"/>
  <c r="AB1563" i="43"/>
  <c r="W1564" i="43"/>
  <c r="X1564" i="43"/>
  <c r="Y1564" i="43"/>
  <c r="Z1564" i="43"/>
  <c r="AA1564" i="43"/>
  <c r="AB1564" i="43"/>
  <c r="W1565" i="43"/>
  <c r="X1565" i="43"/>
  <c r="Y1565" i="43"/>
  <c r="Z1565" i="43"/>
  <c r="AA1565" i="43"/>
  <c r="AB1565" i="43"/>
  <c r="W1566" i="43"/>
  <c r="X1566" i="43"/>
  <c r="Y1566" i="43"/>
  <c r="Z1566" i="43"/>
  <c r="AA1566" i="43"/>
  <c r="AB1566" i="43"/>
  <c r="W1567" i="43"/>
  <c r="X1567" i="43"/>
  <c r="Y1567" i="43"/>
  <c r="Z1567" i="43"/>
  <c r="AA1567" i="43"/>
  <c r="AB1567" i="43"/>
  <c r="W1568" i="43"/>
  <c r="X1568" i="43"/>
  <c r="Y1568" i="43"/>
  <c r="Z1568" i="43"/>
  <c r="AA1568" i="43"/>
  <c r="AB1568" i="43"/>
  <c r="W1569" i="43"/>
  <c r="X1569" i="43"/>
  <c r="Y1569" i="43"/>
  <c r="Z1569" i="43"/>
  <c r="AA1569" i="43"/>
  <c r="AB1569" i="43"/>
  <c r="W1570" i="43"/>
  <c r="X1570" i="43"/>
  <c r="Y1570" i="43"/>
  <c r="Z1570" i="43"/>
  <c r="AA1570" i="43"/>
  <c r="AB1570" i="43"/>
  <c r="W1571" i="43"/>
  <c r="X1571" i="43"/>
  <c r="Y1571" i="43"/>
  <c r="Z1571" i="43"/>
  <c r="AA1571" i="43"/>
  <c r="AB1571" i="43"/>
  <c r="W1572" i="43"/>
  <c r="X1572" i="43"/>
  <c r="Y1572" i="43"/>
  <c r="Z1572" i="43"/>
  <c r="AA1572" i="43"/>
  <c r="AB1572" i="43"/>
  <c r="W1573" i="43"/>
  <c r="X1573" i="43"/>
  <c r="Y1573" i="43"/>
  <c r="Z1573" i="43"/>
  <c r="AA1573" i="43"/>
  <c r="AB1573" i="43"/>
  <c r="W1574" i="43"/>
  <c r="X1574" i="43"/>
  <c r="Y1574" i="43"/>
  <c r="Z1574" i="43"/>
  <c r="AA1574" i="43"/>
  <c r="AB1574" i="43"/>
  <c r="W1575" i="43"/>
  <c r="X1575" i="43"/>
  <c r="Y1575" i="43"/>
  <c r="Z1575" i="43"/>
  <c r="AA1575" i="43"/>
  <c r="AB1575" i="43"/>
  <c r="W1576" i="43"/>
  <c r="X1576" i="43"/>
  <c r="Y1576" i="43"/>
  <c r="Z1576" i="43"/>
  <c r="AA1576" i="43"/>
  <c r="AB1576" i="43"/>
  <c r="W1577" i="43"/>
  <c r="X1577" i="43"/>
  <c r="Y1577" i="43"/>
  <c r="Z1577" i="43"/>
  <c r="AA1577" i="43"/>
  <c r="AB1577" i="43"/>
  <c r="W1578" i="43"/>
  <c r="X1578" i="43"/>
  <c r="Y1578" i="43"/>
  <c r="Z1578" i="43"/>
  <c r="AA1578" i="43"/>
  <c r="AB1578" i="43"/>
  <c r="W1579" i="43"/>
  <c r="X1579" i="43"/>
  <c r="Y1579" i="43"/>
  <c r="Z1579" i="43"/>
  <c r="AA1579" i="43"/>
  <c r="AB1579" i="43"/>
  <c r="W1580" i="43"/>
  <c r="X1580" i="43"/>
  <c r="Y1580" i="43"/>
  <c r="Z1580" i="43"/>
  <c r="AA1580" i="43"/>
  <c r="AB1580" i="43"/>
  <c r="W1581" i="43"/>
  <c r="X1581" i="43"/>
  <c r="Y1581" i="43"/>
  <c r="Z1581" i="43"/>
  <c r="AA1581" i="43"/>
  <c r="AB1581" i="43"/>
  <c r="W1582" i="43"/>
  <c r="X1582" i="43"/>
  <c r="Y1582" i="43"/>
  <c r="Z1582" i="43"/>
  <c r="AA1582" i="43"/>
  <c r="AB1582" i="43"/>
  <c r="W1583" i="43"/>
  <c r="X1583" i="43"/>
  <c r="Y1583" i="43"/>
  <c r="Z1583" i="43"/>
  <c r="AA1583" i="43"/>
  <c r="AB1583" i="43"/>
  <c r="W1584" i="43"/>
  <c r="X1584" i="43"/>
  <c r="Y1584" i="43"/>
  <c r="Z1584" i="43"/>
  <c r="AA1584" i="43"/>
  <c r="AB1584" i="43"/>
  <c r="W1585" i="43"/>
  <c r="X1585" i="43"/>
  <c r="Y1585" i="43"/>
  <c r="Z1585" i="43"/>
  <c r="AA1585" i="43"/>
  <c r="AB1585" i="43"/>
  <c r="W1586" i="43"/>
  <c r="X1586" i="43"/>
  <c r="Y1586" i="43"/>
  <c r="Z1586" i="43"/>
  <c r="AA1586" i="43"/>
  <c r="AB1586" i="43"/>
  <c r="W1587" i="43"/>
  <c r="X1587" i="43"/>
  <c r="Y1587" i="43"/>
  <c r="Z1587" i="43"/>
  <c r="AA1587" i="43"/>
  <c r="AB1587" i="43"/>
  <c r="W1588" i="43"/>
  <c r="X1588" i="43"/>
  <c r="Y1588" i="43"/>
  <c r="Z1588" i="43"/>
  <c r="AA1588" i="43"/>
  <c r="AB1588" i="43"/>
  <c r="W1589" i="43"/>
  <c r="X1589" i="43"/>
  <c r="Y1589" i="43"/>
  <c r="Z1589" i="43"/>
  <c r="AA1589" i="43"/>
  <c r="AB1589" i="43"/>
  <c r="W1590" i="43"/>
  <c r="X1590" i="43"/>
  <c r="Y1590" i="43"/>
  <c r="Z1590" i="43"/>
  <c r="AA1590" i="43"/>
  <c r="AB1590" i="43"/>
  <c r="W1591" i="43"/>
  <c r="X1591" i="43"/>
  <c r="Y1591" i="43"/>
  <c r="Z1591" i="43"/>
  <c r="AA1591" i="43"/>
  <c r="AB1591" i="43"/>
  <c r="W1592" i="43"/>
  <c r="X1592" i="43"/>
  <c r="Y1592" i="43"/>
  <c r="Z1592" i="43"/>
  <c r="AA1592" i="43"/>
  <c r="AB1592" i="43"/>
  <c r="W1593" i="43"/>
  <c r="X1593" i="43"/>
  <c r="Y1593" i="43"/>
  <c r="Z1593" i="43"/>
  <c r="AA1593" i="43"/>
  <c r="AB1593" i="43"/>
  <c r="W1594" i="43"/>
  <c r="X1594" i="43"/>
  <c r="Y1594" i="43"/>
  <c r="Z1594" i="43"/>
  <c r="AA1594" i="43"/>
  <c r="AB1594" i="43"/>
  <c r="W1595" i="43"/>
  <c r="X1595" i="43"/>
  <c r="Y1595" i="43"/>
  <c r="Z1595" i="43"/>
  <c r="AA1595" i="43"/>
  <c r="AB1595" i="43"/>
  <c r="W1596" i="43"/>
  <c r="X1596" i="43"/>
  <c r="Y1596" i="43"/>
  <c r="Z1596" i="43"/>
  <c r="AA1596" i="43"/>
  <c r="AB1596" i="43"/>
  <c r="W1597" i="43"/>
  <c r="X1597" i="43"/>
  <c r="Y1597" i="43"/>
  <c r="Z1597" i="43"/>
  <c r="AA1597" i="43"/>
  <c r="AB1597" i="43"/>
  <c r="W1598" i="43"/>
  <c r="X1598" i="43"/>
  <c r="Y1598" i="43"/>
  <c r="Z1598" i="43"/>
  <c r="AA1598" i="43"/>
  <c r="AB1598" i="43"/>
  <c r="W1599" i="43"/>
  <c r="X1599" i="43"/>
  <c r="Y1599" i="43"/>
  <c r="Z1599" i="43"/>
  <c r="AA1599" i="43"/>
  <c r="AB1599" i="43"/>
  <c r="W1600" i="43"/>
  <c r="X1600" i="43"/>
  <c r="Y1600" i="43"/>
  <c r="Z1600" i="43"/>
  <c r="AA1600" i="43"/>
  <c r="AB1600" i="43"/>
  <c r="W1601" i="43"/>
  <c r="X1601" i="43"/>
  <c r="Y1601" i="43"/>
  <c r="Z1601" i="43"/>
  <c r="AA1601" i="43"/>
  <c r="AB1601" i="43"/>
  <c r="W1602" i="43"/>
  <c r="X1602" i="43"/>
  <c r="Y1602" i="43"/>
  <c r="Z1602" i="43"/>
  <c r="AA1602" i="43"/>
  <c r="AB1602" i="43"/>
  <c r="W1603" i="43"/>
  <c r="X1603" i="43"/>
  <c r="Y1603" i="43"/>
  <c r="Z1603" i="43"/>
  <c r="AA1603" i="43"/>
  <c r="AB1603" i="43"/>
  <c r="W1604" i="43"/>
  <c r="X1604" i="43"/>
  <c r="Y1604" i="43"/>
  <c r="Z1604" i="43"/>
  <c r="AA1604" i="43"/>
  <c r="AB1604" i="43"/>
  <c r="W1605" i="43"/>
  <c r="X1605" i="43"/>
  <c r="Y1605" i="43"/>
  <c r="Z1605" i="43"/>
  <c r="AA1605" i="43"/>
  <c r="AB1605" i="43"/>
  <c r="W1606" i="43"/>
  <c r="X1606" i="43"/>
  <c r="Y1606" i="43"/>
  <c r="Z1606" i="43"/>
  <c r="AA1606" i="43"/>
  <c r="AB1606" i="43"/>
  <c r="W1607" i="43"/>
  <c r="X1607" i="43"/>
  <c r="Y1607" i="43"/>
  <c r="Z1607" i="43"/>
  <c r="AA1607" i="43"/>
  <c r="AB1607" i="43"/>
  <c r="W1608" i="43"/>
  <c r="X1608" i="43"/>
  <c r="Y1608" i="43"/>
  <c r="Z1608" i="43"/>
  <c r="AA1608" i="43"/>
  <c r="AB1608" i="43"/>
  <c r="W1609" i="43"/>
  <c r="X1609" i="43"/>
  <c r="Y1609" i="43"/>
  <c r="Z1609" i="43"/>
  <c r="AA1609" i="43"/>
  <c r="AB1609" i="43"/>
  <c r="W1610" i="43"/>
  <c r="X1610" i="43"/>
  <c r="Y1610" i="43"/>
  <c r="Z1610" i="43"/>
  <c r="AA1610" i="43"/>
  <c r="AB1610" i="43"/>
  <c r="W1611" i="43"/>
  <c r="X1611" i="43"/>
  <c r="Y1611" i="43"/>
  <c r="Z1611" i="43"/>
  <c r="AA1611" i="43"/>
  <c r="AB1611" i="43"/>
  <c r="W1612" i="43"/>
  <c r="X1612" i="43"/>
  <c r="Y1612" i="43"/>
  <c r="Z1612" i="43"/>
  <c r="AA1612" i="43"/>
  <c r="AB1612" i="43"/>
  <c r="W1613" i="43"/>
  <c r="X1613" i="43"/>
  <c r="Y1613" i="43"/>
  <c r="Z1613" i="43"/>
  <c r="AA1613" i="43"/>
  <c r="AB1613" i="43"/>
  <c r="W1614" i="43"/>
  <c r="X1614" i="43"/>
  <c r="Y1614" i="43"/>
  <c r="Z1614" i="43"/>
  <c r="AA1614" i="43"/>
  <c r="AB1614" i="43"/>
  <c r="W1615" i="43"/>
  <c r="X1615" i="43"/>
  <c r="Y1615" i="43"/>
  <c r="Z1615" i="43"/>
  <c r="AA1615" i="43"/>
  <c r="AB1615" i="43"/>
  <c r="W1616" i="43"/>
  <c r="X1616" i="43"/>
  <c r="Y1616" i="43"/>
  <c r="Z1616" i="43"/>
  <c r="AA1616" i="43"/>
  <c r="AB1616" i="43"/>
  <c r="W1617" i="43"/>
  <c r="X1617" i="43"/>
  <c r="Y1617" i="43"/>
  <c r="Z1617" i="43"/>
  <c r="AA1617" i="43"/>
  <c r="AB1617" i="43"/>
  <c r="W1618" i="43"/>
  <c r="X1618" i="43"/>
  <c r="Y1618" i="43"/>
  <c r="Z1618" i="43"/>
  <c r="AA1618" i="43"/>
  <c r="AB1618" i="43"/>
  <c r="W1619" i="43"/>
  <c r="X1619" i="43"/>
  <c r="Y1619" i="43"/>
  <c r="Z1619" i="43"/>
  <c r="AA1619" i="43"/>
  <c r="AB1619" i="43"/>
  <c r="W1620" i="43"/>
  <c r="X1620" i="43"/>
  <c r="Y1620" i="43"/>
  <c r="Z1620" i="43"/>
  <c r="AA1620" i="43"/>
  <c r="AB1620" i="43"/>
  <c r="W1621" i="43"/>
  <c r="X1621" i="43"/>
  <c r="Y1621" i="43"/>
  <c r="Z1621" i="43"/>
  <c r="AA1621" i="43"/>
  <c r="AB1621" i="43"/>
  <c r="W1622" i="43"/>
  <c r="X1622" i="43"/>
  <c r="Y1622" i="43"/>
  <c r="Z1622" i="43"/>
  <c r="AA1622" i="43"/>
  <c r="AB1622" i="43"/>
  <c r="W1623" i="43"/>
  <c r="X1623" i="43"/>
  <c r="Y1623" i="43"/>
  <c r="Z1623" i="43"/>
  <c r="AA1623" i="43"/>
  <c r="AB1623" i="43"/>
  <c r="W1624" i="43"/>
  <c r="X1624" i="43"/>
  <c r="Y1624" i="43"/>
  <c r="Z1624" i="43"/>
  <c r="AA1624" i="43"/>
  <c r="AB1624" i="43"/>
  <c r="W1625" i="43"/>
  <c r="X1625" i="43"/>
  <c r="Y1625" i="43"/>
  <c r="Z1625" i="43"/>
  <c r="AA1625" i="43"/>
  <c r="AB1625" i="43"/>
  <c r="W1626" i="43"/>
  <c r="X1626" i="43"/>
  <c r="Y1626" i="43"/>
  <c r="Z1626" i="43"/>
  <c r="AA1626" i="43"/>
  <c r="AB1626" i="43"/>
  <c r="W1627" i="43"/>
  <c r="X1627" i="43"/>
  <c r="Y1627" i="43"/>
  <c r="Z1627" i="43"/>
  <c r="AA1627" i="43"/>
  <c r="AB1627" i="43"/>
  <c r="W1628" i="43"/>
  <c r="X1628" i="43"/>
  <c r="Y1628" i="43"/>
  <c r="Z1628" i="43"/>
  <c r="AA1628" i="43"/>
  <c r="AB1628" i="43"/>
  <c r="W1629" i="43"/>
  <c r="X1629" i="43"/>
  <c r="Y1629" i="43"/>
  <c r="Z1629" i="43"/>
  <c r="AA1629" i="43"/>
  <c r="AB1629" i="43"/>
  <c r="W1630" i="43"/>
  <c r="X1630" i="43"/>
  <c r="Y1630" i="43"/>
  <c r="Z1630" i="43"/>
  <c r="AA1630" i="43"/>
  <c r="AB1630" i="43"/>
  <c r="W1631" i="43"/>
  <c r="X1631" i="43"/>
  <c r="Y1631" i="43"/>
  <c r="Z1631" i="43"/>
  <c r="AA1631" i="43"/>
  <c r="AB1631" i="43"/>
  <c r="W1632" i="43"/>
  <c r="X1632" i="43"/>
  <c r="Y1632" i="43"/>
  <c r="Z1632" i="43"/>
  <c r="AA1632" i="43"/>
  <c r="AB1632" i="43"/>
  <c r="W1633" i="43"/>
  <c r="X1633" i="43"/>
  <c r="Y1633" i="43"/>
  <c r="Z1633" i="43"/>
  <c r="AA1633" i="43"/>
  <c r="AB1633" i="43"/>
  <c r="W1634" i="43"/>
  <c r="X1634" i="43"/>
  <c r="Y1634" i="43"/>
  <c r="Z1634" i="43"/>
  <c r="AA1634" i="43"/>
  <c r="AB1634" i="43"/>
  <c r="W1635" i="43"/>
  <c r="X1635" i="43"/>
  <c r="Y1635" i="43"/>
  <c r="Z1635" i="43"/>
  <c r="AA1635" i="43"/>
  <c r="AB1635" i="43"/>
  <c r="W1636" i="43"/>
  <c r="X1636" i="43"/>
  <c r="Y1636" i="43"/>
  <c r="Z1636" i="43"/>
  <c r="AA1636" i="43"/>
  <c r="AB1636" i="43"/>
  <c r="W1637" i="43"/>
  <c r="X1637" i="43"/>
  <c r="Y1637" i="43"/>
  <c r="Z1637" i="43"/>
  <c r="AA1637" i="43"/>
  <c r="AB1637" i="43"/>
  <c r="W1638" i="43"/>
  <c r="X1638" i="43"/>
  <c r="Y1638" i="43"/>
  <c r="Z1638" i="43"/>
  <c r="AA1638" i="43"/>
  <c r="AB1638" i="43"/>
  <c r="W1639" i="43"/>
  <c r="X1639" i="43"/>
  <c r="Y1639" i="43"/>
  <c r="Z1639" i="43"/>
  <c r="AA1639" i="43"/>
  <c r="AB1639" i="43"/>
  <c r="W1640" i="43"/>
  <c r="X1640" i="43"/>
  <c r="Y1640" i="43"/>
  <c r="Z1640" i="43"/>
  <c r="AA1640" i="43"/>
  <c r="AB1640" i="43"/>
  <c r="W1641" i="43"/>
  <c r="X1641" i="43"/>
  <c r="Y1641" i="43"/>
  <c r="Z1641" i="43"/>
  <c r="AA1641" i="43"/>
  <c r="AB1641" i="43"/>
  <c r="W1642" i="43"/>
  <c r="X1642" i="43"/>
  <c r="Y1642" i="43"/>
  <c r="Z1642" i="43"/>
  <c r="AA1642" i="43"/>
  <c r="AB1642" i="43"/>
  <c r="W1643" i="43"/>
  <c r="X1643" i="43"/>
  <c r="Y1643" i="43"/>
  <c r="Z1643" i="43"/>
  <c r="AA1643" i="43"/>
  <c r="AB1643" i="43"/>
  <c r="W1644" i="43"/>
  <c r="X1644" i="43"/>
  <c r="Y1644" i="43"/>
  <c r="Z1644" i="43"/>
  <c r="AA1644" i="43"/>
  <c r="AB1644" i="43"/>
  <c r="W1645" i="43"/>
  <c r="X1645" i="43"/>
  <c r="Y1645" i="43"/>
  <c r="Z1645" i="43"/>
  <c r="AA1645" i="43"/>
  <c r="AB1645" i="43"/>
  <c r="W1646" i="43"/>
  <c r="X1646" i="43"/>
  <c r="Y1646" i="43"/>
  <c r="Z1646" i="43"/>
  <c r="AA1646" i="43"/>
  <c r="AB1646" i="43"/>
  <c r="W1647" i="43"/>
  <c r="X1647" i="43"/>
  <c r="Y1647" i="43"/>
  <c r="Z1647" i="43"/>
  <c r="AA1647" i="43"/>
  <c r="AB1647" i="43"/>
  <c r="W1648" i="43"/>
  <c r="X1648" i="43"/>
  <c r="Y1648" i="43"/>
  <c r="Z1648" i="43"/>
  <c r="AA1648" i="43"/>
  <c r="AB1648" i="43"/>
  <c r="W1649" i="43"/>
  <c r="X1649" i="43"/>
  <c r="Y1649" i="43"/>
  <c r="Z1649" i="43"/>
  <c r="AA1649" i="43"/>
  <c r="AB1649" i="43"/>
  <c r="W1650" i="43"/>
  <c r="X1650" i="43"/>
  <c r="Y1650" i="43"/>
  <c r="Z1650" i="43"/>
  <c r="AA1650" i="43"/>
  <c r="AB1650" i="43"/>
  <c r="W1651" i="43"/>
  <c r="X1651" i="43"/>
  <c r="Y1651" i="43"/>
  <c r="Z1651" i="43"/>
  <c r="AA1651" i="43"/>
  <c r="AB1651" i="43"/>
  <c r="W1652" i="43"/>
  <c r="X1652" i="43"/>
  <c r="Y1652" i="43"/>
  <c r="Z1652" i="43"/>
  <c r="AA1652" i="43"/>
  <c r="AB1652" i="43"/>
  <c r="W1653" i="43"/>
  <c r="X1653" i="43"/>
  <c r="Y1653" i="43"/>
  <c r="Z1653" i="43"/>
  <c r="AA1653" i="43"/>
  <c r="AB1653" i="43"/>
  <c r="W1654" i="43"/>
  <c r="X1654" i="43"/>
  <c r="Y1654" i="43"/>
  <c r="Z1654" i="43"/>
  <c r="AA1654" i="43"/>
  <c r="AB1654" i="43"/>
  <c r="W1655" i="43"/>
  <c r="X1655" i="43"/>
  <c r="Y1655" i="43"/>
  <c r="Z1655" i="43"/>
  <c r="AA1655" i="43"/>
  <c r="AB1655" i="43"/>
  <c r="W1656" i="43"/>
  <c r="X1656" i="43"/>
  <c r="Y1656" i="43"/>
  <c r="Z1656" i="43"/>
  <c r="AA1656" i="43"/>
  <c r="AB1656" i="43"/>
  <c r="W1657" i="43"/>
  <c r="X1657" i="43"/>
  <c r="Y1657" i="43"/>
  <c r="Z1657" i="43"/>
  <c r="AA1657" i="43"/>
  <c r="AB1657" i="43"/>
  <c r="W1658" i="43"/>
  <c r="X1658" i="43"/>
  <c r="Y1658" i="43"/>
  <c r="Z1658" i="43"/>
  <c r="AA1658" i="43"/>
  <c r="AB1658" i="43"/>
  <c r="W1659" i="43"/>
  <c r="X1659" i="43"/>
  <c r="Y1659" i="43"/>
  <c r="Z1659" i="43"/>
  <c r="AA1659" i="43"/>
  <c r="AB1659" i="43"/>
  <c r="W1660" i="43"/>
  <c r="X1660" i="43"/>
  <c r="Y1660" i="43"/>
  <c r="Z1660" i="43"/>
  <c r="AA1660" i="43"/>
  <c r="AB1660" i="43"/>
  <c r="W1661" i="43"/>
  <c r="X1661" i="43"/>
  <c r="Y1661" i="43"/>
  <c r="Z1661" i="43"/>
  <c r="AA1661" i="43"/>
  <c r="AB1661" i="43"/>
  <c r="W1662" i="43"/>
  <c r="X1662" i="43"/>
  <c r="Y1662" i="43"/>
  <c r="Z1662" i="43"/>
  <c r="AA1662" i="43"/>
  <c r="AB1662" i="43"/>
  <c r="W1663" i="43"/>
  <c r="X1663" i="43"/>
  <c r="Y1663" i="43"/>
  <c r="Z1663" i="43"/>
  <c r="AA1663" i="43"/>
  <c r="AB1663" i="43"/>
  <c r="W1664" i="43"/>
  <c r="X1664" i="43"/>
  <c r="Y1664" i="43"/>
  <c r="Z1664" i="43"/>
  <c r="AA1664" i="43"/>
  <c r="AB1664" i="43"/>
  <c r="W1665" i="43"/>
  <c r="X1665" i="43"/>
  <c r="Y1665" i="43"/>
  <c r="Z1665" i="43"/>
  <c r="AA1665" i="43"/>
  <c r="AB1665" i="43"/>
  <c r="W1666" i="43"/>
  <c r="X1666" i="43"/>
  <c r="Y1666" i="43"/>
  <c r="Z1666" i="43"/>
  <c r="AA1666" i="43"/>
  <c r="AB1666" i="43"/>
  <c r="W1667" i="43"/>
  <c r="X1667" i="43"/>
  <c r="Y1667" i="43"/>
  <c r="Z1667" i="43"/>
  <c r="AA1667" i="43"/>
  <c r="AB1667" i="43"/>
  <c r="W1668" i="43"/>
  <c r="X1668" i="43"/>
  <c r="Y1668" i="43"/>
  <c r="Z1668" i="43"/>
  <c r="AA1668" i="43"/>
  <c r="AB1668" i="43"/>
  <c r="W1669" i="43"/>
  <c r="X1669" i="43"/>
  <c r="Y1669" i="43"/>
  <c r="Z1669" i="43"/>
  <c r="AA1669" i="43"/>
  <c r="AB1669" i="43"/>
  <c r="W1670" i="43"/>
  <c r="X1670" i="43"/>
  <c r="Y1670" i="43"/>
  <c r="Z1670" i="43"/>
  <c r="AA1670" i="43"/>
  <c r="AB1670" i="43"/>
  <c r="W1671" i="43"/>
  <c r="X1671" i="43"/>
  <c r="Y1671" i="43"/>
  <c r="Z1671" i="43"/>
  <c r="AA1671" i="43"/>
  <c r="AB1671" i="43"/>
  <c r="W1672" i="43"/>
  <c r="X1672" i="43"/>
  <c r="Y1672" i="43"/>
  <c r="Z1672" i="43"/>
  <c r="AA1672" i="43"/>
  <c r="AB1672" i="43"/>
  <c r="W1673" i="43"/>
  <c r="X1673" i="43"/>
  <c r="Y1673" i="43"/>
  <c r="Z1673" i="43"/>
  <c r="AA1673" i="43"/>
  <c r="AB1673" i="43"/>
  <c r="W1674" i="43"/>
  <c r="X1674" i="43"/>
  <c r="Y1674" i="43"/>
  <c r="Z1674" i="43"/>
  <c r="AA1674" i="43"/>
  <c r="AB1674" i="43"/>
  <c r="W1675" i="43"/>
  <c r="X1675" i="43"/>
  <c r="Y1675" i="43"/>
  <c r="Z1675" i="43"/>
  <c r="AA1675" i="43"/>
  <c r="AB1675" i="43"/>
  <c r="W1676" i="43"/>
  <c r="X1676" i="43"/>
  <c r="Y1676" i="43"/>
  <c r="Z1676" i="43"/>
  <c r="AA1676" i="43"/>
  <c r="AB1676" i="43"/>
  <c r="W1677" i="43"/>
  <c r="X1677" i="43"/>
  <c r="Y1677" i="43"/>
  <c r="Z1677" i="43"/>
  <c r="AA1677" i="43"/>
  <c r="AB1677" i="43"/>
  <c r="W1678" i="43"/>
  <c r="X1678" i="43"/>
  <c r="Y1678" i="43"/>
  <c r="Z1678" i="43"/>
  <c r="AA1678" i="43"/>
  <c r="AB1678" i="43"/>
  <c r="W1679" i="43"/>
  <c r="X1679" i="43"/>
  <c r="Y1679" i="43"/>
  <c r="Z1679" i="43"/>
  <c r="AA1679" i="43"/>
  <c r="AB1679" i="43"/>
  <c r="W1680" i="43"/>
  <c r="X1680" i="43"/>
  <c r="Y1680" i="43"/>
  <c r="Z1680" i="43"/>
  <c r="AA1680" i="43"/>
  <c r="AB1680" i="43"/>
  <c r="W1681" i="43"/>
  <c r="X1681" i="43"/>
  <c r="Y1681" i="43"/>
  <c r="Z1681" i="43"/>
  <c r="AA1681" i="43"/>
  <c r="AB1681" i="43"/>
  <c r="W1682" i="43"/>
  <c r="X1682" i="43"/>
  <c r="Y1682" i="43"/>
  <c r="Z1682" i="43"/>
  <c r="AA1682" i="43"/>
  <c r="AB1682" i="43"/>
  <c r="W1683" i="43"/>
  <c r="X1683" i="43"/>
  <c r="Y1683" i="43"/>
  <c r="Z1683" i="43"/>
  <c r="AA1683" i="43"/>
  <c r="AB1683" i="43"/>
  <c r="W1684" i="43"/>
  <c r="X1684" i="43"/>
  <c r="Y1684" i="43"/>
  <c r="Z1684" i="43"/>
  <c r="AA1684" i="43"/>
  <c r="AB1684" i="43"/>
  <c r="W1685" i="43"/>
  <c r="X1685" i="43"/>
  <c r="Y1685" i="43"/>
  <c r="Z1685" i="43"/>
  <c r="AA1685" i="43"/>
  <c r="AB1685" i="43"/>
  <c r="W1686" i="43"/>
  <c r="X1686" i="43"/>
  <c r="Y1686" i="43"/>
  <c r="Z1686" i="43"/>
  <c r="AA1686" i="43"/>
  <c r="AB1686" i="43"/>
  <c r="W1687" i="43"/>
  <c r="X1687" i="43"/>
  <c r="Y1687" i="43"/>
  <c r="Z1687" i="43"/>
  <c r="AA1687" i="43"/>
  <c r="AB1687" i="43"/>
  <c r="W1688" i="43"/>
  <c r="X1688" i="43"/>
  <c r="Y1688" i="43"/>
  <c r="Z1688" i="43"/>
  <c r="AA1688" i="43"/>
  <c r="AB1688" i="43"/>
  <c r="W1689" i="43"/>
  <c r="X1689" i="43"/>
  <c r="Y1689" i="43"/>
  <c r="Z1689" i="43"/>
  <c r="AA1689" i="43"/>
  <c r="AB1689" i="43"/>
  <c r="W1690" i="43"/>
  <c r="X1690" i="43"/>
  <c r="Y1690" i="43"/>
  <c r="Z1690" i="43"/>
  <c r="AA1690" i="43"/>
  <c r="AB1690" i="43"/>
  <c r="W1691" i="43"/>
  <c r="X1691" i="43"/>
  <c r="Y1691" i="43"/>
  <c r="Z1691" i="43"/>
  <c r="AA1691" i="43"/>
  <c r="AB1691" i="43"/>
  <c r="W1692" i="43"/>
  <c r="X1692" i="43"/>
  <c r="Y1692" i="43"/>
  <c r="Z1692" i="43"/>
  <c r="AA1692" i="43"/>
  <c r="AB1692" i="43"/>
  <c r="W1693" i="43"/>
  <c r="X1693" i="43"/>
  <c r="Y1693" i="43"/>
  <c r="Z1693" i="43"/>
  <c r="AA1693" i="43"/>
  <c r="AB1693" i="43"/>
  <c r="W1694" i="43"/>
  <c r="X1694" i="43"/>
  <c r="Y1694" i="43"/>
  <c r="Z1694" i="43"/>
  <c r="AA1694" i="43"/>
  <c r="AB1694" i="43"/>
  <c r="W1695" i="43"/>
  <c r="X1695" i="43"/>
  <c r="Y1695" i="43"/>
  <c r="Z1695" i="43"/>
  <c r="AA1695" i="43"/>
  <c r="AB1695" i="43"/>
  <c r="W1696" i="43"/>
  <c r="X1696" i="43"/>
  <c r="Y1696" i="43"/>
  <c r="Z1696" i="43"/>
  <c r="AA1696" i="43"/>
  <c r="AB1696" i="43"/>
  <c r="W1697" i="43"/>
  <c r="X1697" i="43"/>
  <c r="Y1697" i="43"/>
  <c r="Z1697" i="43"/>
  <c r="AA1697" i="43"/>
  <c r="AB1697" i="43"/>
  <c r="W1698" i="43"/>
  <c r="X1698" i="43"/>
  <c r="Y1698" i="43"/>
  <c r="Z1698" i="43"/>
  <c r="AA1698" i="43"/>
  <c r="AB1698" i="43"/>
  <c r="W1699" i="43"/>
  <c r="X1699" i="43"/>
  <c r="Y1699" i="43"/>
  <c r="Z1699" i="43"/>
  <c r="AA1699" i="43"/>
  <c r="AB1699" i="43"/>
  <c r="W1700" i="43"/>
  <c r="X1700" i="43"/>
  <c r="Y1700" i="43"/>
  <c r="Z1700" i="43"/>
  <c r="AA1700" i="43"/>
  <c r="AB1700" i="43"/>
  <c r="W1701" i="43"/>
  <c r="X1701" i="43"/>
  <c r="Y1701" i="43"/>
  <c r="Z1701" i="43"/>
  <c r="AA1701" i="43"/>
  <c r="AB1701" i="43"/>
  <c r="W1702" i="43"/>
  <c r="X1702" i="43"/>
  <c r="Y1702" i="43"/>
  <c r="Z1702" i="43"/>
  <c r="AA1702" i="43"/>
  <c r="AB1702" i="43"/>
  <c r="W1703" i="43"/>
  <c r="X1703" i="43"/>
  <c r="Y1703" i="43"/>
  <c r="Z1703" i="43"/>
  <c r="AA1703" i="43"/>
  <c r="AB1703" i="43"/>
  <c r="W1704" i="43"/>
  <c r="X1704" i="43"/>
  <c r="Y1704" i="43"/>
  <c r="Z1704" i="43"/>
  <c r="AA1704" i="43"/>
  <c r="AB1704" i="43"/>
  <c r="W1705" i="43"/>
  <c r="X1705" i="43"/>
  <c r="Y1705" i="43"/>
  <c r="Z1705" i="43"/>
  <c r="AA1705" i="43"/>
  <c r="AB1705" i="43"/>
  <c r="W1706" i="43"/>
  <c r="X1706" i="43"/>
  <c r="Y1706" i="43"/>
  <c r="Z1706" i="43"/>
  <c r="AA1706" i="43"/>
  <c r="AB1706" i="43"/>
  <c r="W1707" i="43"/>
  <c r="X1707" i="43"/>
  <c r="Y1707" i="43"/>
  <c r="Z1707" i="43"/>
  <c r="AA1707" i="43"/>
  <c r="AB1707" i="43"/>
  <c r="W1708" i="43"/>
  <c r="X1708" i="43"/>
  <c r="Y1708" i="43"/>
  <c r="Z1708" i="43"/>
  <c r="AA1708" i="43"/>
  <c r="AB1708" i="43"/>
  <c r="W1709" i="43"/>
  <c r="X1709" i="43"/>
  <c r="Y1709" i="43"/>
  <c r="Z1709" i="43"/>
  <c r="AA1709" i="43"/>
  <c r="AB1709" i="43"/>
  <c r="W1710" i="43"/>
  <c r="X1710" i="43"/>
  <c r="Y1710" i="43"/>
  <c r="Z1710" i="43"/>
  <c r="AA1710" i="43"/>
  <c r="AB1710" i="43"/>
  <c r="W1711" i="43"/>
  <c r="X1711" i="43"/>
  <c r="Y1711" i="43"/>
  <c r="Z1711" i="43"/>
  <c r="AA1711" i="43"/>
  <c r="AB1711" i="43"/>
  <c r="W1712" i="43"/>
  <c r="X1712" i="43"/>
  <c r="Y1712" i="43"/>
  <c r="Z1712" i="43"/>
  <c r="AA1712" i="43"/>
  <c r="AB1712" i="43"/>
  <c r="W1713" i="43"/>
  <c r="X1713" i="43"/>
  <c r="Y1713" i="43"/>
  <c r="Z1713" i="43"/>
  <c r="AA1713" i="43"/>
  <c r="AB1713" i="43"/>
  <c r="W1714" i="43"/>
  <c r="X1714" i="43"/>
  <c r="Y1714" i="43"/>
  <c r="Z1714" i="43"/>
  <c r="AA1714" i="43"/>
  <c r="AB1714" i="43"/>
  <c r="W1715" i="43"/>
  <c r="X1715" i="43"/>
  <c r="Y1715" i="43"/>
  <c r="Z1715" i="43"/>
  <c r="AA1715" i="43"/>
  <c r="AB1715" i="43"/>
  <c r="W1716" i="43"/>
  <c r="X1716" i="43"/>
  <c r="Y1716" i="43"/>
  <c r="Z1716" i="43"/>
  <c r="AA1716" i="43"/>
  <c r="AB1716" i="43"/>
  <c r="W1717" i="43"/>
  <c r="X1717" i="43"/>
  <c r="Y1717" i="43"/>
  <c r="Z1717" i="43"/>
  <c r="AA1717" i="43"/>
  <c r="AB1717" i="43"/>
  <c r="W1718" i="43"/>
  <c r="X1718" i="43"/>
  <c r="Y1718" i="43"/>
  <c r="Z1718" i="43"/>
  <c r="AA1718" i="43"/>
  <c r="AB1718" i="43"/>
  <c r="W1719" i="43"/>
  <c r="X1719" i="43"/>
  <c r="Y1719" i="43"/>
  <c r="Z1719" i="43"/>
  <c r="AA1719" i="43"/>
  <c r="AB1719" i="43"/>
  <c r="W1720" i="43"/>
  <c r="X1720" i="43"/>
  <c r="Y1720" i="43"/>
  <c r="Z1720" i="43"/>
  <c r="AA1720" i="43"/>
  <c r="AB1720" i="43"/>
  <c r="W1721" i="43"/>
  <c r="X1721" i="43"/>
  <c r="Y1721" i="43"/>
  <c r="Z1721" i="43"/>
  <c r="AA1721" i="43"/>
  <c r="AB1721" i="43"/>
  <c r="W1722" i="43"/>
  <c r="X1722" i="43"/>
  <c r="Y1722" i="43"/>
  <c r="Z1722" i="43"/>
  <c r="AA1722" i="43"/>
  <c r="AB1722" i="43"/>
  <c r="W1723" i="43"/>
  <c r="X1723" i="43"/>
  <c r="Y1723" i="43"/>
  <c r="Z1723" i="43"/>
  <c r="AA1723" i="43"/>
  <c r="AB1723" i="43"/>
  <c r="W1724" i="43"/>
  <c r="X1724" i="43"/>
  <c r="Y1724" i="43"/>
  <c r="Z1724" i="43"/>
  <c r="AA1724" i="43"/>
  <c r="AB1724" i="43"/>
  <c r="W1725" i="43"/>
  <c r="X1725" i="43"/>
  <c r="Y1725" i="43"/>
  <c r="Z1725" i="43"/>
  <c r="AA1725" i="43"/>
  <c r="AB1725" i="43"/>
  <c r="W1726" i="43"/>
  <c r="X1726" i="43"/>
  <c r="Y1726" i="43"/>
  <c r="Z1726" i="43"/>
  <c r="AA1726" i="43"/>
  <c r="AB1726" i="43"/>
  <c r="W1727" i="43"/>
  <c r="X1727" i="43"/>
  <c r="Y1727" i="43"/>
  <c r="Z1727" i="43"/>
  <c r="AA1727" i="43"/>
  <c r="AB1727" i="43"/>
  <c r="W1728" i="43"/>
  <c r="X1728" i="43"/>
  <c r="Y1728" i="43"/>
  <c r="Z1728" i="43"/>
  <c r="AA1728" i="43"/>
  <c r="AB1728" i="43"/>
  <c r="W1729" i="43"/>
  <c r="X1729" i="43"/>
  <c r="Y1729" i="43"/>
  <c r="Z1729" i="43"/>
  <c r="AA1729" i="43"/>
  <c r="AB1729" i="43"/>
  <c r="W1730" i="43"/>
  <c r="X1730" i="43"/>
  <c r="Y1730" i="43"/>
  <c r="Z1730" i="43"/>
  <c r="AA1730" i="43"/>
  <c r="AB1730" i="43"/>
  <c r="W1731" i="43"/>
  <c r="X1731" i="43"/>
  <c r="Y1731" i="43"/>
  <c r="Z1731" i="43"/>
  <c r="AA1731" i="43"/>
  <c r="AB1731" i="43"/>
  <c r="W1732" i="43"/>
  <c r="X1732" i="43"/>
  <c r="Y1732" i="43"/>
  <c r="Z1732" i="43"/>
  <c r="AA1732" i="43"/>
  <c r="AB1732" i="43"/>
  <c r="W1733" i="43"/>
  <c r="X1733" i="43"/>
  <c r="Y1733" i="43"/>
  <c r="Z1733" i="43"/>
  <c r="AA1733" i="43"/>
  <c r="AB1733" i="43"/>
  <c r="W1734" i="43"/>
  <c r="X1734" i="43"/>
  <c r="Y1734" i="43"/>
  <c r="Z1734" i="43"/>
  <c r="AA1734" i="43"/>
  <c r="AB1734" i="43"/>
  <c r="W1735" i="43"/>
  <c r="X1735" i="43"/>
  <c r="Y1735" i="43"/>
  <c r="Z1735" i="43"/>
  <c r="AA1735" i="43"/>
  <c r="AB1735" i="43"/>
  <c r="W1736" i="43"/>
  <c r="X1736" i="43"/>
  <c r="Y1736" i="43"/>
  <c r="Z1736" i="43"/>
  <c r="AA1736" i="43"/>
  <c r="AB1736" i="43"/>
  <c r="W1737" i="43"/>
  <c r="X1737" i="43"/>
  <c r="Y1737" i="43"/>
  <c r="Z1737" i="43"/>
  <c r="AA1737" i="43"/>
  <c r="AB1737" i="43"/>
  <c r="W1738" i="43"/>
  <c r="X1738" i="43"/>
  <c r="Y1738" i="43"/>
  <c r="Z1738" i="43"/>
  <c r="AA1738" i="43"/>
  <c r="AB1738" i="43"/>
  <c r="W1739" i="43"/>
  <c r="X1739" i="43"/>
  <c r="Y1739" i="43"/>
  <c r="Z1739" i="43"/>
  <c r="AA1739" i="43"/>
  <c r="AB1739" i="43"/>
  <c r="W1740" i="43"/>
  <c r="X1740" i="43"/>
  <c r="Y1740" i="43"/>
  <c r="Z1740" i="43"/>
  <c r="AA1740" i="43"/>
  <c r="AB1740" i="43"/>
  <c r="W1741" i="43"/>
  <c r="X1741" i="43"/>
  <c r="Y1741" i="43"/>
  <c r="Z1741" i="43"/>
  <c r="AA1741" i="43"/>
  <c r="AB1741" i="43"/>
  <c r="W1742" i="43"/>
  <c r="X1742" i="43"/>
  <c r="Y1742" i="43"/>
  <c r="Z1742" i="43"/>
  <c r="AA1742" i="43"/>
  <c r="AB1742" i="43"/>
  <c r="W1743" i="43"/>
  <c r="X1743" i="43"/>
  <c r="Y1743" i="43"/>
  <c r="Z1743" i="43"/>
  <c r="AA1743" i="43"/>
  <c r="AB1743" i="43"/>
  <c r="W1744" i="43"/>
  <c r="X1744" i="43"/>
  <c r="Y1744" i="43"/>
  <c r="Z1744" i="43"/>
  <c r="AA1744" i="43"/>
  <c r="AB1744" i="43"/>
  <c r="W1745" i="43"/>
  <c r="X1745" i="43"/>
  <c r="Y1745" i="43"/>
  <c r="Z1745" i="43"/>
  <c r="AA1745" i="43"/>
  <c r="AB1745" i="43"/>
  <c r="W1746" i="43"/>
  <c r="X1746" i="43"/>
  <c r="Y1746" i="43"/>
  <c r="Z1746" i="43"/>
  <c r="AA1746" i="43"/>
  <c r="AB1746" i="43"/>
  <c r="W1747" i="43"/>
  <c r="X1747" i="43"/>
  <c r="Y1747" i="43"/>
  <c r="Z1747" i="43"/>
  <c r="AA1747" i="43"/>
  <c r="AB1747" i="43"/>
  <c r="W1748" i="43"/>
  <c r="X1748" i="43"/>
  <c r="Y1748" i="43"/>
  <c r="Z1748" i="43"/>
  <c r="AA1748" i="43"/>
  <c r="AB1748" i="43"/>
  <c r="W1749" i="43"/>
  <c r="X1749" i="43"/>
  <c r="Y1749" i="43"/>
  <c r="Z1749" i="43"/>
  <c r="AA1749" i="43"/>
  <c r="AB1749" i="43"/>
  <c r="W1750" i="43"/>
  <c r="X1750" i="43"/>
  <c r="Y1750" i="43"/>
  <c r="Z1750" i="43"/>
  <c r="AA1750" i="43"/>
  <c r="AB1750" i="43"/>
  <c r="W1751" i="43"/>
  <c r="X1751" i="43"/>
  <c r="Y1751" i="43"/>
  <c r="Z1751" i="43"/>
  <c r="AA1751" i="43"/>
  <c r="AB1751" i="43"/>
  <c r="W1752" i="43"/>
  <c r="X1752" i="43"/>
  <c r="Y1752" i="43"/>
  <c r="Z1752" i="43"/>
  <c r="AA1752" i="43"/>
  <c r="AB1752" i="43"/>
  <c r="W1753" i="43"/>
  <c r="X1753" i="43"/>
  <c r="Y1753" i="43"/>
  <c r="Z1753" i="43"/>
  <c r="AA1753" i="43"/>
  <c r="AB1753" i="43"/>
  <c r="W1754" i="43"/>
  <c r="X1754" i="43"/>
  <c r="Y1754" i="43"/>
  <c r="Z1754" i="43"/>
  <c r="AA1754" i="43"/>
  <c r="AB1754" i="43"/>
  <c r="W1755" i="43"/>
  <c r="X1755" i="43"/>
  <c r="Y1755" i="43"/>
  <c r="Z1755" i="43"/>
  <c r="AA1755" i="43"/>
  <c r="AB1755" i="43"/>
  <c r="W1756" i="43"/>
  <c r="X1756" i="43"/>
  <c r="Y1756" i="43"/>
  <c r="Z1756" i="43"/>
  <c r="AA1756" i="43"/>
  <c r="AB1756" i="43"/>
  <c r="W1757" i="43"/>
  <c r="X1757" i="43"/>
  <c r="Y1757" i="43"/>
  <c r="Z1757" i="43"/>
  <c r="AA1757" i="43"/>
  <c r="AB1757" i="43"/>
  <c r="W1758" i="43"/>
  <c r="X1758" i="43"/>
  <c r="Y1758" i="43"/>
  <c r="Z1758" i="43"/>
  <c r="AA1758" i="43"/>
  <c r="AB1758" i="43"/>
  <c r="W1759" i="43"/>
  <c r="X1759" i="43"/>
  <c r="Y1759" i="43"/>
  <c r="Z1759" i="43"/>
  <c r="AA1759" i="43"/>
  <c r="AB1759" i="43"/>
  <c r="W1760" i="43"/>
  <c r="X1760" i="43"/>
  <c r="Y1760" i="43"/>
  <c r="Z1760" i="43"/>
  <c r="AA1760" i="43"/>
  <c r="AB1760" i="43"/>
  <c r="W1761" i="43"/>
  <c r="X1761" i="43"/>
  <c r="Y1761" i="43"/>
  <c r="Z1761" i="43"/>
  <c r="AA1761" i="43"/>
  <c r="AB1761" i="43"/>
  <c r="W1762" i="43"/>
  <c r="X1762" i="43"/>
  <c r="Y1762" i="43"/>
  <c r="Z1762" i="43"/>
  <c r="AA1762" i="43"/>
  <c r="AB1762" i="43"/>
  <c r="W1763" i="43"/>
  <c r="X1763" i="43"/>
  <c r="Y1763" i="43"/>
  <c r="Z1763" i="43"/>
  <c r="AA1763" i="43"/>
  <c r="AB1763" i="43"/>
  <c r="W1764" i="43"/>
  <c r="X1764" i="43"/>
  <c r="Y1764" i="43"/>
  <c r="Z1764" i="43"/>
  <c r="AA1764" i="43"/>
  <c r="AB1764" i="43"/>
  <c r="W1765" i="43"/>
  <c r="X1765" i="43"/>
  <c r="Y1765" i="43"/>
  <c r="Z1765" i="43"/>
  <c r="AA1765" i="43"/>
  <c r="AB1765" i="43"/>
  <c r="W1766" i="43"/>
  <c r="X1766" i="43"/>
  <c r="Y1766" i="43"/>
  <c r="Z1766" i="43"/>
  <c r="AA1766" i="43"/>
  <c r="AB1766" i="43"/>
  <c r="W1767" i="43"/>
  <c r="X1767" i="43"/>
  <c r="Y1767" i="43"/>
  <c r="Z1767" i="43"/>
  <c r="AA1767" i="43"/>
  <c r="AB1767" i="43"/>
  <c r="W1768" i="43"/>
  <c r="X1768" i="43"/>
  <c r="Y1768" i="43"/>
  <c r="Z1768" i="43"/>
  <c r="AA1768" i="43"/>
  <c r="AB1768" i="43"/>
  <c r="W1769" i="43"/>
  <c r="X1769" i="43"/>
  <c r="Y1769" i="43"/>
  <c r="Z1769" i="43"/>
  <c r="AA1769" i="43"/>
  <c r="AB1769" i="43"/>
  <c r="W1770" i="43"/>
  <c r="X1770" i="43"/>
  <c r="Y1770" i="43"/>
  <c r="Z1770" i="43"/>
  <c r="AA1770" i="43"/>
  <c r="AB1770" i="43"/>
  <c r="W1771" i="43"/>
  <c r="X1771" i="43"/>
  <c r="Y1771" i="43"/>
  <c r="Z1771" i="43"/>
  <c r="AA1771" i="43"/>
  <c r="AB1771" i="43"/>
  <c r="W1772" i="43"/>
  <c r="X1772" i="43"/>
  <c r="Y1772" i="43"/>
  <c r="Z1772" i="43"/>
  <c r="AA1772" i="43"/>
  <c r="AB1772" i="43"/>
  <c r="W1773" i="43"/>
  <c r="X1773" i="43"/>
  <c r="Y1773" i="43"/>
  <c r="Z1773" i="43"/>
  <c r="AA1773" i="43"/>
  <c r="AB1773" i="43"/>
  <c r="W1774" i="43"/>
  <c r="X1774" i="43"/>
  <c r="Y1774" i="43"/>
  <c r="Z1774" i="43"/>
  <c r="AA1774" i="43"/>
  <c r="AB1774" i="43"/>
  <c r="W1775" i="43"/>
  <c r="X1775" i="43"/>
  <c r="Y1775" i="43"/>
  <c r="Z1775" i="43"/>
  <c r="AA1775" i="43"/>
  <c r="AB1775" i="43"/>
  <c r="W1776" i="43"/>
  <c r="X1776" i="43"/>
  <c r="Y1776" i="43"/>
  <c r="Z1776" i="43"/>
  <c r="AA1776" i="43"/>
  <c r="AB1776" i="43"/>
  <c r="W1777" i="43"/>
  <c r="X1777" i="43"/>
  <c r="Y1777" i="43"/>
  <c r="Z1777" i="43"/>
  <c r="AA1777" i="43"/>
  <c r="AB1777" i="43"/>
  <c r="W1778" i="43"/>
  <c r="X1778" i="43"/>
  <c r="Y1778" i="43"/>
  <c r="Z1778" i="43"/>
  <c r="AA1778" i="43"/>
  <c r="AB1778" i="43"/>
  <c r="W1779" i="43"/>
  <c r="X1779" i="43"/>
  <c r="Y1779" i="43"/>
  <c r="Z1779" i="43"/>
  <c r="AA1779" i="43"/>
  <c r="AB1779" i="43"/>
  <c r="W1780" i="43"/>
  <c r="X1780" i="43"/>
  <c r="Y1780" i="43"/>
  <c r="Z1780" i="43"/>
  <c r="AA1780" i="43"/>
  <c r="AB1780" i="43"/>
  <c r="W1781" i="43"/>
  <c r="X1781" i="43"/>
  <c r="Y1781" i="43"/>
  <c r="Z1781" i="43"/>
  <c r="AA1781" i="43"/>
  <c r="AB1781" i="43"/>
  <c r="W1782" i="43"/>
  <c r="X1782" i="43"/>
  <c r="Y1782" i="43"/>
  <c r="Z1782" i="43"/>
  <c r="AA1782" i="43"/>
  <c r="AB1782" i="43"/>
  <c r="W1783" i="43"/>
  <c r="X1783" i="43"/>
  <c r="Y1783" i="43"/>
  <c r="Z1783" i="43"/>
  <c r="AA1783" i="43"/>
  <c r="AB1783" i="43"/>
  <c r="W1784" i="43"/>
  <c r="X1784" i="43"/>
  <c r="Y1784" i="43"/>
  <c r="Z1784" i="43"/>
  <c r="AA1784" i="43"/>
  <c r="AB1784" i="43"/>
  <c r="W1785" i="43"/>
  <c r="X1785" i="43"/>
  <c r="Y1785" i="43"/>
  <c r="Z1785" i="43"/>
  <c r="AA1785" i="43"/>
  <c r="AB1785" i="43"/>
  <c r="W1786" i="43"/>
  <c r="X1786" i="43"/>
  <c r="Y1786" i="43"/>
  <c r="Z1786" i="43"/>
  <c r="AA1786" i="43"/>
  <c r="AB1786" i="43"/>
  <c r="W1787" i="43"/>
  <c r="X1787" i="43"/>
  <c r="Y1787" i="43"/>
  <c r="Z1787" i="43"/>
  <c r="AA1787" i="43"/>
  <c r="AB1787" i="43"/>
  <c r="W1788" i="43"/>
  <c r="X1788" i="43"/>
  <c r="Y1788" i="43"/>
  <c r="Z1788" i="43"/>
  <c r="AA1788" i="43"/>
  <c r="AB1788" i="43"/>
  <c r="W1789" i="43"/>
  <c r="X1789" i="43"/>
  <c r="Y1789" i="43"/>
  <c r="Z1789" i="43"/>
  <c r="AA1789" i="43"/>
  <c r="AB1789" i="43"/>
  <c r="W1790" i="43"/>
  <c r="X1790" i="43"/>
  <c r="Y1790" i="43"/>
  <c r="Z1790" i="43"/>
  <c r="AA1790" i="43"/>
  <c r="AB1790" i="43"/>
  <c r="W1791" i="43"/>
  <c r="X1791" i="43"/>
  <c r="Y1791" i="43"/>
  <c r="Z1791" i="43"/>
  <c r="AA1791" i="43"/>
  <c r="AB1791" i="43"/>
  <c r="W1792" i="43"/>
  <c r="X1792" i="43"/>
  <c r="Y1792" i="43"/>
  <c r="Z1792" i="43"/>
  <c r="AA1792" i="43"/>
  <c r="AB1792" i="43"/>
  <c r="W1793" i="43"/>
  <c r="X1793" i="43"/>
  <c r="Y1793" i="43"/>
  <c r="Z1793" i="43"/>
  <c r="AA1793" i="43"/>
  <c r="AB1793" i="43"/>
  <c r="W1794" i="43"/>
  <c r="X1794" i="43"/>
  <c r="Y1794" i="43"/>
  <c r="Z1794" i="43"/>
  <c r="AA1794" i="43"/>
  <c r="AB1794" i="43"/>
  <c r="W1795" i="43"/>
  <c r="X1795" i="43"/>
  <c r="Y1795" i="43"/>
  <c r="Z1795" i="43"/>
  <c r="AA1795" i="43"/>
  <c r="AB1795" i="43"/>
  <c r="W1796" i="43"/>
  <c r="X1796" i="43"/>
  <c r="Y1796" i="43"/>
  <c r="Z1796" i="43"/>
  <c r="AA1796" i="43"/>
  <c r="AB1796" i="43"/>
  <c r="W1797" i="43"/>
  <c r="X1797" i="43"/>
  <c r="Y1797" i="43"/>
  <c r="Z1797" i="43"/>
  <c r="AA1797" i="43"/>
  <c r="AB1797" i="43"/>
  <c r="W1798" i="43"/>
  <c r="X1798" i="43"/>
  <c r="Y1798" i="43"/>
  <c r="Z1798" i="43"/>
  <c r="AA1798" i="43"/>
  <c r="AB1798" i="43"/>
  <c r="W1799" i="43"/>
  <c r="X1799" i="43"/>
  <c r="Y1799" i="43"/>
  <c r="Z1799" i="43"/>
  <c r="AA1799" i="43"/>
  <c r="AB1799" i="43"/>
  <c r="W1800" i="43"/>
  <c r="X1800" i="43"/>
  <c r="Y1800" i="43"/>
  <c r="Z1800" i="43"/>
  <c r="AA1800" i="43"/>
  <c r="AB1800" i="43"/>
  <c r="W1801" i="43"/>
  <c r="X1801" i="43"/>
  <c r="Y1801" i="43"/>
  <c r="Z1801" i="43"/>
  <c r="AA1801" i="43"/>
  <c r="AB1801" i="43"/>
  <c r="W1802" i="43"/>
  <c r="X1802" i="43"/>
  <c r="Y1802" i="43"/>
  <c r="Z1802" i="43"/>
  <c r="AA1802" i="43"/>
  <c r="AB1802" i="43"/>
  <c r="W1803" i="43"/>
  <c r="X1803" i="43"/>
  <c r="Y1803" i="43"/>
  <c r="Z1803" i="43"/>
  <c r="AA1803" i="43"/>
  <c r="AB1803" i="43"/>
  <c r="W1804" i="43"/>
  <c r="X1804" i="43"/>
  <c r="Y1804" i="43"/>
  <c r="Z1804" i="43"/>
  <c r="AA1804" i="43"/>
  <c r="AB1804" i="43"/>
  <c r="W1805" i="43"/>
  <c r="X1805" i="43"/>
  <c r="Y1805" i="43"/>
  <c r="Z1805" i="43"/>
  <c r="AA1805" i="43"/>
  <c r="AB1805" i="43"/>
  <c r="W1806" i="43"/>
  <c r="X1806" i="43"/>
  <c r="Y1806" i="43"/>
  <c r="Z1806" i="43"/>
  <c r="AA1806" i="43"/>
  <c r="AB1806" i="43"/>
  <c r="W1807" i="43"/>
  <c r="X1807" i="43"/>
  <c r="Y1807" i="43"/>
  <c r="Z1807" i="43"/>
  <c r="AA1807" i="43"/>
  <c r="AB1807" i="43"/>
  <c r="W1808" i="43"/>
  <c r="X1808" i="43"/>
  <c r="Y1808" i="43"/>
  <c r="Z1808" i="43"/>
  <c r="AA1808" i="43"/>
  <c r="AB1808" i="43"/>
  <c r="W1809" i="43"/>
  <c r="X1809" i="43"/>
  <c r="Y1809" i="43"/>
  <c r="Z1809" i="43"/>
  <c r="AA1809" i="43"/>
  <c r="AB1809" i="43"/>
  <c r="W1810" i="43"/>
  <c r="X1810" i="43"/>
  <c r="Y1810" i="43"/>
  <c r="Z1810" i="43"/>
  <c r="AA1810" i="43"/>
  <c r="AB1810" i="43"/>
  <c r="W1811" i="43"/>
  <c r="X1811" i="43"/>
  <c r="Y1811" i="43"/>
  <c r="Z1811" i="43"/>
  <c r="AA1811" i="43"/>
  <c r="AB1811" i="43"/>
  <c r="W1812" i="43"/>
  <c r="X1812" i="43"/>
  <c r="Y1812" i="43"/>
  <c r="Z1812" i="43"/>
  <c r="AA1812" i="43"/>
  <c r="AB1812" i="43"/>
  <c r="W1813" i="43"/>
  <c r="X1813" i="43"/>
  <c r="Y1813" i="43"/>
  <c r="Z1813" i="43"/>
  <c r="AA1813" i="43"/>
  <c r="AB1813" i="43"/>
  <c r="W1814" i="43"/>
  <c r="X1814" i="43"/>
  <c r="Y1814" i="43"/>
  <c r="Z1814" i="43"/>
  <c r="AA1814" i="43"/>
  <c r="AB1814" i="43"/>
  <c r="W1815" i="43"/>
  <c r="X1815" i="43"/>
  <c r="Y1815" i="43"/>
  <c r="Z1815" i="43"/>
  <c r="AA1815" i="43"/>
  <c r="AB1815" i="43"/>
  <c r="W1816" i="43"/>
  <c r="X1816" i="43"/>
  <c r="Y1816" i="43"/>
  <c r="Z1816" i="43"/>
  <c r="AA1816" i="43"/>
  <c r="AB1816" i="43"/>
  <c r="W1817" i="43"/>
  <c r="X1817" i="43"/>
  <c r="Y1817" i="43"/>
  <c r="Z1817" i="43"/>
  <c r="AA1817" i="43"/>
  <c r="AB1817" i="43"/>
  <c r="W1818" i="43"/>
  <c r="X1818" i="43"/>
  <c r="Y1818" i="43"/>
  <c r="Z1818" i="43"/>
  <c r="AA1818" i="43"/>
  <c r="AB1818" i="43"/>
  <c r="W1819" i="43"/>
  <c r="X1819" i="43"/>
  <c r="Y1819" i="43"/>
  <c r="Z1819" i="43"/>
  <c r="AA1819" i="43"/>
  <c r="AB1819" i="43"/>
  <c r="W1820" i="43"/>
  <c r="X1820" i="43"/>
  <c r="Y1820" i="43"/>
  <c r="Z1820" i="43"/>
  <c r="AA1820" i="43"/>
  <c r="AB1820" i="43"/>
  <c r="W1821" i="43"/>
  <c r="X1821" i="43"/>
  <c r="Y1821" i="43"/>
  <c r="Z1821" i="43"/>
  <c r="AA1821" i="43"/>
  <c r="AB1821" i="43"/>
  <c r="W1822" i="43"/>
  <c r="X1822" i="43"/>
  <c r="Y1822" i="43"/>
  <c r="Z1822" i="43"/>
  <c r="AA1822" i="43"/>
  <c r="AB1822" i="43"/>
  <c r="W1823" i="43"/>
  <c r="X1823" i="43"/>
  <c r="Y1823" i="43"/>
  <c r="Z1823" i="43"/>
  <c r="AA1823" i="43"/>
  <c r="AB1823" i="43"/>
  <c r="W1824" i="43"/>
  <c r="X1824" i="43"/>
  <c r="Y1824" i="43"/>
  <c r="Z1824" i="43"/>
  <c r="AA1824" i="43"/>
  <c r="AB1824" i="43"/>
  <c r="W1825" i="43"/>
  <c r="X1825" i="43"/>
  <c r="Y1825" i="43"/>
  <c r="Z1825" i="43"/>
  <c r="AA1825" i="43"/>
  <c r="AB1825" i="43"/>
  <c r="W1826" i="43"/>
  <c r="X1826" i="43"/>
  <c r="Y1826" i="43"/>
  <c r="Z1826" i="43"/>
  <c r="AA1826" i="43"/>
  <c r="AB1826" i="43"/>
  <c r="W1827" i="43"/>
  <c r="X1827" i="43"/>
  <c r="Y1827" i="43"/>
  <c r="Z1827" i="43"/>
  <c r="AA1827" i="43"/>
  <c r="AB1827" i="43"/>
  <c r="W1828" i="43"/>
  <c r="X1828" i="43"/>
  <c r="Y1828" i="43"/>
  <c r="Z1828" i="43"/>
  <c r="AA1828" i="43"/>
  <c r="AB1828" i="43"/>
  <c r="W1829" i="43"/>
  <c r="X1829" i="43"/>
  <c r="Y1829" i="43"/>
  <c r="Z1829" i="43"/>
  <c r="AA1829" i="43"/>
  <c r="AB1829" i="43"/>
  <c r="W1830" i="43"/>
  <c r="X1830" i="43"/>
  <c r="Y1830" i="43"/>
  <c r="Z1830" i="43"/>
  <c r="AA1830" i="43"/>
  <c r="AB1830" i="43"/>
  <c r="W1831" i="43"/>
  <c r="X1831" i="43"/>
  <c r="Y1831" i="43"/>
  <c r="Z1831" i="43"/>
  <c r="AA1831" i="43"/>
  <c r="AB1831" i="43"/>
  <c r="W1832" i="43"/>
  <c r="X1832" i="43"/>
  <c r="Y1832" i="43"/>
  <c r="Z1832" i="43"/>
  <c r="AA1832" i="43"/>
  <c r="AB1832" i="43"/>
  <c r="W1833" i="43"/>
  <c r="X1833" i="43"/>
  <c r="Y1833" i="43"/>
  <c r="Z1833" i="43"/>
  <c r="AA1833" i="43"/>
  <c r="AB1833" i="43"/>
  <c r="W1834" i="43"/>
  <c r="X1834" i="43"/>
  <c r="Y1834" i="43"/>
  <c r="Z1834" i="43"/>
  <c r="AA1834" i="43"/>
  <c r="AB1834" i="43"/>
  <c r="W1835" i="43"/>
  <c r="X1835" i="43"/>
  <c r="Y1835" i="43"/>
  <c r="Z1835" i="43"/>
  <c r="AA1835" i="43"/>
  <c r="AB1835" i="43"/>
  <c r="W1836" i="43"/>
  <c r="X1836" i="43"/>
  <c r="Y1836" i="43"/>
  <c r="Z1836" i="43"/>
  <c r="AA1836" i="43"/>
  <c r="AB1836" i="43"/>
  <c r="W1837" i="43"/>
  <c r="X1837" i="43"/>
  <c r="Y1837" i="43"/>
  <c r="Z1837" i="43"/>
  <c r="AA1837" i="43"/>
  <c r="AB1837" i="43"/>
  <c r="W1838" i="43"/>
  <c r="X1838" i="43"/>
  <c r="Y1838" i="43"/>
  <c r="Z1838" i="43"/>
  <c r="AA1838" i="43"/>
  <c r="AB1838" i="43"/>
  <c r="W1839" i="43"/>
  <c r="X1839" i="43"/>
  <c r="Y1839" i="43"/>
  <c r="Z1839" i="43"/>
  <c r="AA1839" i="43"/>
  <c r="AB1839" i="43"/>
  <c r="W1840" i="43"/>
  <c r="X1840" i="43"/>
  <c r="Y1840" i="43"/>
  <c r="Z1840" i="43"/>
  <c r="AA1840" i="43"/>
  <c r="AB1840" i="43"/>
  <c r="W1841" i="43"/>
  <c r="X1841" i="43"/>
  <c r="Y1841" i="43"/>
  <c r="Z1841" i="43"/>
  <c r="AA1841" i="43"/>
  <c r="AB1841" i="43"/>
  <c r="W1842" i="43"/>
  <c r="X1842" i="43"/>
  <c r="Y1842" i="43"/>
  <c r="Z1842" i="43"/>
  <c r="AA1842" i="43"/>
  <c r="AB1842" i="43"/>
  <c r="W1843" i="43"/>
  <c r="X1843" i="43"/>
  <c r="Y1843" i="43"/>
  <c r="Z1843" i="43"/>
  <c r="AA1843" i="43"/>
  <c r="AB1843" i="43"/>
  <c r="W1844" i="43"/>
  <c r="X1844" i="43"/>
  <c r="Y1844" i="43"/>
  <c r="Z1844" i="43"/>
  <c r="AA1844" i="43"/>
  <c r="AB1844" i="43"/>
  <c r="W1845" i="43"/>
  <c r="X1845" i="43"/>
  <c r="Y1845" i="43"/>
  <c r="Z1845" i="43"/>
  <c r="AA1845" i="43"/>
  <c r="AB1845" i="43"/>
  <c r="W1846" i="43"/>
  <c r="X1846" i="43"/>
  <c r="Y1846" i="43"/>
  <c r="Z1846" i="43"/>
  <c r="AA1846" i="43"/>
  <c r="AB1846" i="43"/>
  <c r="W1847" i="43"/>
  <c r="X1847" i="43"/>
  <c r="Y1847" i="43"/>
  <c r="Z1847" i="43"/>
  <c r="AA1847" i="43"/>
  <c r="AB1847" i="43"/>
  <c r="W1848" i="43"/>
  <c r="X1848" i="43"/>
  <c r="Y1848" i="43"/>
  <c r="Z1848" i="43"/>
  <c r="AA1848" i="43"/>
  <c r="AB1848" i="43"/>
  <c r="W1849" i="43"/>
  <c r="X1849" i="43"/>
  <c r="Y1849" i="43"/>
  <c r="Z1849" i="43"/>
  <c r="AA1849" i="43"/>
  <c r="AB1849" i="43"/>
  <c r="W1850" i="43"/>
  <c r="X1850" i="43"/>
  <c r="Y1850" i="43"/>
  <c r="Z1850" i="43"/>
  <c r="AA1850" i="43"/>
  <c r="AB1850" i="43"/>
  <c r="W1851" i="43"/>
  <c r="X1851" i="43"/>
  <c r="Y1851" i="43"/>
  <c r="Z1851" i="43"/>
  <c r="AA1851" i="43"/>
  <c r="AB1851" i="43"/>
  <c r="W1852" i="43"/>
  <c r="X1852" i="43"/>
  <c r="Y1852" i="43"/>
  <c r="Z1852" i="43"/>
  <c r="AA1852" i="43"/>
  <c r="AB1852" i="43"/>
  <c r="W1853" i="43"/>
  <c r="X1853" i="43"/>
  <c r="Y1853" i="43"/>
  <c r="Z1853" i="43"/>
  <c r="AA1853" i="43"/>
  <c r="AB1853" i="43"/>
  <c r="W1854" i="43"/>
  <c r="X1854" i="43"/>
  <c r="Y1854" i="43"/>
  <c r="Z1854" i="43"/>
  <c r="AA1854" i="43"/>
  <c r="AB1854" i="43"/>
  <c r="W1855" i="43"/>
  <c r="X1855" i="43"/>
  <c r="Y1855" i="43"/>
  <c r="Z1855" i="43"/>
  <c r="AA1855" i="43"/>
  <c r="AB1855" i="43"/>
  <c r="W1856" i="43"/>
  <c r="X1856" i="43"/>
  <c r="Y1856" i="43"/>
  <c r="Z1856" i="43"/>
  <c r="AA1856" i="43"/>
  <c r="AB1856" i="43"/>
  <c r="W1857" i="43"/>
  <c r="X1857" i="43"/>
  <c r="Y1857" i="43"/>
  <c r="Z1857" i="43"/>
  <c r="AA1857" i="43"/>
  <c r="AB1857" i="43"/>
  <c r="W1858" i="43"/>
  <c r="X1858" i="43"/>
  <c r="Y1858" i="43"/>
  <c r="Z1858" i="43"/>
  <c r="AA1858" i="43"/>
  <c r="AB1858" i="43"/>
  <c r="W1859" i="43"/>
  <c r="X1859" i="43"/>
  <c r="Y1859" i="43"/>
  <c r="Z1859" i="43"/>
  <c r="AA1859" i="43"/>
  <c r="AB1859" i="43"/>
  <c r="W1860" i="43"/>
  <c r="X1860" i="43"/>
  <c r="Y1860" i="43"/>
  <c r="Z1860" i="43"/>
  <c r="AA1860" i="43"/>
  <c r="AB1860" i="43"/>
  <c r="W1861" i="43"/>
  <c r="X1861" i="43"/>
  <c r="Y1861" i="43"/>
  <c r="Z1861" i="43"/>
  <c r="AA1861" i="43"/>
  <c r="AB1861" i="43"/>
  <c r="W1862" i="43"/>
  <c r="X1862" i="43"/>
  <c r="Y1862" i="43"/>
  <c r="Z1862" i="43"/>
  <c r="AA1862" i="43"/>
  <c r="AB1862" i="43"/>
  <c r="W1863" i="43"/>
  <c r="X1863" i="43"/>
  <c r="Y1863" i="43"/>
  <c r="Z1863" i="43"/>
  <c r="AA1863" i="43"/>
  <c r="AB1863" i="43"/>
  <c r="W1864" i="43"/>
  <c r="X1864" i="43"/>
  <c r="Y1864" i="43"/>
  <c r="Z1864" i="43"/>
  <c r="AA1864" i="43"/>
  <c r="AB1864" i="43"/>
  <c r="W1865" i="43"/>
  <c r="X1865" i="43"/>
  <c r="Y1865" i="43"/>
  <c r="Z1865" i="43"/>
  <c r="AA1865" i="43"/>
  <c r="AB1865" i="43"/>
  <c r="W1866" i="43"/>
  <c r="X1866" i="43"/>
  <c r="Y1866" i="43"/>
  <c r="Z1866" i="43"/>
  <c r="AA1866" i="43"/>
  <c r="AB1866" i="43"/>
  <c r="W1867" i="43"/>
  <c r="X1867" i="43"/>
  <c r="Y1867" i="43"/>
  <c r="Z1867" i="43"/>
  <c r="AA1867" i="43"/>
  <c r="AB1867" i="43"/>
  <c r="W1868" i="43"/>
  <c r="X1868" i="43"/>
  <c r="Y1868" i="43"/>
  <c r="Z1868" i="43"/>
  <c r="AA1868" i="43"/>
  <c r="AB1868" i="43"/>
  <c r="W1869" i="43"/>
  <c r="X1869" i="43"/>
  <c r="Y1869" i="43"/>
  <c r="Z1869" i="43"/>
  <c r="AA1869" i="43"/>
  <c r="AB1869" i="43"/>
  <c r="W1870" i="43"/>
  <c r="X1870" i="43"/>
  <c r="Y1870" i="43"/>
  <c r="Z1870" i="43"/>
  <c r="AA1870" i="43"/>
  <c r="AB1870" i="43"/>
  <c r="W1871" i="43"/>
  <c r="X1871" i="43"/>
  <c r="Y1871" i="43"/>
  <c r="Z1871" i="43"/>
  <c r="AA1871" i="43"/>
  <c r="AB1871" i="43"/>
  <c r="W1872" i="43"/>
  <c r="X1872" i="43"/>
  <c r="Y1872" i="43"/>
  <c r="Z1872" i="43"/>
  <c r="AA1872" i="43"/>
  <c r="AB1872" i="43"/>
  <c r="W1873" i="43"/>
  <c r="X1873" i="43"/>
  <c r="Y1873" i="43"/>
  <c r="Z1873" i="43"/>
  <c r="AA1873" i="43"/>
  <c r="AB1873" i="43"/>
  <c r="W1874" i="43"/>
  <c r="X1874" i="43"/>
  <c r="Y1874" i="43"/>
  <c r="Z1874" i="43"/>
  <c r="AA1874" i="43"/>
  <c r="AB1874" i="43"/>
  <c r="W1875" i="43"/>
  <c r="X1875" i="43"/>
  <c r="Y1875" i="43"/>
  <c r="Z1875" i="43"/>
  <c r="AA1875" i="43"/>
  <c r="AB1875" i="43"/>
  <c r="W1876" i="43"/>
  <c r="X1876" i="43"/>
  <c r="Y1876" i="43"/>
  <c r="Z1876" i="43"/>
  <c r="AA1876" i="43"/>
  <c r="AB1876" i="43"/>
  <c r="W1877" i="43"/>
  <c r="X1877" i="43"/>
  <c r="Y1877" i="43"/>
  <c r="Z1877" i="43"/>
  <c r="AA1877" i="43"/>
  <c r="AB1877" i="43"/>
  <c r="W1878" i="43"/>
  <c r="X1878" i="43"/>
  <c r="Y1878" i="43"/>
  <c r="Z1878" i="43"/>
  <c r="AA1878" i="43"/>
  <c r="AB1878" i="43"/>
  <c r="W1879" i="43"/>
  <c r="X1879" i="43"/>
  <c r="Y1879" i="43"/>
  <c r="Z1879" i="43"/>
  <c r="AA1879" i="43"/>
  <c r="AB1879" i="43"/>
  <c r="W1880" i="43"/>
  <c r="X1880" i="43"/>
  <c r="Y1880" i="43"/>
  <c r="Z1880" i="43"/>
  <c r="AA1880" i="43"/>
  <c r="AB1880" i="43"/>
  <c r="W1881" i="43"/>
  <c r="X1881" i="43"/>
  <c r="Y1881" i="43"/>
  <c r="Z1881" i="43"/>
  <c r="AA1881" i="43"/>
  <c r="AB1881" i="43"/>
  <c r="W1882" i="43"/>
  <c r="X1882" i="43"/>
  <c r="Y1882" i="43"/>
  <c r="Z1882" i="43"/>
  <c r="AA1882" i="43"/>
  <c r="AB1882" i="43"/>
  <c r="W1883" i="43"/>
  <c r="X1883" i="43"/>
  <c r="Y1883" i="43"/>
  <c r="Z1883" i="43"/>
  <c r="AA1883" i="43"/>
  <c r="AB1883" i="43"/>
  <c r="W1884" i="43"/>
  <c r="X1884" i="43"/>
  <c r="Y1884" i="43"/>
  <c r="Z1884" i="43"/>
  <c r="AA1884" i="43"/>
  <c r="AB1884" i="43"/>
  <c r="W1885" i="43"/>
  <c r="X1885" i="43"/>
  <c r="Y1885" i="43"/>
  <c r="Z1885" i="43"/>
  <c r="AA1885" i="43"/>
  <c r="AB1885" i="43"/>
  <c r="W1886" i="43"/>
  <c r="X1886" i="43"/>
  <c r="Y1886" i="43"/>
  <c r="Z1886" i="43"/>
  <c r="AA1886" i="43"/>
  <c r="AB1886" i="43"/>
  <c r="W1887" i="43"/>
  <c r="X1887" i="43"/>
  <c r="Y1887" i="43"/>
  <c r="Z1887" i="43"/>
  <c r="AA1887" i="43"/>
  <c r="AB1887" i="43"/>
  <c r="W1888" i="43"/>
  <c r="X1888" i="43"/>
  <c r="Y1888" i="43"/>
  <c r="Z1888" i="43"/>
  <c r="AA1888" i="43"/>
  <c r="AB1888" i="43"/>
  <c r="W1889" i="43"/>
  <c r="X1889" i="43"/>
  <c r="Y1889" i="43"/>
  <c r="Z1889" i="43"/>
  <c r="AA1889" i="43"/>
  <c r="AB1889" i="43"/>
  <c r="W1890" i="43"/>
  <c r="X1890" i="43"/>
  <c r="Y1890" i="43"/>
  <c r="Z1890" i="43"/>
  <c r="AA1890" i="43"/>
  <c r="AB1890" i="43"/>
  <c r="W1891" i="43"/>
  <c r="X1891" i="43"/>
  <c r="Y1891" i="43"/>
  <c r="Z1891" i="43"/>
  <c r="AA1891" i="43"/>
  <c r="AB1891" i="43"/>
  <c r="W1892" i="43"/>
  <c r="X1892" i="43"/>
  <c r="Y1892" i="43"/>
  <c r="Z1892" i="43"/>
  <c r="AA1892" i="43"/>
  <c r="AB1892" i="43"/>
  <c r="W1893" i="43"/>
  <c r="X1893" i="43"/>
  <c r="Y1893" i="43"/>
  <c r="Z1893" i="43"/>
  <c r="AA1893" i="43"/>
  <c r="AB1893" i="43"/>
  <c r="W1894" i="43"/>
  <c r="X1894" i="43"/>
  <c r="Y1894" i="43"/>
  <c r="Z1894" i="43"/>
  <c r="AA1894" i="43"/>
  <c r="AB1894" i="43"/>
  <c r="W1895" i="43"/>
  <c r="X1895" i="43"/>
  <c r="Y1895" i="43"/>
  <c r="Z1895" i="43"/>
  <c r="AA1895" i="43"/>
  <c r="AB1895" i="43"/>
  <c r="W1896" i="43"/>
  <c r="X1896" i="43"/>
  <c r="Y1896" i="43"/>
  <c r="Z1896" i="43"/>
  <c r="AA1896" i="43"/>
  <c r="AB1896" i="43"/>
  <c r="W1897" i="43"/>
  <c r="X1897" i="43"/>
  <c r="Y1897" i="43"/>
  <c r="Z1897" i="43"/>
  <c r="AA1897" i="43"/>
  <c r="AB1897" i="43"/>
  <c r="W1898" i="43"/>
  <c r="X1898" i="43"/>
  <c r="Y1898" i="43"/>
  <c r="Z1898" i="43"/>
  <c r="AA1898" i="43"/>
  <c r="AB1898" i="43"/>
  <c r="W1899" i="43"/>
  <c r="X1899" i="43"/>
  <c r="Y1899" i="43"/>
  <c r="Z1899" i="43"/>
  <c r="AA1899" i="43"/>
  <c r="AB1899" i="43"/>
  <c r="W1900" i="43"/>
  <c r="X1900" i="43"/>
  <c r="Y1900" i="43"/>
  <c r="Z1900" i="43"/>
  <c r="AA1900" i="43"/>
  <c r="AB1900" i="43"/>
  <c r="W1901" i="43"/>
  <c r="X1901" i="43"/>
  <c r="Y1901" i="43"/>
  <c r="Z1901" i="43"/>
  <c r="AA1901" i="43"/>
  <c r="AB1901" i="43"/>
  <c r="W1902" i="43"/>
  <c r="X1902" i="43"/>
  <c r="Y1902" i="43"/>
  <c r="Z1902" i="43"/>
  <c r="AA1902" i="43"/>
  <c r="AB1902" i="43"/>
  <c r="W1903" i="43"/>
  <c r="X1903" i="43"/>
  <c r="Y1903" i="43"/>
  <c r="Z1903" i="43"/>
  <c r="AA1903" i="43"/>
  <c r="AB1903" i="43"/>
  <c r="W1904" i="43"/>
  <c r="X1904" i="43"/>
  <c r="Y1904" i="43"/>
  <c r="Z1904" i="43"/>
  <c r="AA1904" i="43"/>
  <c r="AB1904" i="43"/>
  <c r="W1905" i="43"/>
  <c r="X1905" i="43"/>
  <c r="Y1905" i="43"/>
  <c r="Z1905" i="43"/>
  <c r="AA1905" i="43"/>
  <c r="AB1905" i="43"/>
  <c r="W1906" i="43"/>
  <c r="X1906" i="43"/>
  <c r="Y1906" i="43"/>
  <c r="Z1906" i="43"/>
  <c r="AA1906" i="43"/>
  <c r="AB1906" i="43"/>
  <c r="W1907" i="43"/>
  <c r="X1907" i="43"/>
  <c r="Y1907" i="43"/>
  <c r="Z1907" i="43"/>
  <c r="AA1907" i="43"/>
  <c r="AB1907" i="43"/>
  <c r="W1908" i="43"/>
  <c r="X1908" i="43"/>
  <c r="Y1908" i="43"/>
  <c r="Z1908" i="43"/>
  <c r="AA1908" i="43"/>
  <c r="AB1908" i="43"/>
  <c r="W1909" i="43"/>
  <c r="X1909" i="43"/>
  <c r="Y1909" i="43"/>
  <c r="Z1909" i="43"/>
  <c r="AA1909" i="43"/>
  <c r="AB1909" i="43"/>
  <c r="W1910" i="43"/>
  <c r="X1910" i="43"/>
  <c r="Y1910" i="43"/>
  <c r="Z1910" i="43"/>
  <c r="AA1910" i="43"/>
  <c r="AB1910" i="43"/>
  <c r="W1911" i="43"/>
  <c r="X1911" i="43"/>
  <c r="Y1911" i="43"/>
  <c r="Z1911" i="43"/>
  <c r="AA1911" i="43"/>
  <c r="AB1911" i="43"/>
  <c r="W1912" i="43"/>
  <c r="X1912" i="43"/>
  <c r="Y1912" i="43"/>
  <c r="Z1912" i="43"/>
  <c r="AA1912" i="43"/>
  <c r="AB1912" i="43"/>
  <c r="W1913" i="43"/>
  <c r="X1913" i="43"/>
  <c r="Y1913" i="43"/>
  <c r="Z1913" i="43"/>
  <c r="AA1913" i="43"/>
  <c r="AB1913" i="43"/>
  <c r="W1914" i="43"/>
  <c r="X1914" i="43"/>
  <c r="Y1914" i="43"/>
  <c r="Z1914" i="43"/>
  <c r="AA1914" i="43"/>
  <c r="AB1914" i="43"/>
  <c r="W1915" i="43"/>
  <c r="X1915" i="43"/>
  <c r="Y1915" i="43"/>
  <c r="Z1915" i="43"/>
  <c r="AA1915" i="43"/>
  <c r="AB1915" i="43"/>
  <c r="W1916" i="43"/>
  <c r="X1916" i="43"/>
  <c r="Y1916" i="43"/>
  <c r="Z1916" i="43"/>
  <c r="AA1916" i="43"/>
  <c r="AB1916" i="43"/>
  <c r="W1917" i="43"/>
  <c r="X1917" i="43"/>
  <c r="Y1917" i="43"/>
  <c r="Z1917" i="43"/>
  <c r="AA1917" i="43"/>
  <c r="AB1917" i="43"/>
  <c r="W1918" i="43"/>
  <c r="X1918" i="43"/>
  <c r="Y1918" i="43"/>
  <c r="Z1918" i="43"/>
  <c r="AA1918" i="43"/>
  <c r="AB1918" i="43"/>
  <c r="W1919" i="43"/>
  <c r="X1919" i="43"/>
  <c r="Y1919" i="43"/>
  <c r="Z1919" i="43"/>
  <c r="AA1919" i="43"/>
  <c r="AB1919" i="43"/>
  <c r="W1920" i="43"/>
  <c r="X1920" i="43"/>
  <c r="Y1920" i="43"/>
  <c r="Z1920" i="43"/>
  <c r="AA1920" i="43"/>
  <c r="AB1920" i="43"/>
  <c r="W1921" i="43"/>
  <c r="X1921" i="43"/>
  <c r="Y1921" i="43"/>
  <c r="Z1921" i="43"/>
  <c r="AA1921" i="43"/>
  <c r="AB1921" i="43"/>
  <c r="W1922" i="43"/>
  <c r="X1922" i="43"/>
  <c r="Y1922" i="43"/>
  <c r="Z1922" i="43"/>
  <c r="AA1922" i="43"/>
  <c r="AB1922" i="43"/>
  <c r="W1923" i="43"/>
  <c r="X1923" i="43"/>
  <c r="Y1923" i="43"/>
  <c r="Z1923" i="43"/>
  <c r="AA1923" i="43"/>
  <c r="AB1923" i="43"/>
  <c r="W1924" i="43"/>
  <c r="X1924" i="43"/>
  <c r="Y1924" i="43"/>
  <c r="Z1924" i="43"/>
  <c r="AA1924" i="43"/>
  <c r="AB1924" i="43"/>
  <c r="W1925" i="43"/>
  <c r="X1925" i="43"/>
  <c r="Y1925" i="43"/>
  <c r="Z1925" i="43"/>
  <c r="AA1925" i="43"/>
  <c r="AB1925" i="43"/>
  <c r="W1926" i="43"/>
  <c r="X1926" i="43"/>
  <c r="Y1926" i="43"/>
  <c r="Z1926" i="43"/>
  <c r="AA1926" i="43"/>
  <c r="AB1926" i="43"/>
  <c r="W1927" i="43"/>
  <c r="X1927" i="43"/>
  <c r="Y1927" i="43"/>
  <c r="Z1927" i="43"/>
  <c r="AA1927" i="43"/>
  <c r="AB1927" i="43"/>
  <c r="W1928" i="43"/>
  <c r="X1928" i="43"/>
  <c r="Y1928" i="43"/>
  <c r="Z1928" i="43"/>
  <c r="AA1928" i="43"/>
  <c r="AB1928" i="43"/>
  <c r="W1929" i="43"/>
  <c r="X1929" i="43"/>
  <c r="Y1929" i="43"/>
  <c r="Z1929" i="43"/>
  <c r="AA1929" i="43"/>
  <c r="AB1929" i="43"/>
  <c r="W1930" i="43"/>
  <c r="X1930" i="43"/>
  <c r="Y1930" i="43"/>
  <c r="Z1930" i="43"/>
  <c r="AA1930" i="43"/>
  <c r="AB1930" i="43"/>
  <c r="W1931" i="43"/>
  <c r="X1931" i="43"/>
  <c r="Y1931" i="43"/>
  <c r="Z1931" i="43"/>
  <c r="AA1931" i="43"/>
  <c r="AB1931" i="43"/>
  <c r="W1932" i="43"/>
  <c r="X1932" i="43"/>
  <c r="Y1932" i="43"/>
  <c r="Z1932" i="43"/>
  <c r="AA1932" i="43"/>
  <c r="AB1932" i="43"/>
  <c r="W1933" i="43"/>
  <c r="X1933" i="43"/>
  <c r="Y1933" i="43"/>
  <c r="Z1933" i="43"/>
  <c r="AA1933" i="43"/>
  <c r="AB1933" i="43"/>
  <c r="W1934" i="43"/>
  <c r="X1934" i="43"/>
  <c r="Y1934" i="43"/>
  <c r="Z1934" i="43"/>
  <c r="AA1934" i="43"/>
  <c r="AB1934" i="43"/>
  <c r="W1935" i="43"/>
  <c r="X1935" i="43"/>
  <c r="Y1935" i="43"/>
  <c r="Z1935" i="43"/>
  <c r="AA1935" i="43"/>
  <c r="AB1935" i="43"/>
  <c r="W1936" i="43"/>
  <c r="X1936" i="43"/>
  <c r="Y1936" i="43"/>
  <c r="Z1936" i="43"/>
  <c r="AA1936" i="43"/>
  <c r="AB1936" i="43"/>
  <c r="W1937" i="43"/>
  <c r="X1937" i="43"/>
  <c r="Y1937" i="43"/>
  <c r="Z1937" i="43"/>
  <c r="AA1937" i="43"/>
  <c r="AB1937" i="43"/>
  <c r="W1938" i="43"/>
  <c r="X1938" i="43"/>
  <c r="Y1938" i="43"/>
  <c r="Z1938" i="43"/>
  <c r="AA1938" i="43"/>
  <c r="AB1938" i="43"/>
  <c r="W1939" i="43"/>
  <c r="X1939" i="43"/>
  <c r="Y1939" i="43"/>
  <c r="Z1939" i="43"/>
  <c r="AA1939" i="43"/>
  <c r="AB1939" i="43"/>
  <c r="W1940" i="43"/>
  <c r="X1940" i="43"/>
  <c r="Y1940" i="43"/>
  <c r="Z1940" i="43"/>
  <c r="AA1940" i="43"/>
  <c r="AB1940" i="43"/>
  <c r="W1941" i="43"/>
  <c r="X1941" i="43"/>
  <c r="Y1941" i="43"/>
  <c r="Z1941" i="43"/>
  <c r="AA1941" i="43"/>
  <c r="AB1941" i="43"/>
  <c r="W1942" i="43"/>
  <c r="X1942" i="43"/>
  <c r="Y1942" i="43"/>
  <c r="Z1942" i="43"/>
  <c r="AA1942" i="43"/>
  <c r="AB1942" i="43"/>
  <c r="W1943" i="43"/>
  <c r="X1943" i="43"/>
  <c r="Y1943" i="43"/>
  <c r="Z1943" i="43"/>
  <c r="AA1943" i="43"/>
  <c r="AB1943" i="43"/>
  <c r="W1944" i="43"/>
  <c r="X1944" i="43"/>
  <c r="Y1944" i="43"/>
  <c r="Z1944" i="43"/>
  <c r="AA1944" i="43"/>
  <c r="AB1944" i="43"/>
  <c r="W1945" i="43"/>
  <c r="X1945" i="43"/>
  <c r="Y1945" i="43"/>
  <c r="Z1945" i="43"/>
  <c r="AA1945" i="43"/>
  <c r="AB1945" i="43"/>
  <c r="W1946" i="43"/>
  <c r="X1946" i="43"/>
  <c r="Y1946" i="43"/>
  <c r="Z1946" i="43"/>
  <c r="AA1946" i="43"/>
  <c r="AB1946" i="43"/>
  <c r="W1947" i="43"/>
  <c r="X1947" i="43"/>
  <c r="Y1947" i="43"/>
  <c r="Z1947" i="43"/>
  <c r="AA1947" i="43"/>
  <c r="AB1947" i="43"/>
  <c r="W1948" i="43"/>
  <c r="X1948" i="43"/>
  <c r="Y1948" i="43"/>
  <c r="Z1948" i="43"/>
  <c r="AA1948" i="43"/>
  <c r="AB1948" i="43"/>
  <c r="W1949" i="43"/>
  <c r="X1949" i="43"/>
  <c r="Y1949" i="43"/>
  <c r="Z1949" i="43"/>
  <c r="AA1949" i="43"/>
  <c r="AB1949" i="43"/>
  <c r="W1950" i="43"/>
  <c r="X1950" i="43"/>
  <c r="Y1950" i="43"/>
  <c r="Z1950" i="43"/>
  <c r="AA1950" i="43"/>
  <c r="AB1950" i="43"/>
  <c r="W1951" i="43"/>
  <c r="X1951" i="43"/>
  <c r="Y1951" i="43"/>
  <c r="Z1951" i="43"/>
  <c r="AA1951" i="43"/>
  <c r="AB1951" i="43"/>
  <c r="W1952" i="43"/>
  <c r="X1952" i="43"/>
  <c r="Y1952" i="43"/>
  <c r="Z1952" i="43"/>
  <c r="AA1952" i="43"/>
  <c r="AB1952" i="43"/>
  <c r="W1953" i="43"/>
  <c r="X1953" i="43"/>
  <c r="Y1953" i="43"/>
  <c r="Z1953" i="43"/>
  <c r="AA1953" i="43"/>
  <c r="AB1953" i="43"/>
  <c r="W1954" i="43"/>
  <c r="X1954" i="43"/>
  <c r="Y1954" i="43"/>
  <c r="Z1954" i="43"/>
  <c r="AA1954" i="43"/>
  <c r="AB1954" i="43"/>
  <c r="W1955" i="43"/>
  <c r="X1955" i="43"/>
  <c r="Y1955" i="43"/>
  <c r="Z1955" i="43"/>
  <c r="AA1955" i="43"/>
  <c r="AB1955" i="43"/>
  <c r="W1956" i="43"/>
  <c r="X1956" i="43"/>
  <c r="Y1956" i="43"/>
  <c r="Z1956" i="43"/>
  <c r="AA1956" i="43"/>
  <c r="AB1956" i="43"/>
  <c r="W1957" i="43"/>
  <c r="X1957" i="43"/>
  <c r="Y1957" i="43"/>
  <c r="Z1957" i="43"/>
  <c r="AA1957" i="43"/>
  <c r="AB1957" i="43"/>
  <c r="W1958" i="43"/>
  <c r="X1958" i="43"/>
  <c r="Y1958" i="43"/>
  <c r="Z1958" i="43"/>
  <c r="AA1958" i="43"/>
  <c r="AB1958" i="43"/>
  <c r="W1959" i="43"/>
  <c r="X1959" i="43"/>
  <c r="Y1959" i="43"/>
  <c r="Z1959" i="43"/>
  <c r="AA1959" i="43"/>
  <c r="AB1959" i="43"/>
  <c r="W1960" i="43"/>
  <c r="X1960" i="43"/>
  <c r="Y1960" i="43"/>
  <c r="Z1960" i="43"/>
  <c r="AA1960" i="43"/>
  <c r="AB1960" i="43"/>
  <c r="W1961" i="43"/>
  <c r="X1961" i="43"/>
  <c r="Y1961" i="43"/>
  <c r="Z1961" i="43"/>
  <c r="AA1961" i="43"/>
  <c r="AB1961" i="43"/>
  <c r="W1962" i="43"/>
  <c r="X1962" i="43"/>
  <c r="Y1962" i="43"/>
  <c r="Z1962" i="43"/>
  <c r="AA1962" i="43"/>
  <c r="AB1962" i="43"/>
  <c r="W1963" i="43"/>
  <c r="X1963" i="43"/>
  <c r="Y1963" i="43"/>
  <c r="Z1963" i="43"/>
  <c r="AA1963" i="43"/>
  <c r="AB1963" i="43"/>
  <c r="W1964" i="43"/>
  <c r="X1964" i="43"/>
  <c r="Y1964" i="43"/>
  <c r="Z1964" i="43"/>
  <c r="AA1964" i="43"/>
  <c r="AB1964" i="43"/>
  <c r="W1965" i="43"/>
  <c r="X1965" i="43"/>
  <c r="Y1965" i="43"/>
  <c r="Z1965" i="43"/>
  <c r="AA1965" i="43"/>
  <c r="AB1965" i="43"/>
  <c r="W1966" i="43"/>
  <c r="X1966" i="43"/>
  <c r="Y1966" i="43"/>
  <c r="Z1966" i="43"/>
  <c r="AA1966" i="43"/>
  <c r="AB1966" i="43"/>
  <c r="W1967" i="43"/>
  <c r="X1967" i="43"/>
  <c r="Y1967" i="43"/>
  <c r="Z1967" i="43"/>
  <c r="AA1967" i="43"/>
  <c r="AB1967" i="43"/>
  <c r="W1968" i="43"/>
  <c r="X1968" i="43"/>
  <c r="Y1968" i="43"/>
  <c r="Z1968" i="43"/>
  <c r="AA1968" i="43"/>
  <c r="AB1968" i="43"/>
  <c r="W1969" i="43"/>
  <c r="X1969" i="43"/>
  <c r="Y1969" i="43"/>
  <c r="Z1969" i="43"/>
  <c r="AA1969" i="43"/>
  <c r="AB1969" i="43"/>
  <c r="W1970" i="43"/>
  <c r="X1970" i="43"/>
  <c r="Y1970" i="43"/>
  <c r="Z1970" i="43"/>
  <c r="AA1970" i="43"/>
  <c r="AB1970" i="43"/>
  <c r="W1971" i="43"/>
  <c r="X1971" i="43"/>
  <c r="Y1971" i="43"/>
  <c r="Z1971" i="43"/>
  <c r="AA1971" i="43"/>
  <c r="AB1971" i="43"/>
  <c r="W1972" i="43"/>
  <c r="X1972" i="43"/>
  <c r="Y1972" i="43"/>
  <c r="Z1972" i="43"/>
  <c r="AA1972" i="43"/>
  <c r="AB1972" i="43"/>
  <c r="W1973" i="43"/>
  <c r="X1973" i="43"/>
  <c r="Y1973" i="43"/>
  <c r="Z1973" i="43"/>
  <c r="AA1973" i="43"/>
  <c r="AB1973" i="43"/>
  <c r="W1974" i="43"/>
  <c r="X1974" i="43"/>
  <c r="Y1974" i="43"/>
  <c r="Z1974" i="43"/>
  <c r="AA1974" i="43"/>
  <c r="AB1974" i="43"/>
  <c r="W1975" i="43"/>
  <c r="X1975" i="43"/>
  <c r="Y1975" i="43"/>
  <c r="Z1975" i="43"/>
  <c r="AA1975" i="43"/>
  <c r="AB1975" i="43"/>
  <c r="W1976" i="43"/>
  <c r="X1976" i="43"/>
  <c r="Y1976" i="43"/>
  <c r="Z1976" i="43"/>
  <c r="AA1976" i="43"/>
  <c r="AB1976" i="43"/>
  <c r="W1977" i="43"/>
  <c r="X1977" i="43"/>
  <c r="Y1977" i="43"/>
  <c r="Z1977" i="43"/>
  <c r="AA1977" i="43"/>
  <c r="AB1977" i="43"/>
  <c r="W1978" i="43"/>
  <c r="X1978" i="43"/>
  <c r="Y1978" i="43"/>
  <c r="Z1978" i="43"/>
  <c r="AA1978" i="43"/>
  <c r="AB1978" i="43"/>
  <c r="W1979" i="43"/>
  <c r="X1979" i="43"/>
  <c r="Y1979" i="43"/>
  <c r="Z1979" i="43"/>
  <c r="AA1979" i="43"/>
  <c r="AB1979" i="43"/>
  <c r="W1980" i="43"/>
  <c r="X1980" i="43"/>
  <c r="Y1980" i="43"/>
  <c r="Z1980" i="43"/>
  <c r="AA1980" i="43"/>
  <c r="AB1980" i="43"/>
  <c r="W1981" i="43"/>
  <c r="X1981" i="43"/>
  <c r="Y1981" i="43"/>
  <c r="Z1981" i="43"/>
  <c r="AA1981" i="43"/>
  <c r="AB1981" i="43"/>
  <c r="W1982" i="43"/>
  <c r="X1982" i="43"/>
  <c r="Y1982" i="43"/>
  <c r="Z1982" i="43"/>
  <c r="AA1982" i="43"/>
  <c r="AB1982" i="43"/>
  <c r="W1983" i="43"/>
  <c r="X1983" i="43"/>
  <c r="Y1983" i="43"/>
  <c r="Z1983" i="43"/>
  <c r="AA1983" i="43"/>
  <c r="AB1983" i="43"/>
  <c r="W1984" i="43"/>
  <c r="X1984" i="43"/>
  <c r="Y1984" i="43"/>
  <c r="Z1984" i="43"/>
  <c r="AA1984" i="43"/>
  <c r="AB1984" i="43"/>
  <c r="W1985" i="43"/>
  <c r="X1985" i="43"/>
  <c r="Y1985" i="43"/>
  <c r="Z1985" i="43"/>
  <c r="AA1985" i="43"/>
  <c r="AB1985" i="43"/>
  <c r="W1986" i="43"/>
  <c r="X1986" i="43"/>
  <c r="Y1986" i="43"/>
  <c r="Z1986" i="43"/>
  <c r="AA1986" i="43"/>
  <c r="AB1986" i="43"/>
  <c r="W1987" i="43"/>
  <c r="X1987" i="43"/>
  <c r="Y1987" i="43"/>
  <c r="Z1987" i="43"/>
  <c r="AA1987" i="43"/>
  <c r="AB1987" i="43"/>
  <c r="W1988" i="43"/>
  <c r="X1988" i="43"/>
  <c r="Y1988" i="43"/>
  <c r="Z1988" i="43"/>
  <c r="AA1988" i="43"/>
  <c r="AB1988" i="43"/>
  <c r="W1989" i="43"/>
  <c r="X1989" i="43"/>
  <c r="Y1989" i="43"/>
  <c r="Z1989" i="43"/>
  <c r="AA1989" i="43"/>
  <c r="AB1989" i="43"/>
  <c r="W1990" i="43"/>
  <c r="X1990" i="43"/>
  <c r="Y1990" i="43"/>
  <c r="Z1990" i="43"/>
  <c r="AA1990" i="43"/>
  <c r="AB1990" i="43"/>
  <c r="W1991" i="43"/>
  <c r="X1991" i="43"/>
  <c r="Y1991" i="43"/>
  <c r="Z1991" i="43"/>
  <c r="AA1991" i="43"/>
  <c r="AB1991" i="43"/>
  <c r="W1992" i="43"/>
  <c r="X1992" i="43"/>
  <c r="Y1992" i="43"/>
  <c r="Z1992" i="43"/>
  <c r="AA1992" i="43"/>
  <c r="AB1992" i="43"/>
  <c r="W1993" i="43"/>
  <c r="X1993" i="43"/>
  <c r="Y1993" i="43"/>
  <c r="Z1993" i="43"/>
  <c r="AA1993" i="43"/>
  <c r="AB1993" i="43"/>
  <c r="W1994" i="43"/>
  <c r="X1994" i="43"/>
  <c r="Y1994" i="43"/>
  <c r="Z1994" i="43"/>
  <c r="AA1994" i="43"/>
  <c r="AB1994" i="43"/>
  <c r="W1995" i="43"/>
  <c r="X1995" i="43"/>
  <c r="Y1995" i="43"/>
  <c r="Z1995" i="43"/>
  <c r="AA1995" i="43"/>
  <c r="AB1995" i="43"/>
  <c r="W1996" i="43"/>
  <c r="X1996" i="43"/>
  <c r="Y1996" i="43"/>
  <c r="Z1996" i="43"/>
  <c r="AA1996" i="43"/>
  <c r="AB1996" i="43"/>
  <c r="W1997" i="43"/>
  <c r="X1997" i="43"/>
  <c r="Y1997" i="43"/>
  <c r="Z1997" i="43"/>
  <c r="AA1997" i="43"/>
  <c r="AB1997" i="43"/>
  <c r="W1998" i="43"/>
  <c r="X1998" i="43"/>
  <c r="Y1998" i="43"/>
  <c r="Z1998" i="43"/>
  <c r="AA1998" i="43"/>
  <c r="AB1998" i="43"/>
  <c r="W1999" i="43"/>
  <c r="X1999" i="43"/>
  <c r="Y1999" i="43"/>
  <c r="Z1999" i="43"/>
  <c r="AA1999" i="43"/>
  <c r="AB1999" i="43"/>
  <c r="W2000" i="43"/>
  <c r="X2000" i="43"/>
  <c r="Y2000" i="43"/>
  <c r="Z2000" i="43"/>
  <c r="AA2000" i="43"/>
  <c r="AB2000" i="43"/>
  <c r="W2001" i="43"/>
  <c r="X2001" i="43"/>
  <c r="Y2001" i="43"/>
  <c r="Z2001" i="43"/>
  <c r="AA2001" i="43"/>
  <c r="AB2001" i="43"/>
  <c r="W2002" i="43"/>
  <c r="X2002" i="43"/>
  <c r="Y2002" i="43"/>
  <c r="Z2002" i="43"/>
  <c r="AA2002" i="43"/>
  <c r="AB2002" i="43"/>
  <c r="W2003" i="43"/>
  <c r="X2003" i="43"/>
  <c r="Y2003" i="43"/>
  <c r="Z2003" i="43"/>
  <c r="AA2003" i="43"/>
  <c r="AB2003" i="43"/>
  <c r="W2004" i="43"/>
  <c r="X2004" i="43"/>
  <c r="Y2004" i="43"/>
  <c r="Z2004" i="43"/>
  <c r="AA2004" i="43"/>
  <c r="AB2004" i="43"/>
  <c r="W2005" i="43"/>
  <c r="X2005" i="43"/>
  <c r="Y2005" i="43"/>
  <c r="Z2005" i="43"/>
  <c r="AA2005" i="43"/>
  <c r="AB2005" i="43"/>
  <c r="W2006" i="43"/>
  <c r="X2006" i="43"/>
  <c r="Y2006" i="43"/>
  <c r="Z2006" i="43"/>
  <c r="AA2006" i="43"/>
  <c r="AB2006" i="43"/>
  <c r="W2007" i="43"/>
  <c r="X2007" i="43"/>
  <c r="Y2007" i="43"/>
  <c r="Z2007" i="43"/>
  <c r="AA2007" i="43"/>
  <c r="AB2007" i="43"/>
  <c r="W2008" i="43"/>
  <c r="X2008" i="43"/>
  <c r="Y2008" i="43"/>
  <c r="Z2008" i="43"/>
  <c r="AA2008" i="43"/>
  <c r="AB2008" i="43"/>
  <c r="W2009" i="43"/>
  <c r="X2009" i="43"/>
  <c r="Y2009" i="43"/>
  <c r="Z2009" i="43"/>
  <c r="AA2009" i="43"/>
  <c r="AB2009" i="43"/>
  <c r="W2010" i="43"/>
  <c r="X2010" i="43"/>
  <c r="Y2010" i="43"/>
  <c r="Z2010" i="43"/>
  <c r="AA2010" i="43"/>
  <c r="AB2010" i="43"/>
  <c r="W2011" i="43"/>
  <c r="X2011" i="43"/>
  <c r="Y2011" i="43"/>
  <c r="Z2011" i="43"/>
  <c r="AA2011" i="43"/>
  <c r="AB2011" i="43"/>
  <c r="W6" i="43"/>
  <c r="X6" i="43"/>
  <c r="Y6" i="43"/>
  <c r="Z6" i="43"/>
  <c r="AA6" i="43"/>
  <c r="AB6" i="43"/>
  <c r="P10" i="43"/>
  <c r="Q10" i="43"/>
  <c r="R10" i="43"/>
  <c r="S10" i="43"/>
  <c r="T10" i="43"/>
  <c r="U10" i="43"/>
  <c r="P8" i="43"/>
  <c r="Q8" i="43"/>
  <c r="R8" i="43"/>
  <c r="S8" i="43"/>
  <c r="T8" i="43"/>
  <c r="U8" i="43"/>
  <c r="P9" i="43"/>
  <c r="Q9" i="43"/>
  <c r="R9" i="43"/>
  <c r="S9" i="43"/>
  <c r="T9" i="43"/>
  <c r="U9" i="43"/>
  <c r="B10" i="43"/>
  <c r="C10" i="43"/>
  <c r="D10" i="43"/>
  <c r="E10" i="43"/>
  <c r="F10" i="43"/>
  <c r="G10" i="43"/>
  <c r="H10" i="43"/>
  <c r="I10" i="43"/>
  <c r="J10" i="43"/>
  <c r="K10" i="43"/>
  <c r="L10" i="43"/>
  <c r="M10" i="43"/>
  <c r="N10" i="43"/>
  <c r="B8" i="43"/>
  <c r="C8" i="43"/>
  <c r="D8" i="43"/>
  <c r="E8" i="43"/>
  <c r="F8" i="43"/>
  <c r="G8" i="43"/>
  <c r="H8" i="43"/>
  <c r="I8" i="43"/>
  <c r="J8" i="43"/>
  <c r="K8" i="43"/>
  <c r="L8" i="43"/>
  <c r="M8" i="43"/>
  <c r="N8" i="43"/>
  <c r="B9" i="43"/>
  <c r="C9" i="43"/>
  <c r="D9" i="43"/>
  <c r="E9" i="43"/>
  <c r="F9" i="43"/>
  <c r="G9" i="43"/>
  <c r="H9" i="43"/>
  <c r="I9" i="43"/>
  <c r="J9" i="43"/>
  <c r="K9" i="43"/>
  <c r="L9" i="43"/>
  <c r="M9" i="43"/>
  <c r="N9" i="43"/>
  <c r="N28" i="25"/>
  <c r="I28" i="25"/>
  <c r="I29" i="25"/>
  <c r="I30" i="25"/>
  <c r="I31" i="25"/>
  <c r="I32" i="25"/>
  <c r="I33" i="25"/>
  <c r="I34" i="25"/>
  <c r="I35" i="25"/>
  <c r="I36" i="25"/>
  <c r="I37" i="25"/>
  <c r="I38" i="25"/>
  <c r="I39" i="25"/>
  <c r="I40" i="25"/>
  <c r="I41" i="25"/>
  <c r="I42" i="25"/>
  <c r="I43" i="25"/>
  <c r="I44" i="25"/>
  <c r="I45" i="25"/>
  <c r="I46" i="25"/>
  <c r="I47" i="25"/>
  <c r="I48" i="25"/>
  <c r="I49" i="25"/>
  <c r="I50" i="25"/>
  <c r="I51" i="25"/>
  <c r="I52" i="25"/>
  <c r="I53" i="25"/>
  <c r="I54" i="25"/>
  <c r="I55" i="25"/>
  <c r="I56" i="25"/>
  <c r="I57" i="25"/>
  <c r="D19" i="41"/>
  <c r="M12" i="46"/>
  <c r="L12" i="46"/>
  <c r="N12" i="46"/>
  <c r="O12" i="46"/>
  <c r="P12" i="46"/>
  <c r="M13" i="46"/>
  <c r="L13" i="46"/>
  <c r="N13" i="46"/>
  <c r="O13" i="46"/>
  <c r="P13" i="46"/>
  <c r="M14" i="46"/>
  <c r="L14" i="46"/>
  <c r="N14" i="46"/>
  <c r="O14" i="46"/>
  <c r="P14" i="46"/>
  <c r="M15" i="46"/>
  <c r="L15" i="46"/>
  <c r="N15" i="46"/>
  <c r="O15" i="46"/>
  <c r="P15" i="46"/>
  <c r="G16" i="46"/>
  <c r="G17" i="46"/>
  <c r="G18" i="46"/>
  <c r="G19" i="46"/>
  <c r="G20" i="46"/>
  <c r="G21" i="46"/>
  <c r="G22" i="46"/>
  <c r="G23" i="46"/>
  <c r="G24" i="46"/>
  <c r="G25" i="46"/>
  <c r="G26" i="46"/>
  <c r="G27" i="46"/>
  <c r="M12" i="37"/>
  <c r="L12" i="37"/>
  <c r="N12" i="37"/>
  <c r="O12" i="37"/>
  <c r="P12" i="37"/>
  <c r="M13" i="37"/>
  <c r="L13" i="37"/>
  <c r="N13" i="37"/>
  <c r="O13" i="37"/>
  <c r="P13" i="37"/>
  <c r="M14" i="37"/>
  <c r="L14" i="37"/>
  <c r="N14" i="37"/>
  <c r="O14" i="37"/>
  <c r="P14" i="37"/>
  <c r="M15" i="37"/>
  <c r="L15" i="37"/>
  <c r="N15" i="37"/>
  <c r="O15" i="37"/>
  <c r="P15" i="37"/>
  <c r="G16" i="37"/>
  <c r="G17" i="37"/>
  <c r="G18" i="37"/>
  <c r="G19" i="37"/>
  <c r="G20" i="37"/>
  <c r="G21" i="37"/>
  <c r="G22" i="37"/>
  <c r="G23" i="37"/>
  <c r="G24" i="37"/>
  <c r="G25" i="37"/>
  <c r="G26" i="37"/>
  <c r="G27" i="37"/>
  <c r="N12" i="47"/>
  <c r="O12" i="47"/>
  <c r="P12" i="47"/>
  <c r="N13" i="47"/>
  <c r="O13" i="47"/>
  <c r="P13" i="47"/>
  <c r="N14" i="47"/>
  <c r="O14" i="47"/>
  <c r="P14" i="47"/>
  <c r="N15" i="47"/>
  <c r="O15" i="47"/>
  <c r="P15" i="47"/>
  <c r="N16" i="47"/>
  <c r="O16" i="47"/>
  <c r="P16" i="47"/>
  <c r="N17" i="47"/>
  <c r="O17" i="47"/>
  <c r="P17" i="47"/>
  <c r="N18" i="47"/>
  <c r="O18" i="47"/>
  <c r="P18" i="47"/>
  <c r="N19" i="47"/>
  <c r="O19" i="47"/>
  <c r="P19" i="47"/>
  <c r="N20" i="47"/>
  <c r="O20" i="47"/>
  <c r="P20" i="47"/>
  <c r="N21" i="47"/>
  <c r="O21" i="47"/>
  <c r="P21" i="47"/>
  <c r="N22" i="47"/>
  <c r="O22" i="47"/>
  <c r="P22" i="47"/>
  <c r="N23" i="47"/>
  <c r="O23" i="47"/>
  <c r="P23" i="47"/>
  <c r="N24" i="47"/>
  <c r="O24" i="47"/>
  <c r="P24" i="47"/>
  <c r="N25" i="47"/>
  <c r="O25" i="47"/>
  <c r="P25" i="47"/>
  <c r="N26" i="47"/>
  <c r="O26" i="47"/>
  <c r="P26" i="47"/>
  <c r="N27" i="47"/>
  <c r="O27" i="47"/>
  <c r="P27" i="47"/>
  <c r="N12" i="39"/>
  <c r="O12" i="39"/>
  <c r="P12" i="39"/>
  <c r="N13" i="39"/>
  <c r="O13" i="39"/>
  <c r="P13" i="39"/>
  <c r="N14" i="39"/>
  <c r="O14" i="39"/>
  <c r="P14" i="39"/>
  <c r="N15" i="39"/>
  <c r="O15" i="39"/>
  <c r="P15" i="39"/>
  <c r="N16" i="39"/>
  <c r="O16" i="39"/>
  <c r="P16" i="39"/>
  <c r="N17" i="39"/>
  <c r="O17" i="39"/>
  <c r="P17" i="39"/>
  <c r="N18" i="39"/>
  <c r="O18" i="39"/>
  <c r="P18" i="39"/>
  <c r="N19" i="39"/>
  <c r="O19" i="39"/>
  <c r="P19" i="39"/>
  <c r="N20" i="39"/>
  <c r="O20" i="39"/>
  <c r="P20" i="39"/>
  <c r="N21" i="39"/>
  <c r="O21" i="39"/>
  <c r="P21" i="39"/>
  <c r="N22" i="39"/>
  <c r="O22" i="39"/>
  <c r="P22" i="39"/>
  <c r="N23" i="39"/>
  <c r="O23" i="39"/>
  <c r="P23" i="39"/>
  <c r="N24" i="39"/>
  <c r="O24" i="39"/>
  <c r="P24" i="39"/>
  <c r="N25" i="39"/>
  <c r="O25" i="39"/>
  <c r="P25" i="39"/>
  <c r="N26" i="39"/>
  <c r="O26" i="39"/>
  <c r="P26" i="39"/>
  <c r="N27" i="39"/>
  <c r="O27" i="39"/>
  <c r="P27" i="39"/>
  <c r="J11" i="45"/>
  <c r="L11" i="45"/>
  <c r="F12" i="45"/>
  <c r="M12" i="45"/>
  <c r="K11" i="45"/>
  <c r="M11" i="45"/>
  <c r="N11" i="45"/>
  <c r="O11" i="45"/>
  <c r="G12" i="45"/>
  <c r="P11" i="45"/>
  <c r="F13" i="45"/>
  <c r="G13" i="45"/>
  <c r="F14" i="45"/>
  <c r="G14" i="45"/>
  <c r="F15" i="45"/>
  <c r="G15" i="45"/>
  <c r="G16" i="45"/>
  <c r="G17" i="45"/>
  <c r="G18" i="45"/>
  <c r="G19" i="45"/>
  <c r="G20" i="45"/>
  <c r="G21" i="45"/>
  <c r="G22" i="45"/>
  <c r="G23" i="45"/>
  <c r="G24" i="45"/>
  <c r="G25" i="45"/>
  <c r="G26" i="45"/>
  <c r="G27" i="45"/>
  <c r="J11" i="36"/>
  <c r="L11" i="36"/>
  <c r="F12" i="36"/>
  <c r="M12" i="36"/>
  <c r="K11" i="36"/>
  <c r="M11" i="36"/>
  <c r="N11" i="36"/>
  <c r="O11" i="36"/>
  <c r="G12" i="36"/>
  <c r="P11" i="36"/>
  <c r="F13" i="36"/>
  <c r="G13" i="36"/>
  <c r="F14" i="36"/>
  <c r="G14" i="36"/>
  <c r="F15" i="36"/>
  <c r="G15" i="36"/>
  <c r="G16" i="36"/>
  <c r="G17" i="36"/>
  <c r="G18" i="36"/>
  <c r="G19" i="36"/>
  <c r="G20" i="36"/>
  <c r="G21" i="36"/>
  <c r="G22" i="36"/>
  <c r="G23" i="36"/>
  <c r="G24" i="36"/>
  <c r="G25" i="36"/>
  <c r="G26" i="36"/>
  <c r="G27" i="36"/>
  <c r="M11" i="46"/>
  <c r="O11" i="46"/>
  <c r="P11" i="46"/>
  <c r="C12" i="46"/>
  <c r="T12" i="46"/>
  <c r="D12" i="46"/>
  <c r="U12" i="46"/>
  <c r="V12" i="46"/>
  <c r="W12" i="46"/>
  <c r="X12" i="46"/>
  <c r="Y12" i="46"/>
  <c r="Z12" i="46"/>
  <c r="AA12" i="46"/>
  <c r="C13" i="46"/>
  <c r="T13" i="46"/>
  <c r="D13" i="46"/>
  <c r="U13" i="46"/>
  <c r="V13" i="46"/>
  <c r="W13" i="46"/>
  <c r="X13" i="46"/>
  <c r="Y13" i="46"/>
  <c r="Z13" i="46"/>
  <c r="AA13" i="46"/>
  <c r="C14" i="46"/>
  <c r="T14" i="46"/>
  <c r="D14" i="46"/>
  <c r="U14" i="46"/>
  <c r="V14" i="46"/>
  <c r="W14" i="46"/>
  <c r="X14" i="46"/>
  <c r="Y14" i="46"/>
  <c r="Z14" i="46"/>
  <c r="AA14" i="46"/>
  <c r="C15" i="46"/>
  <c r="T15" i="46"/>
  <c r="D15" i="46"/>
  <c r="U15" i="46"/>
  <c r="V15" i="46"/>
  <c r="W15" i="46"/>
  <c r="X15" i="46"/>
  <c r="Y15" i="46"/>
  <c r="Z15" i="46"/>
  <c r="AA15" i="46"/>
  <c r="C16" i="46"/>
  <c r="T16" i="46"/>
  <c r="D16" i="46"/>
  <c r="U16" i="46"/>
  <c r="V16" i="46"/>
  <c r="W16" i="46"/>
  <c r="X16" i="46"/>
  <c r="Y16" i="46"/>
  <c r="Z16" i="46"/>
  <c r="AA16" i="46"/>
  <c r="C17" i="46"/>
  <c r="T17" i="46"/>
  <c r="D17" i="46"/>
  <c r="U17" i="46"/>
  <c r="V17" i="46"/>
  <c r="W17" i="46"/>
  <c r="X17" i="46"/>
  <c r="Y17" i="46"/>
  <c r="Z17" i="46"/>
  <c r="AA17" i="46"/>
  <c r="C18" i="46"/>
  <c r="T18" i="46"/>
  <c r="D18" i="46"/>
  <c r="U18" i="46"/>
  <c r="V18" i="46"/>
  <c r="W18" i="46"/>
  <c r="X18" i="46"/>
  <c r="Y18" i="46"/>
  <c r="Z18" i="46"/>
  <c r="AA18" i="46"/>
  <c r="C19" i="46"/>
  <c r="T19" i="46"/>
  <c r="D19" i="46"/>
  <c r="U19" i="46"/>
  <c r="V19" i="46"/>
  <c r="W19" i="46"/>
  <c r="X19" i="46"/>
  <c r="Y19" i="46"/>
  <c r="Z19" i="46"/>
  <c r="AA19" i="46"/>
  <c r="C20" i="46"/>
  <c r="T20" i="46"/>
  <c r="D20" i="46"/>
  <c r="U20" i="46"/>
  <c r="V20" i="46"/>
  <c r="W20" i="46"/>
  <c r="X20" i="46"/>
  <c r="Y20" i="46"/>
  <c r="Z20" i="46"/>
  <c r="AA20" i="46"/>
  <c r="C21" i="46"/>
  <c r="T21" i="46"/>
  <c r="D21" i="46"/>
  <c r="U21" i="46"/>
  <c r="V21" i="46"/>
  <c r="W21" i="46"/>
  <c r="X21" i="46"/>
  <c r="Y21" i="46"/>
  <c r="Z21" i="46"/>
  <c r="AA21" i="46"/>
  <c r="C22" i="46"/>
  <c r="T22" i="46"/>
  <c r="D22" i="46"/>
  <c r="U22" i="46"/>
  <c r="V22" i="46"/>
  <c r="W22" i="46"/>
  <c r="X22" i="46"/>
  <c r="Y22" i="46"/>
  <c r="Z22" i="46"/>
  <c r="AA22" i="46"/>
  <c r="C23" i="46"/>
  <c r="T23" i="46"/>
  <c r="D23" i="46"/>
  <c r="U23" i="46"/>
  <c r="V23" i="46"/>
  <c r="W23" i="46"/>
  <c r="X23" i="46"/>
  <c r="Y23" i="46"/>
  <c r="Z23" i="46"/>
  <c r="AA23" i="46"/>
  <c r="C24" i="46"/>
  <c r="T24" i="46"/>
  <c r="D24" i="46"/>
  <c r="U24" i="46"/>
  <c r="V24" i="46"/>
  <c r="W24" i="46"/>
  <c r="X24" i="46"/>
  <c r="Y24" i="46"/>
  <c r="Z24" i="46"/>
  <c r="AA24" i="46"/>
  <c r="C25" i="46"/>
  <c r="T25" i="46"/>
  <c r="D25" i="46"/>
  <c r="U25" i="46"/>
  <c r="V25" i="46"/>
  <c r="W25" i="46"/>
  <c r="X25" i="46"/>
  <c r="Y25" i="46"/>
  <c r="Z25" i="46"/>
  <c r="AA25" i="46"/>
  <c r="C26" i="46"/>
  <c r="T26" i="46"/>
  <c r="D26" i="46"/>
  <c r="U26" i="46"/>
  <c r="V26" i="46"/>
  <c r="W26" i="46"/>
  <c r="X26" i="46"/>
  <c r="Y26" i="46"/>
  <c r="Z26" i="46"/>
  <c r="AA26" i="46"/>
  <c r="C27" i="46"/>
  <c r="T27" i="46"/>
  <c r="D27" i="46"/>
  <c r="U27" i="46"/>
  <c r="V27" i="46"/>
  <c r="W27" i="46"/>
  <c r="X27" i="46"/>
  <c r="Y27" i="46"/>
  <c r="Z27" i="46"/>
  <c r="AA27" i="46"/>
  <c r="C28" i="46"/>
  <c r="T28" i="46"/>
  <c r="D28" i="46"/>
  <c r="U28" i="46"/>
  <c r="V28" i="46"/>
  <c r="W28" i="46"/>
  <c r="X28" i="46"/>
  <c r="Y28" i="46"/>
  <c r="Z28" i="46"/>
  <c r="AA28" i="46"/>
  <c r="C29" i="46"/>
  <c r="T29" i="46"/>
  <c r="D29" i="46"/>
  <c r="U29" i="46"/>
  <c r="V29" i="46"/>
  <c r="W29" i="46"/>
  <c r="X29" i="46"/>
  <c r="Y29" i="46"/>
  <c r="Z29" i="46"/>
  <c r="AA29" i="46"/>
  <c r="C30" i="46"/>
  <c r="T30" i="46"/>
  <c r="D30" i="46"/>
  <c r="U30" i="46"/>
  <c r="V30" i="46"/>
  <c r="W30" i="46"/>
  <c r="X30" i="46"/>
  <c r="Y30" i="46"/>
  <c r="Z30" i="46"/>
  <c r="AA30" i="46"/>
  <c r="C31" i="46"/>
  <c r="T31" i="46"/>
  <c r="D31" i="46"/>
  <c r="U31" i="46"/>
  <c r="V31" i="46"/>
  <c r="W31" i="46"/>
  <c r="X31" i="46"/>
  <c r="Y31" i="46"/>
  <c r="Z31" i="46"/>
  <c r="AA31" i="46"/>
  <c r="C32" i="46"/>
  <c r="T32" i="46"/>
  <c r="D32" i="46"/>
  <c r="U32" i="46"/>
  <c r="V32" i="46"/>
  <c r="W32" i="46"/>
  <c r="X32" i="46"/>
  <c r="Y32" i="46"/>
  <c r="Z32" i="46"/>
  <c r="AA32" i="46"/>
  <c r="C33" i="46"/>
  <c r="T33" i="46"/>
  <c r="D33" i="46"/>
  <c r="U33" i="46"/>
  <c r="V33" i="46"/>
  <c r="W33" i="46"/>
  <c r="X33" i="46"/>
  <c r="Y33" i="46"/>
  <c r="Z33" i="46"/>
  <c r="AA33" i="46"/>
  <c r="C34" i="46"/>
  <c r="T34" i="46"/>
  <c r="D34" i="46"/>
  <c r="U34" i="46"/>
  <c r="V34" i="46"/>
  <c r="W34" i="46"/>
  <c r="X34" i="46"/>
  <c r="Y34" i="46"/>
  <c r="Z34" i="46"/>
  <c r="AA34" i="46"/>
  <c r="C35" i="46"/>
  <c r="T35" i="46"/>
  <c r="D35" i="46"/>
  <c r="U35" i="46"/>
  <c r="V35" i="46"/>
  <c r="W35" i="46"/>
  <c r="X35" i="46"/>
  <c r="Y35" i="46"/>
  <c r="Z35" i="46"/>
  <c r="AA35" i="46"/>
  <c r="C36" i="46"/>
  <c r="T36" i="46"/>
  <c r="D36" i="46"/>
  <c r="U36" i="46"/>
  <c r="V36" i="46"/>
  <c r="W36" i="46"/>
  <c r="X36" i="46"/>
  <c r="Y36" i="46"/>
  <c r="Z36" i="46"/>
  <c r="AA36" i="46"/>
  <c r="C37" i="46"/>
  <c r="T37" i="46"/>
  <c r="D37" i="46"/>
  <c r="U37" i="46"/>
  <c r="V37" i="46"/>
  <c r="W37" i="46"/>
  <c r="X37" i="46"/>
  <c r="Y37" i="46"/>
  <c r="Z37" i="46"/>
  <c r="AA37" i="46"/>
  <c r="C38" i="46"/>
  <c r="T38" i="46"/>
  <c r="D38" i="46"/>
  <c r="U38" i="46"/>
  <c r="V38" i="46"/>
  <c r="W38" i="46"/>
  <c r="X38" i="46"/>
  <c r="Y38" i="46"/>
  <c r="Z38" i="46"/>
  <c r="AA38" i="46"/>
  <c r="C39" i="46"/>
  <c r="T39" i="46"/>
  <c r="D39" i="46"/>
  <c r="U39" i="46"/>
  <c r="V39" i="46"/>
  <c r="W39" i="46"/>
  <c r="X39" i="46"/>
  <c r="Y39" i="46"/>
  <c r="Z39" i="46"/>
  <c r="AA39" i="46"/>
  <c r="C40" i="46"/>
  <c r="T40" i="46"/>
  <c r="D40" i="46"/>
  <c r="U40" i="46"/>
  <c r="V40" i="46"/>
  <c r="W40" i="46"/>
  <c r="X40" i="46"/>
  <c r="Y40" i="46"/>
  <c r="Z40" i="46"/>
  <c r="AA40" i="46"/>
  <c r="C41" i="46"/>
  <c r="T41" i="46"/>
  <c r="D41" i="46"/>
  <c r="U41" i="46"/>
  <c r="V41" i="46"/>
  <c r="W41" i="46"/>
  <c r="X41" i="46"/>
  <c r="Y41" i="46"/>
  <c r="Z41" i="46"/>
  <c r="AA41" i="46"/>
  <c r="C42" i="46"/>
  <c r="T42" i="46"/>
  <c r="D42" i="46"/>
  <c r="U42" i="46"/>
  <c r="V42" i="46"/>
  <c r="W42" i="46"/>
  <c r="X42" i="46"/>
  <c r="Y42" i="46"/>
  <c r="Z42" i="46"/>
  <c r="AA42" i="46"/>
  <c r="C43" i="46"/>
  <c r="T43" i="46"/>
  <c r="D43" i="46"/>
  <c r="U43" i="46"/>
  <c r="V43" i="46"/>
  <c r="W43" i="46"/>
  <c r="X43" i="46"/>
  <c r="Y43" i="46"/>
  <c r="Z43" i="46"/>
  <c r="AA43" i="46"/>
  <c r="C44" i="46"/>
  <c r="T44" i="46"/>
  <c r="D44" i="46"/>
  <c r="U44" i="46"/>
  <c r="V44" i="46"/>
  <c r="W44" i="46"/>
  <c r="X44" i="46"/>
  <c r="Y44" i="46"/>
  <c r="Z44" i="46"/>
  <c r="AA44" i="46"/>
  <c r="C45" i="46"/>
  <c r="T45" i="46"/>
  <c r="D45" i="46"/>
  <c r="U45" i="46"/>
  <c r="V45" i="46"/>
  <c r="W45" i="46"/>
  <c r="X45" i="46"/>
  <c r="Y45" i="46"/>
  <c r="Z45" i="46"/>
  <c r="AA45" i="46"/>
  <c r="C46" i="46"/>
  <c r="T46" i="46"/>
  <c r="D46" i="46"/>
  <c r="U46" i="46"/>
  <c r="V46" i="46"/>
  <c r="W46" i="46"/>
  <c r="X46" i="46"/>
  <c r="Y46" i="46"/>
  <c r="Z46" i="46"/>
  <c r="AA46" i="46"/>
  <c r="C47" i="46"/>
  <c r="T47" i="46"/>
  <c r="D47" i="46"/>
  <c r="U47" i="46"/>
  <c r="V47" i="46"/>
  <c r="W47" i="46"/>
  <c r="X47" i="46"/>
  <c r="Y47" i="46"/>
  <c r="Z47" i="46"/>
  <c r="AA47" i="46"/>
  <c r="C48" i="46"/>
  <c r="T48" i="46"/>
  <c r="D48" i="46"/>
  <c r="U48" i="46"/>
  <c r="V48" i="46"/>
  <c r="W48" i="46"/>
  <c r="X48" i="46"/>
  <c r="Y48" i="46"/>
  <c r="Z48" i="46"/>
  <c r="AA48" i="46"/>
  <c r="C49" i="46"/>
  <c r="T49" i="46"/>
  <c r="D49" i="46"/>
  <c r="U49" i="46"/>
  <c r="V49" i="46"/>
  <c r="W49" i="46"/>
  <c r="X49" i="46"/>
  <c r="Y49" i="46"/>
  <c r="Z49" i="46"/>
  <c r="AA49" i="46"/>
  <c r="C50" i="46"/>
  <c r="T50" i="46"/>
  <c r="D50" i="46"/>
  <c r="U50" i="46"/>
  <c r="V50" i="46"/>
  <c r="W50" i="46"/>
  <c r="X50" i="46"/>
  <c r="Y50" i="46"/>
  <c r="Z50" i="46"/>
  <c r="AA50" i="46"/>
  <c r="C51" i="46"/>
  <c r="T51" i="46"/>
  <c r="D51" i="46"/>
  <c r="U51" i="46"/>
  <c r="V51" i="46"/>
  <c r="W51" i="46"/>
  <c r="X51" i="46"/>
  <c r="Y51" i="46"/>
  <c r="Z51" i="46"/>
  <c r="AA51" i="46"/>
  <c r="C52" i="46"/>
  <c r="T52" i="46"/>
  <c r="D52" i="46"/>
  <c r="U52" i="46"/>
  <c r="V52" i="46"/>
  <c r="W52" i="46"/>
  <c r="X52" i="46"/>
  <c r="Y52" i="46"/>
  <c r="Z52" i="46"/>
  <c r="AA52" i="46"/>
  <c r="C53" i="46"/>
  <c r="T53" i="46"/>
  <c r="D53" i="46"/>
  <c r="U53" i="46"/>
  <c r="V53" i="46"/>
  <c r="W53" i="46"/>
  <c r="X53" i="46"/>
  <c r="Y53" i="46"/>
  <c r="Z53" i="46"/>
  <c r="AA53" i="46"/>
  <c r="C54" i="46"/>
  <c r="T54" i="46"/>
  <c r="D54" i="46"/>
  <c r="U54" i="46"/>
  <c r="V54" i="46"/>
  <c r="W54" i="46"/>
  <c r="X54" i="46"/>
  <c r="Y54" i="46"/>
  <c r="Z54" i="46"/>
  <c r="AA54" i="46"/>
  <c r="C55" i="46"/>
  <c r="T55" i="46"/>
  <c r="D55" i="46"/>
  <c r="U55" i="46"/>
  <c r="V55" i="46"/>
  <c r="W55" i="46"/>
  <c r="X55" i="46"/>
  <c r="Y55" i="46"/>
  <c r="Z55" i="46"/>
  <c r="AA55" i="46"/>
  <c r="C56" i="46"/>
  <c r="T56" i="46"/>
  <c r="D56" i="46"/>
  <c r="U56" i="46"/>
  <c r="V56" i="46"/>
  <c r="W56" i="46"/>
  <c r="X56" i="46"/>
  <c r="Y56" i="46"/>
  <c r="Z56" i="46"/>
  <c r="AA56" i="46"/>
  <c r="C57" i="46"/>
  <c r="T57" i="46"/>
  <c r="D57" i="46"/>
  <c r="U57" i="46"/>
  <c r="V57" i="46"/>
  <c r="W57" i="46"/>
  <c r="X57" i="46"/>
  <c r="Y57" i="46"/>
  <c r="Z57" i="46"/>
  <c r="AA57" i="46"/>
  <c r="C58" i="46"/>
  <c r="T58" i="46"/>
  <c r="D58" i="46"/>
  <c r="U58" i="46"/>
  <c r="V58" i="46"/>
  <c r="W58" i="46"/>
  <c r="X58" i="46"/>
  <c r="Y58" i="46"/>
  <c r="Z58" i="46"/>
  <c r="AA58" i="46"/>
  <c r="C59" i="46"/>
  <c r="T59" i="46"/>
  <c r="D59" i="46"/>
  <c r="U59" i="46"/>
  <c r="V59" i="46"/>
  <c r="W59" i="46"/>
  <c r="X59" i="46"/>
  <c r="Y59" i="46"/>
  <c r="Z59" i="46"/>
  <c r="AA59" i="46"/>
  <c r="C60" i="46"/>
  <c r="T60" i="46"/>
  <c r="D60" i="46"/>
  <c r="U60" i="46"/>
  <c r="V60" i="46"/>
  <c r="W60" i="46"/>
  <c r="X60" i="46"/>
  <c r="Y60" i="46"/>
  <c r="Z60" i="46"/>
  <c r="AA60" i="46"/>
  <c r="C61" i="46"/>
  <c r="T61" i="46"/>
  <c r="D61" i="46"/>
  <c r="U61" i="46"/>
  <c r="V61" i="46"/>
  <c r="W61" i="46"/>
  <c r="X61" i="46"/>
  <c r="Y61" i="46"/>
  <c r="Z61" i="46"/>
  <c r="AA61" i="46"/>
  <c r="C62" i="46"/>
  <c r="T62" i="46"/>
  <c r="D62" i="46"/>
  <c r="U62" i="46"/>
  <c r="V62" i="46"/>
  <c r="W62" i="46"/>
  <c r="X62" i="46"/>
  <c r="Y62" i="46"/>
  <c r="Z62" i="46"/>
  <c r="AA62" i="46"/>
  <c r="C63" i="46"/>
  <c r="T63" i="46"/>
  <c r="D63" i="46"/>
  <c r="U63" i="46"/>
  <c r="V63" i="46"/>
  <c r="W63" i="46"/>
  <c r="X63" i="46"/>
  <c r="Y63" i="46"/>
  <c r="Z63" i="46"/>
  <c r="AA63" i="46"/>
  <c r="C64" i="46"/>
  <c r="T64" i="46"/>
  <c r="D64" i="46"/>
  <c r="U64" i="46"/>
  <c r="V64" i="46"/>
  <c r="W64" i="46"/>
  <c r="X64" i="46"/>
  <c r="Y64" i="46"/>
  <c r="Z64" i="46"/>
  <c r="AA64" i="46"/>
  <c r="C65" i="46"/>
  <c r="T65" i="46"/>
  <c r="D65" i="46"/>
  <c r="U65" i="46"/>
  <c r="V65" i="46"/>
  <c r="W65" i="46"/>
  <c r="X65" i="46"/>
  <c r="Y65" i="46"/>
  <c r="Z65" i="46"/>
  <c r="AA65" i="46"/>
  <c r="C66" i="46"/>
  <c r="T66" i="46"/>
  <c r="D66" i="46"/>
  <c r="U66" i="46"/>
  <c r="V66" i="46"/>
  <c r="W66" i="46"/>
  <c r="X66" i="46"/>
  <c r="Y66" i="46"/>
  <c r="Z66" i="46"/>
  <c r="AA66" i="46"/>
  <c r="C67" i="46"/>
  <c r="T67" i="46"/>
  <c r="D67" i="46"/>
  <c r="U67" i="46"/>
  <c r="V67" i="46"/>
  <c r="W67" i="46"/>
  <c r="X67" i="46"/>
  <c r="Y67" i="46"/>
  <c r="Z67" i="46"/>
  <c r="AA67" i="46"/>
  <c r="C68" i="46"/>
  <c r="T68" i="46"/>
  <c r="D68" i="46"/>
  <c r="U68" i="46"/>
  <c r="V68" i="46"/>
  <c r="W68" i="46"/>
  <c r="X68" i="46"/>
  <c r="Y68" i="46"/>
  <c r="Z68" i="46"/>
  <c r="AA68" i="46"/>
  <c r="C69" i="46"/>
  <c r="T69" i="46"/>
  <c r="D69" i="46"/>
  <c r="U69" i="46"/>
  <c r="V69" i="46"/>
  <c r="W69" i="46"/>
  <c r="X69" i="46"/>
  <c r="Y69" i="46"/>
  <c r="Z69" i="46"/>
  <c r="AA69" i="46"/>
  <c r="C70" i="46"/>
  <c r="T70" i="46"/>
  <c r="D70" i="46"/>
  <c r="U70" i="46"/>
  <c r="V70" i="46"/>
  <c r="W70" i="46"/>
  <c r="X70" i="46"/>
  <c r="Y70" i="46"/>
  <c r="Z70" i="46"/>
  <c r="AA70" i="46"/>
  <c r="C71" i="46"/>
  <c r="T71" i="46"/>
  <c r="D71" i="46"/>
  <c r="U71" i="46"/>
  <c r="V71" i="46"/>
  <c r="W71" i="46"/>
  <c r="X71" i="46"/>
  <c r="Y71" i="46"/>
  <c r="Z71" i="46"/>
  <c r="AA71" i="46"/>
  <c r="C72" i="46"/>
  <c r="T72" i="46"/>
  <c r="D72" i="46"/>
  <c r="U72" i="46"/>
  <c r="V72" i="46"/>
  <c r="W72" i="46"/>
  <c r="X72" i="46"/>
  <c r="Y72" i="46"/>
  <c r="Z72" i="46"/>
  <c r="AA72" i="46"/>
  <c r="C73" i="46"/>
  <c r="T73" i="46"/>
  <c r="D73" i="46"/>
  <c r="U73" i="46"/>
  <c r="V73" i="46"/>
  <c r="W73" i="46"/>
  <c r="X73" i="46"/>
  <c r="Y73" i="46"/>
  <c r="Z73" i="46"/>
  <c r="AA73" i="46"/>
  <c r="C74" i="46"/>
  <c r="T74" i="46"/>
  <c r="D74" i="46"/>
  <c r="U74" i="46"/>
  <c r="V74" i="46"/>
  <c r="W74" i="46"/>
  <c r="X74" i="46"/>
  <c r="Y74" i="46"/>
  <c r="Z74" i="46"/>
  <c r="AA74" i="46"/>
  <c r="C75" i="46"/>
  <c r="T75" i="46"/>
  <c r="D75" i="46"/>
  <c r="U75" i="46"/>
  <c r="V75" i="46"/>
  <c r="W75" i="46"/>
  <c r="X75" i="46"/>
  <c r="Y75" i="46"/>
  <c r="Z75" i="46"/>
  <c r="AA75" i="46"/>
  <c r="C76" i="46"/>
  <c r="T76" i="46"/>
  <c r="D76" i="46"/>
  <c r="U76" i="46"/>
  <c r="V76" i="46"/>
  <c r="W76" i="46"/>
  <c r="X76" i="46"/>
  <c r="Y76" i="46"/>
  <c r="Z76" i="46"/>
  <c r="AA76" i="46"/>
  <c r="C77" i="46"/>
  <c r="T77" i="46"/>
  <c r="D77" i="46"/>
  <c r="U77" i="46"/>
  <c r="V77" i="46"/>
  <c r="W77" i="46"/>
  <c r="X77" i="46"/>
  <c r="Y77" i="46"/>
  <c r="Z77" i="46"/>
  <c r="AA77" i="46"/>
  <c r="C78" i="46"/>
  <c r="T78" i="46"/>
  <c r="D78" i="46"/>
  <c r="U78" i="46"/>
  <c r="V78" i="46"/>
  <c r="W78" i="46"/>
  <c r="X78" i="46"/>
  <c r="Y78" i="46"/>
  <c r="Z78" i="46"/>
  <c r="AA78" i="46"/>
  <c r="C79" i="46"/>
  <c r="T79" i="46"/>
  <c r="D79" i="46"/>
  <c r="U79" i="46"/>
  <c r="V79" i="46"/>
  <c r="W79" i="46"/>
  <c r="X79" i="46"/>
  <c r="Y79" i="46"/>
  <c r="Z79" i="46"/>
  <c r="AA79" i="46"/>
  <c r="C80" i="46"/>
  <c r="T80" i="46"/>
  <c r="D80" i="46"/>
  <c r="U80" i="46"/>
  <c r="V80" i="46"/>
  <c r="W80" i="46"/>
  <c r="X80" i="46"/>
  <c r="Y80" i="46"/>
  <c r="Z80" i="46"/>
  <c r="AA80" i="46"/>
  <c r="C81" i="46"/>
  <c r="T81" i="46"/>
  <c r="D81" i="46"/>
  <c r="U81" i="46"/>
  <c r="V81" i="46"/>
  <c r="W81" i="46"/>
  <c r="X81" i="46"/>
  <c r="Y81" i="46"/>
  <c r="Z81" i="46"/>
  <c r="AA81" i="46"/>
  <c r="C82" i="46"/>
  <c r="T82" i="46"/>
  <c r="D82" i="46"/>
  <c r="U82" i="46"/>
  <c r="V82" i="46"/>
  <c r="W82" i="46"/>
  <c r="X82" i="46"/>
  <c r="Y82" i="46"/>
  <c r="Z82" i="46"/>
  <c r="AA82" i="46"/>
  <c r="C83" i="46"/>
  <c r="T83" i="46"/>
  <c r="D83" i="46"/>
  <c r="U83" i="46"/>
  <c r="V83" i="46"/>
  <c r="W83" i="46"/>
  <c r="X83" i="46"/>
  <c r="Y83" i="46"/>
  <c r="Z83" i="46"/>
  <c r="AA83" i="46"/>
  <c r="C84" i="46"/>
  <c r="T84" i="46"/>
  <c r="D84" i="46"/>
  <c r="U84" i="46"/>
  <c r="V84" i="46"/>
  <c r="W84" i="46"/>
  <c r="X84" i="46"/>
  <c r="Y84" i="46"/>
  <c r="Z84" i="46"/>
  <c r="AA84" i="46"/>
  <c r="C85" i="46"/>
  <c r="T85" i="46"/>
  <c r="D85" i="46"/>
  <c r="U85" i="46"/>
  <c r="V85" i="46"/>
  <c r="W85" i="46"/>
  <c r="X85" i="46"/>
  <c r="Y85" i="46"/>
  <c r="Z85" i="46"/>
  <c r="AA85" i="46"/>
  <c r="C86" i="46"/>
  <c r="T86" i="46"/>
  <c r="D86" i="46"/>
  <c r="U86" i="46"/>
  <c r="V86" i="46"/>
  <c r="W86" i="46"/>
  <c r="X86" i="46"/>
  <c r="Y86" i="46"/>
  <c r="Z86" i="46"/>
  <c r="AA86" i="46"/>
  <c r="C87" i="46"/>
  <c r="T87" i="46"/>
  <c r="D87" i="46"/>
  <c r="U87" i="46"/>
  <c r="V87" i="46"/>
  <c r="W87" i="46"/>
  <c r="X87" i="46"/>
  <c r="Y87" i="46"/>
  <c r="Z87" i="46"/>
  <c r="AA87" i="46"/>
  <c r="C88" i="46"/>
  <c r="T88" i="46"/>
  <c r="D88" i="46"/>
  <c r="U88" i="46"/>
  <c r="V88" i="46"/>
  <c r="W88" i="46"/>
  <c r="X88" i="46"/>
  <c r="Y88" i="46"/>
  <c r="Z88" i="46"/>
  <c r="AA88" i="46"/>
  <c r="C89" i="46"/>
  <c r="T89" i="46"/>
  <c r="D89" i="46"/>
  <c r="U89" i="46"/>
  <c r="V89" i="46"/>
  <c r="W89" i="46"/>
  <c r="X89" i="46"/>
  <c r="Y89" i="46"/>
  <c r="Z89" i="46"/>
  <c r="AA89" i="46"/>
  <c r="C90" i="46"/>
  <c r="T90" i="46"/>
  <c r="D90" i="46"/>
  <c r="U90" i="46"/>
  <c r="V90" i="46"/>
  <c r="W90" i="46"/>
  <c r="X90" i="46"/>
  <c r="Y90" i="46"/>
  <c r="Z90" i="46"/>
  <c r="AA90" i="46"/>
  <c r="C91" i="46"/>
  <c r="T91" i="46"/>
  <c r="D91" i="46"/>
  <c r="U91" i="46"/>
  <c r="V91" i="46"/>
  <c r="W91" i="46"/>
  <c r="X91" i="46"/>
  <c r="Y91" i="46"/>
  <c r="Z91" i="46"/>
  <c r="AA91" i="46"/>
  <c r="C92" i="46"/>
  <c r="T92" i="46"/>
  <c r="D92" i="46"/>
  <c r="U92" i="46"/>
  <c r="V92" i="46"/>
  <c r="W92" i="46"/>
  <c r="X92" i="46"/>
  <c r="Y92" i="46"/>
  <c r="Z92" i="46"/>
  <c r="AA92" i="46"/>
  <c r="C93" i="46"/>
  <c r="T93" i="46"/>
  <c r="D93" i="46"/>
  <c r="U93" i="46"/>
  <c r="V93" i="46"/>
  <c r="W93" i="46"/>
  <c r="X93" i="46"/>
  <c r="Y93" i="46"/>
  <c r="Z93" i="46"/>
  <c r="AA93" i="46"/>
  <c r="C94" i="46"/>
  <c r="T94" i="46"/>
  <c r="D94" i="46"/>
  <c r="U94" i="46"/>
  <c r="V94" i="46"/>
  <c r="W94" i="46"/>
  <c r="X94" i="46"/>
  <c r="Y94" i="46"/>
  <c r="Z94" i="46"/>
  <c r="AA94" i="46"/>
  <c r="C95" i="46"/>
  <c r="T95" i="46"/>
  <c r="D95" i="46"/>
  <c r="U95" i="46"/>
  <c r="V95" i="46"/>
  <c r="W95" i="46"/>
  <c r="X95" i="46"/>
  <c r="Y95" i="46"/>
  <c r="Z95" i="46"/>
  <c r="AA95" i="46"/>
  <c r="C96" i="46"/>
  <c r="T96" i="46"/>
  <c r="D96" i="46"/>
  <c r="U96" i="46"/>
  <c r="V96" i="46"/>
  <c r="W96" i="46"/>
  <c r="X96" i="46"/>
  <c r="Y96" i="46"/>
  <c r="Z96" i="46"/>
  <c r="AA96" i="46"/>
  <c r="C97" i="46"/>
  <c r="T97" i="46"/>
  <c r="D97" i="46"/>
  <c r="U97" i="46"/>
  <c r="V97" i="46"/>
  <c r="W97" i="46"/>
  <c r="X97" i="46"/>
  <c r="Y97" i="46"/>
  <c r="Z97" i="46"/>
  <c r="AA97" i="46"/>
  <c r="C98" i="46"/>
  <c r="T98" i="46"/>
  <c r="D98" i="46"/>
  <c r="U98" i="46"/>
  <c r="V98" i="46"/>
  <c r="W98" i="46"/>
  <c r="X98" i="46"/>
  <c r="Y98" i="46"/>
  <c r="Z98" i="46"/>
  <c r="AA98" i="46"/>
  <c r="C99" i="46"/>
  <c r="T99" i="46"/>
  <c r="D99" i="46"/>
  <c r="U99" i="46"/>
  <c r="V99" i="46"/>
  <c r="W99" i="46"/>
  <c r="X99" i="46"/>
  <c r="Y99" i="46"/>
  <c r="Z99" i="46"/>
  <c r="AA99" i="46"/>
  <c r="C100" i="46"/>
  <c r="T100" i="46"/>
  <c r="D100" i="46"/>
  <c r="U100" i="46"/>
  <c r="V100" i="46"/>
  <c r="W100" i="46"/>
  <c r="X100" i="46"/>
  <c r="Y100" i="46"/>
  <c r="Z100" i="46"/>
  <c r="AA100" i="46"/>
  <c r="C101" i="46"/>
  <c r="T101" i="46"/>
  <c r="D101" i="46"/>
  <c r="U101" i="46"/>
  <c r="V101" i="46"/>
  <c r="W101" i="46"/>
  <c r="X101" i="46"/>
  <c r="Y101" i="46"/>
  <c r="Z101" i="46"/>
  <c r="AA101" i="46"/>
  <c r="C102" i="46"/>
  <c r="T102" i="46"/>
  <c r="D102" i="46"/>
  <c r="U102" i="46"/>
  <c r="V102" i="46"/>
  <c r="W102" i="46"/>
  <c r="X102" i="46"/>
  <c r="Y102" i="46"/>
  <c r="Z102" i="46"/>
  <c r="AA102" i="46"/>
  <c r="C103" i="46"/>
  <c r="T103" i="46"/>
  <c r="D103" i="46"/>
  <c r="U103" i="46"/>
  <c r="V103" i="46"/>
  <c r="W103" i="46"/>
  <c r="X103" i="46"/>
  <c r="Y103" i="46"/>
  <c r="Z103" i="46"/>
  <c r="AA103" i="46"/>
  <c r="V104" i="46"/>
  <c r="W104" i="46"/>
  <c r="X104" i="46"/>
  <c r="Y104" i="46"/>
  <c r="D104" i="46"/>
  <c r="U104" i="46"/>
  <c r="Z104" i="46"/>
  <c r="AA104" i="46"/>
  <c r="AA107" i="46"/>
  <c r="K14" i="41"/>
  <c r="M11" i="37"/>
  <c r="O11" i="37"/>
  <c r="P11" i="37"/>
  <c r="C12" i="37"/>
  <c r="T12" i="37"/>
  <c r="D12" i="37"/>
  <c r="U12" i="37"/>
  <c r="V12" i="37"/>
  <c r="W12" i="37"/>
  <c r="X12" i="37"/>
  <c r="Y12" i="37"/>
  <c r="Z12" i="37"/>
  <c r="AA12" i="37"/>
  <c r="C13" i="37"/>
  <c r="T13" i="37"/>
  <c r="D13" i="37"/>
  <c r="U13" i="37"/>
  <c r="V13" i="37"/>
  <c r="W13" i="37"/>
  <c r="X13" i="37"/>
  <c r="Y13" i="37"/>
  <c r="Z13" i="37"/>
  <c r="AA13" i="37"/>
  <c r="C14" i="37"/>
  <c r="T14" i="37"/>
  <c r="D14" i="37"/>
  <c r="U14" i="37"/>
  <c r="V14" i="37"/>
  <c r="W14" i="37"/>
  <c r="X14" i="37"/>
  <c r="Y14" i="37"/>
  <c r="Z14" i="37"/>
  <c r="AA14" i="37"/>
  <c r="C15" i="37"/>
  <c r="T15" i="37"/>
  <c r="D15" i="37"/>
  <c r="U15" i="37"/>
  <c r="V15" i="37"/>
  <c r="W15" i="37"/>
  <c r="X15" i="37"/>
  <c r="Y15" i="37"/>
  <c r="Z15" i="37"/>
  <c r="AA15" i="37"/>
  <c r="C16" i="37"/>
  <c r="T16" i="37"/>
  <c r="D16" i="37"/>
  <c r="U16" i="37"/>
  <c r="V16" i="37"/>
  <c r="W16" i="37"/>
  <c r="X16" i="37"/>
  <c r="Y16" i="37"/>
  <c r="Z16" i="37"/>
  <c r="AA16" i="37"/>
  <c r="C17" i="37"/>
  <c r="T17" i="37"/>
  <c r="D17" i="37"/>
  <c r="U17" i="37"/>
  <c r="V17" i="37"/>
  <c r="W17" i="37"/>
  <c r="X17" i="37"/>
  <c r="Y17" i="37"/>
  <c r="Z17" i="37"/>
  <c r="AA17" i="37"/>
  <c r="C18" i="37"/>
  <c r="T18" i="37"/>
  <c r="D18" i="37"/>
  <c r="U18" i="37"/>
  <c r="V18" i="37"/>
  <c r="W18" i="37"/>
  <c r="X18" i="37"/>
  <c r="Y18" i="37"/>
  <c r="Z18" i="37"/>
  <c r="AA18" i="37"/>
  <c r="C19" i="37"/>
  <c r="T19" i="37"/>
  <c r="D19" i="37"/>
  <c r="U19" i="37"/>
  <c r="V19" i="37"/>
  <c r="W19" i="37"/>
  <c r="X19" i="37"/>
  <c r="Y19" i="37"/>
  <c r="Z19" i="37"/>
  <c r="AA19" i="37"/>
  <c r="C20" i="37"/>
  <c r="T20" i="37"/>
  <c r="D20" i="37"/>
  <c r="U20" i="37"/>
  <c r="V20" i="37"/>
  <c r="W20" i="37"/>
  <c r="X20" i="37"/>
  <c r="Y20" i="37"/>
  <c r="Z20" i="37"/>
  <c r="AA20" i="37"/>
  <c r="C21" i="37"/>
  <c r="T21" i="37"/>
  <c r="D21" i="37"/>
  <c r="U21" i="37"/>
  <c r="V21" i="37"/>
  <c r="W21" i="37"/>
  <c r="X21" i="37"/>
  <c r="Y21" i="37"/>
  <c r="Z21" i="37"/>
  <c r="AA21" i="37"/>
  <c r="C22" i="37"/>
  <c r="T22" i="37"/>
  <c r="D22" i="37"/>
  <c r="U22" i="37"/>
  <c r="V22" i="37"/>
  <c r="W22" i="37"/>
  <c r="X22" i="37"/>
  <c r="Y22" i="37"/>
  <c r="Z22" i="37"/>
  <c r="AA22" i="37"/>
  <c r="C23" i="37"/>
  <c r="T23" i="37"/>
  <c r="D23" i="37"/>
  <c r="U23" i="37"/>
  <c r="V23" i="37"/>
  <c r="W23" i="37"/>
  <c r="X23" i="37"/>
  <c r="Y23" i="37"/>
  <c r="Z23" i="37"/>
  <c r="AA23" i="37"/>
  <c r="C24" i="37"/>
  <c r="T24" i="37"/>
  <c r="D24" i="37"/>
  <c r="U24" i="37"/>
  <c r="V24" i="37"/>
  <c r="W24" i="37"/>
  <c r="X24" i="37"/>
  <c r="Y24" i="37"/>
  <c r="Z24" i="37"/>
  <c r="AA24" i="37"/>
  <c r="C25" i="37"/>
  <c r="T25" i="37"/>
  <c r="D25" i="37"/>
  <c r="U25" i="37"/>
  <c r="V25" i="37"/>
  <c r="W25" i="37"/>
  <c r="X25" i="37"/>
  <c r="Y25" i="37"/>
  <c r="Z25" i="37"/>
  <c r="AA25" i="37"/>
  <c r="C26" i="37"/>
  <c r="T26" i="37"/>
  <c r="D26" i="37"/>
  <c r="U26" i="37"/>
  <c r="V26" i="37"/>
  <c r="W26" i="37"/>
  <c r="X26" i="37"/>
  <c r="Y26" i="37"/>
  <c r="Z26" i="37"/>
  <c r="AA26" i="37"/>
  <c r="C27" i="37"/>
  <c r="T27" i="37"/>
  <c r="D27" i="37"/>
  <c r="U27" i="37"/>
  <c r="V27" i="37"/>
  <c r="W27" i="37"/>
  <c r="X27" i="37"/>
  <c r="Y27" i="37"/>
  <c r="Z27" i="37"/>
  <c r="AA27" i="37"/>
  <c r="C28" i="37"/>
  <c r="T28" i="37"/>
  <c r="D28" i="37"/>
  <c r="U28" i="37"/>
  <c r="V28" i="37"/>
  <c r="W28" i="37"/>
  <c r="X28" i="37"/>
  <c r="Y28" i="37"/>
  <c r="Z28" i="37"/>
  <c r="AA28" i="37"/>
  <c r="C29" i="37"/>
  <c r="T29" i="37"/>
  <c r="D29" i="37"/>
  <c r="U29" i="37"/>
  <c r="V29" i="37"/>
  <c r="W29" i="37"/>
  <c r="X29" i="37"/>
  <c r="Y29" i="37"/>
  <c r="Z29" i="37"/>
  <c r="AA29" i="37"/>
  <c r="C30" i="37"/>
  <c r="T30" i="37"/>
  <c r="D30" i="37"/>
  <c r="U30" i="37"/>
  <c r="V30" i="37"/>
  <c r="W30" i="37"/>
  <c r="X30" i="37"/>
  <c r="Y30" i="37"/>
  <c r="Z30" i="37"/>
  <c r="AA30" i="37"/>
  <c r="C31" i="37"/>
  <c r="T31" i="37"/>
  <c r="D31" i="37"/>
  <c r="U31" i="37"/>
  <c r="V31" i="37"/>
  <c r="W31" i="37"/>
  <c r="X31" i="37"/>
  <c r="Y31" i="37"/>
  <c r="Z31" i="37"/>
  <c r="AA31" i="37"/>
  <c r="C32" i="37"/>
  <c r="T32" i="37"/>
  <c r="D32" i="37"/>
  <c r="U32" i="37"/>
  <c r="V32" i="37"/>
  <c r="W32" i="37"/>
  <c r="X32" i="37"/>
  <c r="Y32" i="37"/>
  <c r="Z32" i="37"/>
  <c r="AA32" i="37"/>
  <c r="C33" i="37"/>
  <c r="T33" i="37"/>
  <c r="D33" i="37"/>
  <c r="U33" i="37"/>
  <c r="V33" i="37"/>
  <c r="W33" i="37"/>
  <c r="X33" i="37"/>
  <c r="Y33" i="37"/>
  <c r="Z33" i="37"/>
  <c r="AA33" i="37"/>
  <c r="C34" i="37"/>
  <c r="T34" i="37"/>
  <c r="D34" i="37"/>
  <c r="U34" i="37"/>
  <c r="V34" i="37"/>
  <c r="W34" i="37"/>
  <c r="X34" i="37"/>
  <c r="Y34" i="37"/>
  <c r="Z34" i="37"/>
  <c r="AA34" i="37"/>
  <c r="C35" i="37"/>
  <c r="T35" i="37"/>
  <c r="D35" i="37"/>
  <c r="U35" i="37"/>
  <c r="V35" i="37"/>
  <c r="W35" i="37"/>
  <c r="X35" i="37"/>
  <c r="Y35" i="37"/>
  <c r="Z35" i="37"/>
  <c r="AA35" i="37"/>
  <c r="C36" i="37"/>
  <c r="T36" i="37"/>
  <c r="D36" i="37"/>
  <c r="U36" i="37"/>
  <c r="V36" i="37"/>
  <c r="W36" i="37"/>
  <c r="X36" i="37"/>
  <c r="Y36" i="37"/>
  <c r="Z36" i="37"/>
  <c r="AA36" i="37"/>
  <c r="C37" i="37"/>
  <c r="T37" i="37"/>
  <c r="D37" i="37"/>
  <c r="U37" i="37"/>
  <c r="V37" i="37"/>
  <c r="W37" i="37"/>
  <c r="X37" i="37"/>
  <c r="Y37" i="37"/>
  <c r="Z37" i="37"/>
  <c r="AA37" i="37"/>
  <c r="C38" i="37"/>
  <c r="T38" i="37"/>
  <c r="D38" i="37"/>
  <c r="U38" i="37"/>
  <c r="V38" i="37"/>
  <c r="W38" i="37"/>
  <c r="X38" i="37"/>
  <c r="Y38" i="37"/>
  <c r="Z38" i="37"/>
  <c r="AA38" i="37"/>
  <c r="C39" i="37"/>
  <c r="T39" i="37"/>
  <c r="D39" i="37"/>
  <c r="U39" i="37"/>
  <c r="V39" i="37"/>
  <c r="W39" i="37"/>
  <c r="X39" i="37"/>
  <c r="Y39" i="37"/>
  <c r="Z39" i="37"/>
  <c r="AA39" i="37"/>
  <c r="C40" i="37"/>
  <c r="T40" i="37"/>
  <c r="D40" i="37"/>
  <c r="U40" i="37"/>
  <c r="V40" i="37"/>
  <c r="W40" i="37"/>
  <c r="X40" i="37"/>
  <c r="Y40" i="37"/>
  <c r="Z40" i="37"/>
  <c r="AA40" i="37"/>
  <c r="C41" i="37"/>
  <c r="T41" i="37"/>
  <c r="D41" i="37"/>
  <c r="U41" i="37"/>
  <c r="V41" i="37"/>
  <c r="W41" i="37"/>
  <c r="X41" i="37"/>
  <c r="Y41" i="37"/>
  <c r="Z41" i="37"/>
  <c r="AA41" i="37"/>
  <c r="C42" i="37"/>
  <c r="T42" i="37"/>
  <c r="D42" i="37"/>
  <c r="U42" i="37"/>
  <c r="V42" i="37"/>
  <c r="W42" i="37"/>
  <c r="X42" i="37"/>
  <c r="Y42" i="37"/>
  <c r="Z42" i="37"/>
  <c r="AA42" i="37"/>
  <c r="C43" i="37"/>
  <c r="T43" i="37"/>
  <c r="D43" i="37"/>
  <c r="U43" i="37"/>
  <c r="V43" i="37"/>
  <c r="W43" i="37"/>
  <c r="X43" i="37"/>
  <c r="Y43" i="37"/>
  <c r="Z43" i="37"/>
  <c r="AA43" i="37"/>
  <c r="C44" i="37"/>
  <c r="T44" i="37"/>
  <c r="D44" i="37"/>
  <c r="U44" i="37"/>
  <c r="V44" i="37"/>
  <c r="W44" i="37"/>
  <c r="X44" i="37"/>
  <c r="Y44" i="37"/>
  <c r="Z44" i="37"/>
  <c r="AA44" i="37"/>
  <c r="C45" i="37"/>
  <c r="T45" i="37"/>
  <c r="D45" i="37"/>
  <c r="U45" i="37"/>
  <c r="V45" i="37"/>
  <c r="W45" i="37"/>
  <c r="X45" i="37"/>
  <c r="Y45" i="37"/>
  <c r="Z45" i="37"/>
  <c r="AA45" i="37"/>
  <c r="C46" i="37"/>
  <c r="T46" i="37"/>
  <c r="D46" i="37"/>
  <c r="U46" i="37"/>
  <c r="V46" i="37"/>
  <c r="W46" i="37"/>
  <c r="X46" i="37"/>
  <c r="Y46" i="37"/>
  <c r="Z46" i="37"/>
  <c r="AA46" i="37"/>
  <c r="C47" i="37"/>
  <c r="T47" i="37"/>
  <c r="D47" i="37"/>
  <c r="U47" i="37"/>
  <c r="V47" i="37"/>
  <c r="W47" i="37"/>
  <c r="X47" i="37"/>
  <c r="Y47" i="37"/>
  <c r="Z47" i="37"/>
  <c r="AA47" i="37"/>
  <c r="C48" i="37"/>
  <c r="T48" i="37"/>
  <c r="D48" i="37"/>
  <c r="U48" i="37"/>
  <c r="V48" i="37"/>
  <c r="W48" i="37"/>
  <c r="X48" i="37"/>
  <c r="Y48" i="37"/>
  <c r="Z48" i="37"/>
  <c r="AA48" i="37"/>
  <c r="C49" i="37"/>
  <c r="T49" i="37"/>
  <c r="D49" i="37"/>
  <c r="U49" i="37"/>
  <c r="V49" i="37"/>
  <c r="W49" i="37"/>
  <c r="X49" i="37"/>
  <c r="Y49" i="37"/>
  <c r="Z49" i="37"/>
  <c r="AA49" i="37"/>
  <c r="C50" i="37"/>
  <c r="T50" i="37"/>
  <c r="D50" i="37"/>
  <c r="U50" i="37"/>
  <c r="V50" i="37"/>
  <c r="W50" i="37"/>
  <c r="X50" i="37"/>
  <c r="Y50" i="37"/>
  <c r="Z50" i="37"/>
  <c r="AA50" i="37"/>
  <c r="C51" i="37"/>
  <c r="T51" i="37"/>
  <c r="D51" i="37"/>
  <c r="U51" i="37"/>
  <c r="V51" i="37"/>
  <c r="W51" i="37"/>
  <c r="X51" i="37"/>
  <c r="Y51" i="37"/>
  <c r="Z51" i="37"/>
  <c r="AA51" i="37"/>
  <c r="C52" i="37"/>
  <c r="T52" i="37"/>
  <c r="D52" i="37"/>
  <c r="U52" i="37"/>
  <c r="V52" i="37"/>
  <c r="W52" i="37"/>
  <c r="X52" i="37"/>
  <c r="Y52" i="37"/>
  <c r="Z52" i="37"/>
  <c r="AA52" i="37"/>
  <c r="C53" i="37"/>
  <c r="T53" i="37"/>
  <c r="D53" i="37"/>
  <c r="U53" i="37"/>
  <c r="V53" i="37"/>
  <c r="W53" i="37"/>
  <c r="X53" i="37"/>
  <c r="Y53" i="37"/>
  <c r="Z53" i="37"/>
  <c r="AA53" i="37"/>
  <c r="C54" i="37"/>
  <c r="T54" i="37"/>
  <c r="D54" i="37"/>
  <c r="U54" i="37"/>
  <c r="V54" i="37"/>
  <c r="W54" i="37"/>
  <c r="X54" i="37"/>
  <c r="Y54" i="37"/>
  <c r="Z54" i="37"/>
  <c r="AA54" i="37"/>
  <c r="C55" i="37"/>
  <c r="T55" i="37"/>
  <c r="D55" i="37"/>
  <c r="U55" i="37"/>
  <c r="V55" i="37"/>
  <c r="W55" i="37"/>
  <c r="X55" i="37"/>
  <c r="Y55" i="37"/>
  <c r="Z55" i="37"/>
  <c r="AA55" i="37"/>
  <c r="C56" i="37"/>
  <c r="T56" i="37"/>
  <c r="D56" i="37"/>
  <c r="U56" i="37"/>
  <c r="V56" i="37"/>
  <c r="W56" i="37"/>
  <c r="X56" i="37"/>
  <c r="Y56" i="37"/>
  <c r="Z56" i="37"/>
  <c r="AA56" i="37"/>
  <c r="C57" i="37"/>
  <c r="T57" i="37"/>
  <c r="D57" i="37"/>
  <c r="U57" i="37"/>
  <c r="V57" i="37"/>
  <c r="W57" i="37"/>
  <c r="X57" i="37"/>
  <c r="Y57" i="37"/>
  <c r="Z57" i="37"/>
  <c r="AA57" i="37"/>
  <c r="C58" i="37"/>
  <c r="T58" i="37"/>
  <c r="D58" i="37"/>
  <c r="U58" i="37"/>
  <c r="V58" i="37"/>
  <c r="W58" i="37"/>
  <c r="X58" i="37"/>
  <c r="Y58" i="37"/>
  <c r="Z58" i="37"/>
  <c r="AA58" i="37"/>
  <c r="C59" i="37"/>
  <c r="T59" i="37"/>
  <c r="D59" i="37"/>
  <c r="U59" i="37"/>
  <c r="V59" i="37"/>
  <c r="W59" i="37"/>
  <c r="X59" i="37"/>
  <c r="Y59" i="37"/>
  <c r="Z59" i="37"/>
  <c r="AA59" i="37"/>
  <c r="C60" i="37"/>
  <c r="T60" i="37"/>
  <c r="D60" i="37"/>
  <c r="U60" i="37"/>
  <c r="V60" i="37"/>
  <c r="W60" i="37"/>
  <c r="X60" i="37"/>
  <c r="Y60" i="37"/>
  <c r="Z60" i="37"/>
  <c r="AA60" i="37"/>
  <c r="C61" i="37"/>
  <c r="T61" i="37"/>
  <c r="D61" i="37"/>
  <c r="U61" i="37"/>
  <c r="V61" i="37"/>
  <c r="W61" i="37"/>
  <c r="X61" i="37"/>
  <c r="Y61" i="37"/>
  <c r="Z61" i="37"/>
  <c r="AA61" i="37"/>
  <c r="C62" i="37"/>
  <c r="T62" i="37"/>
  <c r="D62" i="37"/>
  <c r="U62" i="37"/>
  <c r="V62" i="37"/>
  <c r="W62" i="37"/>
  <c r="X62" i="37"/>
  <c r="Y62" i="37"/>
  <c r="Z62" i="37"/>
  <c r="AA62" i="37"/>
  <c r="C63" i="37"/>
  <c r="T63" i="37"/>
  <c r="D63" i="37"/>
  <c r="U63" i="37"/>
  <c r="V63" i="37"/>
  <c r="W63" i="37"/>
  <c r="X63" i="37"/>
  <c r="Y63" i="37"/>
  <c r="Z63" i="37"/>
  <c r="AA63" i="37"/>
  <c r="C64" i="37"/>
  <c r="T64" i="37"/>
  <c r="D64" i="37"/>
  <c r="U64" i="37"/>
  <c r="V64" i="37"/>
  <c r="W64" i="37"/>
  <c r="X64" i="37"/>
  <c r="Y64" i="37"/>
  <c r="Z64" i="37"/>
  <c r="AA64" i="37"/>
  <c r="C65" i="37"/>
  <c r="T65" i="37"/>
  <c r="D65" i="37"/>
  <c r="U65" i="37"/>
  <c r="V65" i="37"/>
  <c r="W65" i="37"/>
  <c r="X65" i="37"/>
  <c r="Y65" i="37"/>
  <c r="Z65" i="37"/>
  <c r="AA65" i="37"/>
  <c r="C66" i="37"/>
  <c r="T66" i="37"/>
  <c r="D66" i="37"/>
  <c r="U66" i="37"/>
  <c r="V66" i="37"/>
  <c r="W66" i="37"/>
  <c r="X66" i="37"/>
  <c r="Y66" i="37"/>
  <c r="Z66" i="37"/>
  <c r="AA66" i="37"/>
  <c r="C67" i="37"/>
  <c r="T67" i="37"/>
  <c r="D67" i="37"/>
  <c r="U67" i="37"/>
  <c r="V67" i="37"/>
  <c r="W67" i="37"/>
  <c r="X67" i="37"/>
  <c r="Y67" i="37"/>
  <c r="Z67" i="37"/>
  <c r="AA67" i="37"/>
  <c r="C68" i="37"/>
  <c r="T68" i="37"/>
  <c r="D68" i="37"/>
  <c r="U68" i="37"/>
  <c r="V68" i="37"/>
  <c r="W68" i="37"/>
  <c r="X68" i="37"/>
  <c r="Y68" i="37"/>
  <c r="Z68" i="37"/>
  <c r="AA68" i="37"/>
  <c r="C69" i="37"/>
  <c r="T69" i="37"/>
  <c r="D69" i="37"/>
  <c r="U69" i="37"/>
  <c r="V69" i="37"/>
  <c r="W69" i="37"/>
  <c r="X69" i="37"/>
  <c r="Y69" i="37"/>
  <c r="Z69" i="37"/>
  <c r="AA69" i="37"/>
  <c r="C70" i="37"/>
  <c r="T70" i="37"/>
  <c r="D70" i="37"/>
  <c r="U70" i="37"/>
  <c r="V70" i="37"/>
  <c r="W70" i="37"/>
  <c r="X70" i="37"/>
  <c r="Y70" i="37"/>
  <c r="Z70" i="37"/>
  <c r="AA70" i="37"/>
  <c r="C71" i="37"/>
  <c r="T71" i="37"/>
  <c r="D71" i="37"/>
  <c r="U71" i="37"/>
  <c r="V71" i="37"/>
  <c r="W71" i="37"/>
  <c r="X71" i="37"/>
  <c r="Y71" i="37"/>
  <c r="Z71" i="37"/>
  <c r="AA71" i="37"/>
  <c r="C72" i="37"/>
  <c r="T72" i="37"/>
  <c r="D72" i="37"/>
  <c r="U72" i="37"/>
  <c r="V72" i="37"/>
  <c r="W72" i="37"/>
  <c r="X72" i="37"/>
  <c r="Y72" i="37"/>
  <c r="Z72" i="37"/>
  <c r="AA72" i="37"/>
  <c r="C73" i="37"/>
  <c r="T73" i="37"/>
  <c r="D73" i="37"/>
  <c r="U73" i="37"/>
  <c r="V73" i="37"/>
  <c r="W73" i="37"/>
  <c r="X73" i="37"/>
  <c r="Y73" i="37"/>
  <c r="Z73" i="37"/>
  <c r="AA73" i="37"/>
  <c r="C74" i="37"/>
  <c r="T74" i="37"/>
  <c r="D74" i="37"/>
  <c r="U74" i="37"/>
  <c r="V74" i="37"/>
  <c r="W74" i="37"/>
  <c r="X74" i="37"/>
  <c r="Y74" i="37"/>
  <c r="Z74" i="37"/>
  <c r="AA74" i="37"/>
  <c r="C75" i="37"/>
  <c r="T75" i="37"/>
  <c r="D75" i="37"/>
  <c r="U75" i="37"/>
  <c r="V75" i="37"/>
  <c r="W75" i="37"/>
  <c r="X75" i="37"/>
  <c r="Y75" i="37"/>
  <c r="Z75" i="37"/>
  <c r="AA75" i="37"/>
  <c r="C76" i="37"/>
  <c r="T76" i="37"/>
  <c r="D76" i="37"/>
  <c r="U76" i="37"/>
  <c r="V76" i="37"/>
  <c r="W76" i="37"/>
  <c r="X76" i="37"/>
  <c r="Y76" i="37"/>
  <c r="Z76" i="37"/>
  <c r="AA76" i="37"/>
  <c r="C77" i="37"/>
  <c r="T77" i="37"/>
  <c r="D77" i="37"/>
  <c r="U77" i="37"/>
  <c r="V77" i="37"/>
  <c r="W77" i="37"/>
  <c r="X77" i="37"/>
  <c r="Y77" i="37"/>
  <c r="Z77" i="37"/>
  <c r="AA77" i="37"/>
  <c r="C78" i="37"/>
  <c r="T78" i="37"/>
  <c r="D78" i="37"/>
  <c r="U78" i="37"/>
  <c r="V78" i="37"/>
  <c r="W78" i="37"/>
  <c r="X78" i="37"/>
  <c r="Y78" i="37"/>
  <c r="Z78" i="37"/>
  <c r="AA78" i="37"/>
  <c r="C79" i="37"/>
  <c r="T79" i="37"/>
  <c r="D79" i="37"/>
  <c r="U79" i="37"/>
  <c r="V79" i="37"/>
  <c r="W79" i="37"/>
  <c r="X79" i="37"/>
  <c r="Y79" i="37"/>
  <c r="Z79" i="37"/>
  <c r="AA79" i="37"/>
  <c r="C80" i="37"/>
  <c r="T80" i="37"/>
  <c r="D80" i="37"/>
  <c r="U80" i="37"/>
  <c r="V80" i="37"/>
  <c r="W80" i="37"/>
  <c r="X80" i="37"/>
  <c r="Y80" i="37"/>
  <c r="Z80" i="37"/>
  <c r="AA80" i="37"/>
  <c r="C81" i="37"/>
  <c r="T81" i="37"/>
  <c r="D81" i="37"/>
  <c r="U81" i="37"/>
  <c r="V81" i="37"/>
  <c r="W81" i="37"/>
  <c r="X81" i="37"/>
  <c r="Y81" i="37"/>
  <c r="Z81" i="37"/>
  <c r="AA81" i="37"/>
  <c r="C82" i="37"/>
  <c r="T82" i="37"/>
  <c r="D82" i="37"/>
  <c r="U82" i="37"/>
  <c r="V82" i="37"/>
  <c r="W82" i="37"/>
  <c r="X82" i="37"/>
  <c r="Y82" i="37"/>
  <c r="Z82" i="37"/>
  <c r="AA82" i="37"/>
  <c r="C83" i="37"/>
  <c r="T83" i="37"/>
  <c r="D83" i="37"/>
  <c r="U83" i="37"/>
  <c r="V83" i="37"/>
  <c r="W83" i="37"/>
  <c r="X83" i="37"/>
  <c r="Y83" i="37"/>
  <c r="Z83" i="37"/>
  <c r="AA83" i="37"/>
  <c r="C84" i="37"/>
  <c r="T84" i="37"/>
  <c r="D84" i="37"/>
  <c r="U84" i="37"/>
  <c r="V84" i="37"/>
  <c r="W84" i="37"/>
  <c r="X84" i="37"/>
  <c r="Y84" i="37"/>
  <c r="Z84" i="37"/>
  <c r="AA84" i="37"/>
  <c r="C85" i="37"/>
  <c r="T85" i="37"/>
  <c r="D85" i="37"/>
  <c r="U85" i="37"/>
  <c r="V85" i="37"/>
  <c r="W85" i="37"/>
  <c r="X85" i="37"/>
  <c r="Y85" i="37"/>
  <c r="Z85" i="37"/>
  <c r="AA85" i="37"/>
  <c r="C86" i="37"/>
  <c r="T86" i="37"/>
  <c r="D86" i="37"/>
  <c r="U86" i="37"/>
  <c r="V86" i="37"/>
  <c r="W86" i="37"/>
  <c r="X86" i="37"/>
  <c r="Y86" i="37"/>
  <c r="Z86" i="37"/>
  <c r="AA86" i="37"/>
  <c r="C87" i="37"/>
  <c r="T87" i="37"/>
  <c r="D87" i="37"/>
  <c r="U87" i="37"/>
  <c r="V87" i="37"/>
  <c r="W87" i="37"/>
  <c r="X87" i="37"/>
  <c r="Y87" i="37"/>
  <c r="Z87" i="37"/>
  <c r="AA87" i="37"/>
  <c r="C88" i="37"/>
  <c r="T88" i="37"/>
  <c r="D88" i="37"/>
  <c r="U88" i="37"/>
  <c r="V88" i="37"/>
  <c r="W88" i="37"/>
  <c r="X88" i="37"/>
  <c r="Y88" i="37"/>
  <c r="Z88" i="37"/>
  <c r="AA88" i="37"/>
  <c r="C89" i="37"/>
  <c r="T89" i="37"/>
  <c r="D89" i="37"/>
  <c r="U89" i="37"/>
  <c r="V89" i="37"/>
  <c r="W89" i="37"/>
  <c r="X89" i="37"/>
  <c r="Y89" i="37"/>
  <c r="Z89" i="37"/>
  <c r="AA89" i="37"/>
  <c r="C90" i="37"/>
  <c r="T90" i="37"/>
  <c r="D90" i="37"/>
  <c r="U90" i="37"/>
  <c r="V90" i="37"/>
  <c r="W90" i="37"/>
  <c r="X90" i="37"/>
  <c r="Y90" i="37"/>
  <c r="Z90" i="37"/>
  <c r="AA90" i="37"/>
  <c r="C91" i="37"/>
  <c r="T91" i="37"/>
  <c r="D91" i="37"/>
  <c r="U91" i="37"/>
  <c r="V91" i="37"/>
  <c r="W91" i="37"/>
  <c r="X91" i="37"/>
  <c r="Y91" i="37"/>
  <c r="Z91" i="37"/>
  <c r="AA91" i="37"/>
  <c r="C92" i="37"/>
  <c r="T92" i="37"/>
  <c r="D92" i="37"/>
  <c r="U92" i="37"/>
  <c r="V92" i="37"/>
  <c r="W92" i="37"/>
  <c r="X92" i="37"/>
  <c r="Y92" i="37"/>
  <c r="Z92" i="37"/>
  <c r="AA92" i="37"/>
  <c r="C93" i="37"/>
  <c r="T93" i="37"/>
  <c r="D93" i="37"/>
  <c r="U93" i="37"/>
  <c r="V93" i="37"/>
  <c r="W93" i="37"/>
  <c r="X93" i="37"/>
  <c r="Y93" i="37"/>
  <c r="Z93" i="37"/>
  <c r="AA93" i="37"/>
  <c r="C94" i="37"/>
  <c r="T94" i="37"/>
  <c r="D94" i="37"/>
  <c r="U94" i="37"/>
  <c r="V94" i="37"/>
  <c r="W94" i="37"/>
  <c r="X94" i="37"/>
  <c r="Y94" i="37"/>
  <c r="Z94" i="37"/>
  <c r="AA94" i="37"/>
  <c r="C95" i="37"/>
  <c r="T95" i="37"/>
  <c r="D95" i="37"/>
  <c r="U95" i="37"/>
  <c r="V95" i="37"/>
  <c r="W95" i="37"/>
  <c r="X95" i="37"/>
  <c r="Y95" i="37"/>
  <c r="Z95" i="37"/>
  <c r="AA95" i="37"/>
  <c r="C96" i="37"/>
  <c r="T96" i="37"/>
  <c r="D96" i="37"/>
  <c r="U96" i="37"/>
  <c r="V96" i="37"/>
  <c r="W96" i="37"/>
  <c r="X96" i="37"/>
  <c r="Y96" i="37"/>
  <c r="Z96" i="37"/>
  <c r="AA96" i="37"/>
  <c r="C97" i="37"/>
  <c r="T97" i="37"/>
  <c r="D97" i="37"/>
  <c r="U97" i="37"/>
  <c r="V97" i="37"/>
  <c r="W97" i="37"/>
  <c r="X97" i="37"/>
  <c r="Y97" i="37"/>
  <c r="Z97" i="37"/>
  <c r="AA97" i="37"/>
  <c r="C98" i="37"/>
  <c r="T98" i="37"/>
  <c r="D98" i="37"/>
  <c r="U98" i="37"/>
  <c r="V98" i="37"/>
  <c r="W98" i="37"/>
  <c r="X98" i="37"/>
  <c r="Y98" i="37"/>
  <c r="Z98" i="37"/>
  <c r="AA98" i="37"/>
  <c r="C99" i="37"/>
  <c r="T99" i="37"/>
  <c r="D99" i="37"/>
  <c r="U99" i="37"/>
  <c r="V99" i="37"/>
  <c r="W99" i="37"/>
  <c r="X99" i="37"/>
  <c r="Y99" i="37"/>
  <c r="Z99" i="37"/>
  <c r="AA99" i="37"/>
  <c r="C100" i="37"/>
  <c r="T100" i="37"/>
  <c r="D100" i="37"/>
  <c r="U100" i="37"/>
  <c r="V100" i="37"/>
  <c r="W100" i="37"/>
  <c r="X100" i="37"/>
  <c r="Y100" i="37"/>
  <c r="Z100" i="37"/>
  <c r="AA100" i="37"/>
  <c r="C101" i="37"/>
  <c r="T101" i="37"/>
  <c r="D101" i="37"/>
  <c r="U101" i="37"/>
  <c r="V101" i="37"/>
  <c r="W101" i="37"/>
  <c r="X101" i="37"/>
  <c r="Y101" i="37"/>
  <c r="Z101" i="37"/>
  <c r="AA101" i="37"/>
  <c r="C102" i="37"/>
  <c r="T102" i="37"/>
  <c r="D102" i="37"/>
  <c r="U102" i="37"/>
  <c r="V102" i="37"/>
  <c r="W102" i="37"/>
  <c r="X102" i="37"/>
  <c r="Y102" i="37"/>
  <c r="Z102" i="37"/>
  <c r="AA102" i="37"/>
  <c r="C103" i="37"/>
  <c r="T103" i="37"/>
  <c r="D103" i="37"/>
  <c r="U103" i="37"/>
  <c r="V103" i="37"/>
  <c r="W103" i="37"/>
  <c r="X103" i="37"/>
  <c r="Y103" i="37"/>
  <c r="Z103" i="37"/>
  <c r="AA103" i="37"/>
  <c r="V104" i="37"/>
  <c r="W104" i="37"/>
  <c r="X104" i="37"/>
  <c r="Y104" i="37"/>
  <c r="D104" i="37"/>
  <c r="U104" i="37"/>
  <c r="Z104" i="37"/>
  <c r="AA104" i="37"/>
  <c r="AA107" i="37"/>
  <c r="K13" i="41"/>
  <c r="K15" i="41"/>
  <c r="C35" i="41"/>
  <c r="E35" i="41"/>
  <c r="H35" i="41"/>
  <c r="O11" i="47"/>
  <c r="P11" i="47"/>
  <c r="C12" i="47"/>
  <c r="D12" i="47"/>
  <c r="C13" i="47"/>
  <c r="D13" i="47"/>
  <c r="C14" i="47"/>
  <c r="D14" i="47"/>
  <c r="C15" i="47"/>
  <c r="D15" i="47"/>
  <c r="C16" i="47"/>
  <c r="D16" i="47"/>
  <c r="C17" i="47"/>
  <c r="D17" i="47"/>
  <c r="C18" i="47"/>
  <c r="D18" i="47"/>
  <c r="C19" i="47"/>
  <c r="D19" i="47"/>
  <c r="C20" i="47"/>
  <c r="D20" i="47"/>
  <c r="C21" i="47"/>
  <c r="D21" i="47"/>
  <c r="C22" i="47"/>
  <c r="D22" i="47"/>
  <c r="C23" i="47"/>
  <c r="D23" i="47"/>
  <c r="C24" i="47"/>
  <c r="D24" i="47"/>
  <c r="C25" i="47"/>
  <c r="D25" i="47"/>
  <c r="C26" i="47"/>
  <c r="D26" i="47"/>
  <c r="C27" i="47"/>
  <c r="D27" i="47"/>
  <c r="C28" i="47"/>
  <c r="D28" i="47"/>
  <c r="C29" i="47"/>
  <c r="D29" i="47"/>
  <c r="C30" i="47"/>
  <c r="D30" i="47"/>
  <c r="C31" i="47"/>
  <c r="D31" i="47"/>
  <c r="C32" i="47"/>
  <c r="D32" i="47"/>
  <c r="C33" i="47"/>
  <c r="D33" i="47"/>
  <c r="C34" i="47"/>
  <c r="D34" i="47"/>
  <c r="C35" i="47"/>
  <c r="D35" i="47"/>
  <c r="C36" i="47"/>
  <c r="D36" i="47"/>
  <c r="C37" i="47"/>
  <c r="D37" i="47"/>
  <c r="C38" i="47"/>
  <c r="D38" i="47"/>
  <c r="C39" i="47"/>
  <c r="D39" i="47"/>
  <c r="C40" i="47"/>
  <c r="D40" i="47"/>
  <c r="C41" i="47"/>
  <c r="D41" i="47"/>
  <c r="C42" i="47"/>
  <c r="D42" i="47"/>
  <c r="C43" i="47"/>
  <c r="D43" i="47"/>
  <c r="C44" i="47"/>
  <c r="D44" i="47"/>
  <c r="C45" i="47"/>
  <c r="D45" i="47"/>
  <c r="C46" i="47"/>
  <c r="D46" i="47"/>
  <c r="C47" i="47"/>
  <c r="D47" i="47"/>
  <c r="C48" i="47"/>
  <c r="D48" i="47"/>
  <c r="C49" i="47"/>
  <c r="D49" i="47"/>
  <c r="C50" i="47"/>
  <c r="D50" i="47"/>
  <c r="C51" i="47"/>
  <c r="D51" i="47"/>
  <c r="C52" i="47"/>
  <c r="D52" i="47"/>
  <c r="C53" i="47"/>
  <c r="D53" i="47"/>
  <c r="C54" i="47"/>
  <c r="D54" i="47"/>
  <c r="C55" i="47"/>
  <c r="D55" i="47"/>
  <c r="C56" i="47"/>
  <c r="D56" i="47"/>
  <c r="C57" i="47"/>
  <c r="D57" i="47"/>
  <c r="C58" i="47"/>
  <c r="D58" i="47"/>
  <c r="C59" i="47"/>
  <c r="D59" i="47"/>
  <c r="C60" i="47"/>
  <c r="D60" i="47"/>
  <c r="C61" i="47"/>
  <c r="D61" i="47"/>
  <c r="C62" i="47"/>
  <c r="D62" i="47"/>
  <c r="C63" i="47"/>
  <c r="D63" i="47"/>
  <c r="C64" i="47"/>
  <c r="D64" i="47"/>
  <c r="C65" i="47"/>
  <c r="D65" i="47"/>
  <c r="C66" i="47"/>
  <c r="D66" i="47"/>
  <c r="C67" i="47"/>
  <c r="D67" i="47"/>
  <c r="C68" i="47"/>
  <c r="D68" i="47"/>
  <c r="C69" i="47"/>
  <c r="D69" i="47"/>
  <c r="C70" i="47"/>
  <c r="D70" i="47"/>
  <c r="C71" i="47"/>
  <c r="D71" i="47"/>
  <c r="C72" i="47"/>
  <c r="D72" i="47"/>
  <c r="C73" i="47"/>
  <c r="D73" i="47"/>
  <c r="C74" i="47"/>
  <c r="D74" i="47"/>
  <c r="C75" i="47"/>
  <c r="D75" i="47"/>
  <c r="C76" i="47"/>
  <c r="D76" i="47"/>
  <c r="C77" i="47"/>
  <c r="D77" i="47"/>
  <c r="C78" i="47"/>
  <c r="D78" i="47"/>
  <c r="C79" i="47"/>
  <c r="D79" i="47"/>
  <c r="C80" i="47"/>
  <c r="D80" i="47"/>
  <c r="C81" i="47"/>
  <c r="D81" i="47"/>
  <c r="C82" i="47"/>
  <c r="D82" i="47"/>
  <c r="C83" i="47"/>
  <c r="D83" i="47"/>
  <c r="C84" i="47"/>
  <c r="D84" i="47"/>
  <c r="C85" i="47"/>
  <c r="D85" i="47"/>
  <c r="C86" i="47"/>
  <c r="D86" i="47"/>
  <c r="C87" i="47"/>
  <c r="D87" i="47"/>
  <c r="C88" i="47"/>
  <c r="D88" i="47"/>
  <c r="C89" i="47"/>
  <c r="D89" i="47"/>
  <c r="C90" i="47"/>
  <c r="D90" i="47"/>
  <c r="C91" i="47"/>
  <c r="D91" i="47"/>
  <c r="C92" i="47"/>
  <c r="D92" i="47"/>
  <c r="C93" i="47"/>
  <c r="D93" i="47"/>
  <c r="C94" i="47"/>
  <c r="D94" i="47"/>
  <c r="C95" i="47"/>
  <c r="D95" i="47"/>
  <c r="C96" i="47"/>
  <c r="D96" i="47"/>
  <c r="C97" i="47"/>
  <c r="D97" i="47"/>
  <c r="C98" i="47"/>
  <c r="D98" i="47"/>
  <c r="C99" i="47"/>
  <c r="D99" i="47"/>
  <c r="C100" i="47"/>
  <c r="D100" i="47"/>
  <c r="C101" i="47"/>
  <c r="D101" i="47"/>
  <c r="C102" i="47"/>
  <c r="D102" i="47"/>
  <c r="C103" i="47"/>
  <c r="D103" i="47"/>
  <c r="D104" i="47"/>
  <c r="U104" i="47"/>
  <c r="O11" i="39"/>
  <c r="P11" i="39"/>
  <c r="C12" i="39"/>
  <c r="D12" i="39"/>
  <c r="C13" i="39"/>
  <c r="D13" i="39"/>
  <c r="C14" i="39"/>
  <c r="D14" i="39"/>
  <c r="C15" i="39"/>
  <c r="D15" i="39"/>
  <c r="C16" i="39"/>
  <c r="D16" i="39"/>
  <c r="C17" i="39"/>
  <c r="D17" i="39"/>
  <c r="C18" i="39"/>
  <c r="D18" i="39"/>
  <c r="C19" i="39"/>
  <c r="D19" i="39"/>
  <c r="C20" i="39"/>
  <c r="D20" i="39"/>
  <c r="C21" i="39"/>
  <c r="D21" i="39"/>
  <c r="C22" i="39"/>
  <c r="D22" i="39"/>
  <c r="C23" i="39"/>
  <c r="D23" i="39"/>
  <c r="C24" i="39"/>
  <c r="D24" i="39"/>
  <c r="C25" i="39"/>
  <c r="D25" i="39"/>
  <c r="C26" i="39"/>
  <c r="D26" i="39"/>
  <c r="C27" i="39"/>
  <c r="D27" i="39"/>
  <c r="C28" i="39"/>
  <c r="D28" i="39"/>
  <c r="C29" i="39"/>
  <c r="D29" i="39"/>
  <c r="C30" i="39"/>
  <c r="D30" i="39"/>
  <c r="C31" i="39"/>
  <c r="D31" i="39"/>
  <c r="C32" i="39"/>
  <c r="D32" i="39"/>
  <c r="C33" i="39"/>
  <c r="D33" i="39"/>
  <c r="C34" i="39"/>
  <c r="D34" i="39"/>
  <c r="C35" i="39"/>
  <c r="D35" i="39"/>
  <c r="C36" i="39"/>
  <c r="D36" i="39"/>
  <c r="C37" i="39"/>
  <c r="D37" i="39"/>
  <c r="C38" i="39"/>
  <c r="D38" i="39"/>
  <c r="C39" i="39"/>
  <c r="D39" i="39"/>
  <c r="C40" i="39"/>
  <c r="D40" i="39"/>
  <c r="C41" i="39"/>
  <c r="D41" i="39"/>
  <c r="C42" i="39"/>
  <c r="D42" i="39"/>
  <c r="C43" i="39"/>
  <c r="D43" i="39"/>
  <c r="C44" i="39"/>
  <c r="D44" i="39"/>
  <c r="C45" i="39"/>
  <c r="D45" i="39"/>
  <c r="C46" i="39"/>
  <c r="D46" i="39"/>
  <c r="C47" i="39"/>
  <c r="D47" i="39"/>
  <c r="C48" i="39"/>
  <c r="D48" i="39"/>
  <c r="C49" i="39"/>
  <c r="D49" i="39"/>
  <c r="C50" i="39"/>
  <c r="D50" i="39"/>
  <c r="C51" i="39"/>
  <c r="D51" i="39"/>
  <c r="C52" i="39"/>
  <c r="D52" i="39"/>
  <c r="C53" i="39"/>
  <c r="D53" i="39"/>
  <c r="C54" i="39"/>
  <c r="D54" i="39"/>
  <c r="C55" i="39"/>
  <c r="D55" i="39"/>
  <c r="C56" i="39"/>
  <c r="D56" i="39"/>
  <c r="C57" i="39"/>
  <c r="D57" i="39"/>
  <c r="C58" i="39"/>
  <c r="D58" i="39"/>
  <c r="C59" i="39"/>
  <c r="D59" i="39"/>
  <c r="C60" i="39"/>
  <c r="D60" i="39"/>
  <c r="C61" i="39"/>
  <c r="D61" i="39"/>
  <c r="C62" i="39"/>
  <c r="D62" i="39"/>
  <c r="C63" i="39"/>
  <c r="D63" i="39"/>
  <c r="C64" i="39"/>
  <c r="D64" i="39"/>
  <c r="C65" i="39"/>
  <c r="D65" i="39"/>
  <c r="C66" i="39"/>
  <c r="D66" i="39"/>
  <c r="C67" i="39"/>
  <c r="D67" i="39"/>
  <c r="C68" i="39"/>
  <c r="D68" i="39"/>
  <c r="C69" i="39"/>
  <c r="D69" i="39"/>
  <c r="C70" i="39"/>
  <c r="D70" i="39"/>
  <c r="C71" i="39"/>
  <c r="D71" i="39"/>
  <c r="C72" i="39"/>
  <c r="D72" i="39"/>
  <c r="C73" i="39"/>
  <c r="D73" i="39"/>
  <c r="C74" i="39"/>
  <c r="D74" i="39"/>
  <c r="C75" i="39"/>
  <c r="D75" i="39"/>
  <c r="C76" i="39"/>
  <c r="D76" i="39"/>
  <c r="C77" i="39"/>
  <c r="D77" i="39"/>
  <c r="C78" i="39"/>
  <c r="D78" i="39"/>
  <c r="C79" i="39"/>
  <c r="D79" i="39"/>
  <c r="C80" i="39"/>
  <c r="D80" i="39"/>
  <c r="C81" i="39"/>
  <c r="D81" i="39"/>
  <c r="C82" i="39"/>
  <c r="D82" i="39"/>
  <c r="C83" i="39"/>
  <c r="D83" i="39"/>
  <c r="C84" i="39"/>
  <c r="D84" i="39"/>
  <c r="C85" i="39"/>
  <c r="D85" i="39"/>
  <c r="C86" i="39"/>
  <c r="D86" i="39"/>
  <c r="C87" i="39"/>
  <c r="D87" i="39"/>
  <c r="C88" i="39"/>
  <c r="D88" i="39"/>
  <c r="C89" i="39"/>
  <c r="D89" i="39"/>
  <c r="C90" i="39"/>
  <c r="D90" i="39"/>
  <c r="C91" i="39"/>
  <c r="D91" i="39"/>
  <c r="C92" i="39"/>
  <c r="D92" i="39"/>
  <c r="C93" i="39"/>
  <c r="D93" i="39"/>
  <c r="C94" i="39"/>
  <c r="D94" i="39"/>
  <c r="C95" i="39"/>
  <c r="D95" i="39"/>
  <c r="C96" i="39"/>
  <c r="D96" i="39"/>
  <c r="C97" i="39"/>
  <c r="D97" i="39"/>
  <c r="C98" i="39"/>
  <c r="D98" i="39"/>
  <c r="C99" i="39"/>
  <c r="D99" i="39"/>
  <c r="C100" i="39"/>
  <c r="D100" i="39"/>
  <c r="C101" i="39"/>
  <c r="D101" i="39"/>
  <c r="C102" i="39"/>
  <c r="D102" i="39"/>
  <c r="C103" i="39"/>
  <c r="D103" i="39"/>
  <c r="D104" i="39"/>
  <c r="U104" i="39"/>
  <c r="E36" i="41"/>
  <c r="H36" i="41"/>
  <c r="C12" i="45"/>
  <c r="T12" i="45"/>
  <c r="D12" i="45"/>
  <c r="U12" i="45"/>
  <c r="V12" i="45"/>
  <c r="W12" i="45"/>
  <c r="X12" i="45"/>
  <c r="Y12" i="45"/>
  <c r="Z12" i="45"/>
  <c r="AA12" i="45"/>
  <c r="C13" i="45"/>
  <c r="T13" i="45"/>
  <c r="D13" i="45"/>
  <c r="U13" i="45"/>
  <c r="V13" i="45"/>
  <c r="W13" i="45"/>
  <c r="X13" i="45"/>
  <c r="Y13" i="45"/>
  <c r="Z13" i="45"/>
  <c r="AA13" i="45"/>
  <c r="C14" i="45"/>
  <c r="T14" i="45"/>
  <c r="D14" i="45"/>
  <c r="U14" i="45"/>
  <c r="V14" i="45"/>
  <c r="W14" i="45"/>
  <c r="X14" i="45"/>
  <c r="Y14" i="45"/>
  <c r="Z14" i="45"/>
  <c r="AA14" i="45"/>
  <c r="C15" i="45"/>
  <c r="T15" i="45"/>
  <c r="D15" i="45"/>
  <c r="U15" i="45"/>
  <c r="V15" i="45"/>
  <c r="W15" i="45"/>
  <c r="X15" i="45"/>
  <c r="Y15" i="45"/>
  <c r="Z15" i="45"/>
  <c r="AA15" i="45"/>
  <c r="C16" i="45"/>
  <c r="T16" i="45"/>
  <c r="D16" i="45"/>
  <c r="U16" i="45"/>
  <c r="V16" i="45"/>
  <c r="W16" i="45"/>
  <c r="X16" i="45"/>
  <c r="Y16" i="45"/>
  <c r="Z16" i="45"/>
  <c r="AA16" i="45"/>
  <c r="C17" i="45"/>
  <c r="T17" i="45"/>
  <c r="D17" i="45"/>
  <c r="U17" i="45"/>
  <c r="V17" i="45"/>
  <c r="W17" i="45"/>
  <c r="X17" i="45"/>
  <c r="Y17" i="45"/>
  <c r="Z17" i="45"/>
  <c r="AA17" i="45"/>
  <c r="C18" i="45"/>
  <c r="T18" i="45"/>
  <c r="D18" i="45"/>
  <c r="U18" i="45"/>
  <c r="V18" i="45"/>
  <c r="W18" i="45"/>
  <c r="X18" i="45"/>
  <c r="Y18" i="45"/>
  <c r="Z18" i="45"/>
  <c r="AA18" i="45"/>
  <c r="C19" i="45"/>
  <c r="T19" i="45"/>
  <c r="D19" i="45"/>
  <c r="U19" i="45"/>
  <c r="V19" i="45"/>
  <c r="W19" i="45"/>
  <c r="X19" i="45"/>
  <c r="Y19" i="45"/>
  <c r="Z19" i="45"/>
  <c r="AA19" i="45"/>
  <c r="C20" i="45"/>
  <c r="T20" i="45"/>
  <c r="D20" i="45"/>
  <c r="U20" i="45"/>
  <c r="V20" i="45"/>
  <c r="W20" i="45"/>
  <c r="X20" i="45"/>
  <c r="Y20" i="45"/>
  <c r="Z20" i="45"/>
  <c r="AA20" i="45"/>
  <c r="C21" i="45"/>
  <c r="T21" i="45"/>
  <c r="D21" i="45"/>
  <c r="U21" i="45"/>
  <c r="V21" i="45"/>
  <c r="W21" i="45"/>
  <c r="X21" i="45"/>
  <c r="Y21" i="45"/>
  <c r="Z21" i="45"/>
  <c r="AA21" i="45"/>
  <c r="C22" i="45"/>
  <c r="T22" i="45"/>
  <c r="D22" i="45"/>
  <c r="U22" i="45"/>
  <c r="V22" i="45"/>
  <c r="W22" i="45"/>
  <c r="X22" i="45"/>
  <c r="Y22" i="45"/>
  <c r="Z22" i="45"/>
  <c r="AA22" i="45"/>
  <c r="C23" i="45"/>
  <c r="T23" i="45"/>
  <c r="D23" i="45"/>
  <c r="U23" i="45"/>
  <c r="V23" i="45"/>
  <c r="W23" i="45"/>
  <c r="X23" i="45"/>
  <c r="Y23" i="45"/>
  <c r="Z23" i="45"/>
  <c r="AA23" i="45"/>
  <c r="C24" i="45"/>
  <c r="T24" i="45"/>
  <c r="D24" i="45"/>
  <c r="U24" i="45"/>
  <c r="V24" i="45"/>
  <c r="W24" i="45"/>
  <c r="X24" i="45"/>
  <c r="Y24" i="45"/>
  <c r="Z24" i="45"/>
  <c r="AA24" i="45"/>
  <c r="C25" i="45"/>
  <c r="T25" i="45"/>
  <c r="D25" i="45"/>
  <c r="U25" i="45"/>
  <c r="V25" i="45"/>
  <c r="W25" i="45"/>
  <c r="X25" i="45"/>
  <c r="Y25" i="45"/>
  <c r="Z25" i="45"/>
  <c r="AA25" i="45"/>
  <c r="C26" i="45"/>
  <c r="T26" i="45"/>
  <c r="D26" i="45"/>
  <c r="U26" i="45"/>
  <c r="V26" i="45"/>
  <c r="W26" i="45"/>
  <c r="X26" i="45"/>
  <c r="Y26" i="45"/>
  <c r="Z26" i="45"/>
  <c r="AA26" i="45"/>
  <c r="C27" i="45"/>
  <c r="T27" i="45"/>
  <c r="D27" i="45"/>
  <c r="U27" i="45"/>
  <c r="V27" i="45"/>
  <c r="W27" i="45"/>
  <c r="X27" i="45"/>
  <c r="Y27" i="45"/>
  <c r="Z27" i="45"/>
  <c r="AA27" i="45"/>
  <c r="C28" i="45"/>
  <c r="T28" i="45"/>
  <c r="D28" i="45"/>
  <c r="U28" i="45"/>
  <c r="V28" i="45"/>
  <c r="W28" i="45"/>
  <c r="X28" i="45"/>
  <c r="Y28" i="45"/>
  <c r="Z28" i="45"/>
  <c r="AA28" i="45"/>
  <c r="C29" i="45"/>
  <c r="T29" i="45"/>
  <c r="D29" i="45"/>
  <c r="U29" i="45"/>
  <c r="V29" i="45"/>
  <c r="W29" i="45"/>
  <c r="X29" i="45"/>
  <c r="Y29" i="45"/>
  <c r="Z29" i="45"/>
  <c r="AA29" i="45"/>
  <c r="C30" i="45"/>
  <c r="T30" i="45"/>
  <c r="D30" i="45"/>
  <c r="U30" i="45"/>
  <c r="V30" i="45"/>
  <c r="W30" i="45"/>
  <c r="X30" i="45"/>
  <c r="Y30" i="45"/>
  <c r="Z30" i="45"/>
  <c r="AA30" i="45"/>
  <c r="C31" i="45"/>
  <c r="T31" i="45"/>
  <c r="D31" i="45"/>
  <c r="U31" i="45"/>
  <c r="V31" i="45"/>
  <c r="W31" i="45"/>
  <c r="X31" i="45"/>
  <c r="Y31" i="45"/>
  <c r="Z31" i="45"/>
  <c r="AA31" i="45"/>
  <c r="C32" i="45"/>
  <c r="T32" i="45"/>
  <c r="D32" i="45"/>
  <c r="U32" i="45"/>
  <c r="V32" i="45"/>
  <c r="W32" i="45"/>
  <c r="X32" i="45"/>
  <c r="Y32" i="45"/>
  <c r="Z32" i="45"/>
  <c r="AA32" i="45"/>
  <c r="C33" i="45"/>
  <c r="T33" i="45"/>
  <c r="D33" i="45"/>
  <c r="U33" i="45"/>
  <c r="V33" i="45"/>
  <c r="W33" i="45"/>
  <c r="X33" i="45"/>
  <c r="Y33" i="45"/>
  <c r="Z33" i="45"/>
  <c r="AA33" i="45"/>
  <c r="C34" i="45"/>
  <c r="T34" i="45"/>
  <c r="D34" i="45"/>
  <c r="U34" i="45"/>
  <c r="V34" i="45"/>
  <c r="W34" i="45"/>
  <c r="X34" i="45"/>
  <c r="Y34" i="45"/>
  <c r="Z34" i="45"/>
  <c r="AA34" i="45"/>
  <c r="C35" i="45"/>
  <c r="T35" i="45"/>
  <c r="D35" i="45"/>
  <c r="U35" i="45"/>
  <c r="V35" i="45"/>
  <c r="W35" i="45"/>
  <c r="X35" i="45"/>
  <c r="Y35" i="45"/>
  <c r="Z35" i="45"/>
  <c r="AA35" i="45"/>
  <c r="C36" i="45"/>
  <c r="T36" i="45"/>
  <c r="D36" i="45"/>
  <c r="U36" i="45"/>
  <c r="V36" i="45"/>
  <c r="W36" i="45"/>
  <c r="X36" i="45"/>
  <c r="Y36" i="45"/>
  <c r="Z36" i="45"/>
  <c r="AA36" i="45"/>
  <c r="C37" i="45"/>
  <c r="T37" i="45"/>
  <c r="D37" i="45"/>
  <c r="U37" i="45"/>
  <c r="V37" i="45"/>
  <c r="W37" i="45"/>
  <c r="X37" i="45"/>
  <c r="Y37" i="45"/>
  <c r="Z37" i="45"/>
  <c r="AA37" i="45"/>
  <c r="C38" i="45"/>
  <c r="T38" i="45"/>
  <c r="D38" i="45"/>
  <c r="U38" i="45"/>
  <c r="V38" i="45"/>
  <c r="W38" i="45"/>
  <c r="X38" i="45"/>
  <c r="Y38" i="45"/>
  <c r="Z38" i="45"/>
  <c r="AA38" i="45"/>
  <c r="C39" i="45"/>
  <c r="T39" i="45"/>
  <c r="D39" i="45"/>
  <c r="U39" i="45"/>
  <c r="V39" i="45"/>
  <c r="W39" i="45"/>
  <c r="X39" i="45"/>
  <c r="Y39" i="45"/>
  <c r="Z39" i="45"/>
  <c r="AA39" i="45"/>
  <c r="C40" i="45"/>
  <c r="T40" i="45"/>
  <c r="D40" i="45"/>
  <c r="U40" i="45"/>
  <c r="V40" i="45"/>
  <c r="W40" i="45"/>
  <c r="X40" i="45"/>
  <c r="Y40" i="45"/>
  <c r="Z40" i="45"/>
  <c r="AA40" i="45"/>
  <c r="C41" i="45"/>
  <c r="T41" i="45"/>
  <c r="D41" i="45"/>
  <c r="U41" i="45"/>
  <c r="V41" i="45"/>
  <c r="W41" i="45"/>
  <c r="X41" i="45"/>
  <c r="Y41" i="45"/>
  <c r="Z41" i="45"/>
  <c r="AA41" i="45"/>
  <c r="C42" i="45"/>
  <c r="T42" i="45"/>
  <c r="D42" i="45"/>
  <c r="U42" i="45"/>
  <c r="V42" i="45"/>
  <c r="W42" i="45"/>
  <c r="X42" i="45"/>
  <c r="Y42" i="45"/>
  <c r="Z42" i="45"/>
  <c r="AA42" i="45"/>
  <c r="C43" i="45"/>
  <c r="T43" i="45"/>
  <c r="D43" i="45"/>
  <c r="U43" i="45"/>
  <c r="V43" i="45"/>
  <c r="W43" i="45"/>
  <c r="X43" i="45"/>
  <c r="Y43" i="45"/>
  <c r="Z43" i="45"/>
  <c r="AA43" i="45"/>
  <c r="C44" i="45"/>
  <c r="T44" i="45"/>
  <c r="D44" i="45"/>
  <c r="U44" i="45"/>
  <c r="V44" i="45"/>
  <c r="W44" i="45"/>
  <c r="X44" i="45"/>
  <c r="Y44" i="45"/>
  <c r="Z44" i="45"/>
  <c r="AA44" i="45"/>
  <c r="C45" i="45"/>
  <c r="T45" i="45"/>
  <c r="D45" i="45"/>
  <c r="U45" i="45"/>
  <c r="V45" i="45"/>
  <c r="W45" i="45"/>
  <c r="X45" i="45"/>
  <c r="Y45" i="45"/>
  <c r="Z45" i="45"/>
  <c r="AA45" i="45"/>
  <c r="C46" i="45"/>
  <c r="T46" i="45"/>
  <c r="D46" i="45"/>
  <c r="U46" i="45"/>
  <c r="V46" i="45"/>
  <c r="W46" i="45"/>
  <c r="X46" i="45"/>
  <c r="Y46" i="45"/>
  <c r="Z46" i="45"/>
  <c r="AA46" i="45"/>
  <c r="C47" i="45"/>
  <c r="T47" i="45"/>
  <c r="D47" i="45"/>
  <c r="U47" i="45"/>
  <c r="V47" i="45"/>
  <c r="W47" i="45"/>
  <c r="X47" i="45"/>
  <c r="Y47" i="45"/>
  <c r="Z47" i="45"/>
  <c r="AA47" i="45"/>
  <c r="C48" i="45"/>
  <c r="T48" i="45"/>
  <c r="D48" i="45"/>
  <c r="U48" i="45"/>
  <c r="V48" i="45"/>
  <c r="W48" i="45"/>
  <c r="X48" i="45"/>
  <c r="Y48" i="45"/>
  <c r="Z48" i="45"/>
  <c r="AA48" i="45"/>
  <c r="C49" i="45"/>
  <c r="T49" i="45"/>
  <c r="D49" i="45"/>
  <c r="U49" i="45"/>
  <c r="V49" i="45"/>
  <c r="W49" i="45"/>
  <c r="X49" i="45"/>
  <c r="Y49" i="45"/>
  <c r="Z49" i="45"/>
  <c r="AA49" i="45"/>
  <c r="C50" i="45"/>
  <c r="T50" i="45"/>
  <c r="D50" i="45"/>
  <c r="U50" i="45"/>
  <c r="V50" i="45"/>
  <c r="W50" i="45"/>
  <c r="X50" i="45"/>
  <c r="Y50" i="45"/>
  <c r="Z50" i="45"/>
  <c r="AA50" i="45"/>
  <c r="C51" i="45"/>
  <c r="T51" i="45"/>
  <c r="D51" i="45"/>
  <c r="U51" i="45"/>
  <c r="V51" i="45"/>
  <c r="W51" i="45"/>
  <c r="X51" i="45"/>
  <c r="Y51" i="45"/>
  <c r="Z51" i="45"/>
  <c r="AA51" i="45"/>
  <c r="C52" i="45"/>
  <c r="T52" i="45"/>
  <c r="D52" i="45"/>
  <c r="U52" i="45"/>
  <c r="V52" i="45"/>
  <c r="W52" i="45"/>
  <c r="X52" i="45"/>
  <c r="Y52" i="45"/>
  <c r="Z52" i="45"/>
  <c r="AA52" i="45"/>
  <c r="C53" i="45"/>
  <c r="T53" i="45"/>
  <c r="D53" i="45"/>
  <c r="U53" i="45"/>
  <c r="V53" i="45"/>
  <c r="W53" i="45"/>
  <c r="X53" i="45"/>
  <c r="Y53" i="45"/>
  <c r="Z53" i="45"/>
  <c r="AA53" i="45"/>
  <c r="C54" i="45"/>
  <c r="T54" i="45"/>
  <c r="D54" i="45"/>
  <c r="U54" i="45"/>
  <c r="V54" i="45"/>
  <c r="W54" i="45"/>
  <c r="X54" i="45"/>
  <c r="Y54" i="45"/>
  <c r="Z54" i="45"/>
  <c r="AA54" i="45"/>
  <c r="C55" i="45"/>
  <c r="T55" i="45"/>
  <c r="D55" i="45"/>
  <c r="U55" i="45"/>
  <c r="V55" i="45"/>
  <c r="W55" i="45"/>
  <c r="X55" i="45"/>
  <c r="Y55" i="45"/>
  <c r="Z55" i="45"/>
  <c r="AA55" i="45"/>
  <c r="C56" i="45"/>
  <c r="T56" i="45"/>
  <c r="D56" i="45"/>
  <c r="U56" i="45"/>
  <c r="V56" i="45"/>
  <c r="W56" i="45"/>
  <c r="X56" i="45"/>
  <c r="Y56" i="45"/>
  <c r="Z56" i="45"/>
  <c r="AA56" i="45"/>
  <c r="C57" i="45"/>
  <c r="T57" i="45"/>
  <c r="D57" i="45"/>
  <c r="U57" i="45"/>
  <c r="V57" i="45"/>
  <c r="W57" i="45"/>
  <c r="X57" i="45"/>
  <c r="Y57" i="45"/>
  <c r="Z57" i="45"/>
  <c r="AA57" i="45"/>
  <c r="C58" i="45"/>
  <c r="T58" i="45"/>
  <c r="D58" i="45"/>
  <c r="U58" i="45"/>
  <c r="V58" i="45"/>
  <c r="W58" i="45"/>
  <c r="X58" i="45"/>
  <c r="Y58" i="45"/>
  <c r="Z58" i="45"/>
  <c r="AA58" i="45"/>
  <c r="C59" i="45"/>
  <c r="T59" i="45"/>
  <c r="D59" i="45"/>
  <c r="U59" i="45"/>
  <c r="V59" i="45"/>
  <c r="W59" i="45"/>
  <c r="X59" i="45"/>
  <c r="Y59" i="45"/>
  <c r="Z59" i="45"/>
  <c r="AA59" i="45"/>
  <c r="C60" i="45"/>
  <c r="T60" i="45"/>
  <c r="D60" i="45"/>
  <c r="U60" i="45"/>
  <c r="V60" i="45"/>
  <c r="W60" i="45"/>
  <c r="X60" i="45"/>
  <c r="Y60" i="45"/>
  <c r="Z60" i="45"/>
  <c r="AA60" i="45"/>
  <c r="C61" i="45"/>
  <c r="T61" i="45"/>
  <c r="D61" i="45"/>
  <c r="U61" i="45"/>
  <c r="V61" i="45"/>
  <c r="W61" i="45"/>
  <c r="X61" i="45"/>
  <c r="Y61" i="45"/>
  <c r="Z61" i="45"/>
  <c r="AA61" i="45"/>
  <c r="C62" i="45"/>
  <c r="T62" i="45"/>
  <c r="D62" i="45"/>
  <c r="U62" i="45"/>
  <c r="V62" i="45"/>
  <c r="W62" i="45"/>
  <c r="X62" i="45"/>
  <c r="Y62" i="45"/>
  <c r="Z62" i="45"/>
  <c r="AA62" i="45"/>
  <c r="C63" i="45"/>
  <c r="T63" i="45"/>
  <c r="D63" i="45"/>
  <c r="U63" i="45"/>
  <c r="V63" i="45"/>
  <c r="W63" i="45"/>
  <c r="X63" i="45"/>
  <c r="Y63" i="45"/>
  <c r="Z63" i="45"/>
  <c r="AA63" i="45"/>
  <c r="C64" i="45"/>
  <c r="T64" i="45"/>
  <c r="D64" i="45"/>
  <c r="U64" i="45"/>
  <c r="V64" i="45"/>
  <c r="W64" i="45"/>
  <c r="X64" i="45"/>
  <c r="Y64" i="45"/>
  <c r="Z64" i="45"/>
  <c r="AA64" i="45"/>
  <c r="C65" i="45"/>
  <c r="T65" i="45"/>
  <c r="D65" i="45"/>
  <c r="U65" i="45"/>
  <c r="V65" i="45"/>
  <c r="W65" i="45"/>
  <c r="X65" i="45"/>
  <c r="Y65" i="45"/>
  <c r="Z65" i="45"/>
  <c r="AA65" i="45"/>
  <c r="C66" i="45"/>
  <c r="T66" i="45"/>
  <c r="D66" i="45"/>
  <c r="U66" i="45"/>
  <c r="V66" i="45"/>
  <c r="W66" i="45"/>
  <c r="X66" i="45"/>
  <c r="Y66" i="45"/>
  <c r="Z66" i="45"/>
  <c r="AA66" i="45"/>
  <c r="C67" i="45"/>
  <c r="T67" i="45"/>
  <c r="D67" i="45"/>
  <c r="U67" i="45"/>
  <c r="V67" i="45"/>
  <c r="W67" i="45"/>
  <c r="X67" i="45"/>
  <c r="Y67" i="45"/>
  <c r="Z67" i="45"/>
  <c r="AA67" i="45"/>
  <c r="C68" i="45"/>
  <c r="T68" i="45"/>
  <c r="D68" i="45"/>
  <c r="U68" i="45"/>
  <c r="V68" i="45"/>
  <c r="W68" i="45"/>
  <c r="X68" i="45"/>
  <c r="Y68" i="45"/>
  <c r="Z68" i="45"/>
  <c r="AA68" i="45"/>
  <c r="C69" i="45"/>
  <c r="T69" i="45"/>
  <c r="D69" i="45"/>
  <c r="U69" i="45"/>
  <c r="V69" i="45"/>
  <c r="W69" i="45"/>
  <c r="X69" i="45"/>
  <c r="Y69" i="45"/>
  <c r="Z69" i="45"/>
  <c r="AA69" i="45"/>
  <c r="C70" i="45"/>
  <c r="T70" i="45"/>
  <c r="D70" i="45"/>
  <c r="U70" i="45"/>
  <c r="V70" i="45"/>
  <c r="W70" i="45"/>
  <c r="X70" i="45"/>
  <c r="Y70" i="45"/>
  <c r="Z70" i="45"/>
  <c r="AA70" i="45"/>
  <c r="C71" i="45"/>
  <c r="T71" i="45"/>
  <c r="D71" i="45"/>
  <c r="U71" i="45"/>
  <c r="V71" i="45"/>
  <c r="W71" i="45"/>
  <c r="X71" i="45"/>
  <c r="Y71" i="45"/>
  <c r="Z71" i="45"/>
  <c r="AA71" i="45"/>
  <c r="C72" i="45"/>
  <c r="T72" i="45"/>
  <c r="D72" i="45"/>
  <c r="U72" i="45"/>
  <c r="V72" i="45"/>
  <c r="W72" i="45"/>
  <c r="X72" i="45"/>
  <c r="Y72" i="45"/>
  <c r="Z72" i="45"/>
  <c r="AA72" i="45"/>
  <c r="C73" i="45"/>
  <c r="T73" i="45"/>
  <c r="D73" i="45"/>
  <c r="U73" i="45"/>
  <c r="V73" i="45"/>
  <c r="W73" i="45"/>
  <c r="X73" i="45"/>
  <c r="Y73" i="45"/>
  <c r="Z73" i="45"/>
  <c r="AA73" i="45"/>
  <c r="C74" i="45"/>
  <c r="T74" i="45"/>
  <c r="D74" i="45"/>
  <c r="U74" i="45"/>
  <c r="V74" i="45"/>
  <c r="W74" i="45"/>
  <c r="X74" i="45"/>
  <c r="Y74" i="45"/>
  <c r="Z74" i="45"/>
  <c r="AA74" i="45"/>
  <c r="C75" i="45"/>
  <c r="T75" i="45"/>
  <c r="D75" i="45"/>
  <c r="U75" i="45"/>
  <c r="V75" i="45"/>
  <c r="W75" i="45"/>
  <c r="X75" i="45"/>
  <c r="Y75" i="45"/>
  <c r="Z75" i="45"/>
  <c r="AA75" i="45"/>
  <c r="C76" i="45"/>
  <c r="T76" i="45"/>
  <c r="D76" i="45"/>
  <c r="U76" i="45"/>
  <c r="V76" i="45"/>
  <c r="W76" i="45"/>
  <c r="X76" i="45"/>
  <c r="Y76" i="45"/>
  <c r="Z76" i="45"/>
  <c r="AA76" i="45"/>
  <c r="C77" i="45"/>
  <c r="T77" i="45"/>
  <c r="D77" i="45"/>
  <c r="U77" i="45"/>
  <c r="V77" i="45"/>
  <c r="W77" i="45"/>
  <c r="X77" i="45"/>
  <c r="Y77" i="45"/>
  <c r="Z77" i="45"/>
  <c r="AA77" i="45"/>
  <c r="C78" i="45"/>
  <c r="T78" i="45"/>
  <c r="D78" i="45"/>
  <c r="U78" i="45"/>
  <c r="V78" i="45"/>
  <c r="W78" i="45"/>
  <c r="X78" i="45"/>
  <c r="Y78" i="45"/>
  <c r="Z78" i="45"/>
  <c r="AA78" i="45"/>
  <c r="C79" i="45"/>
  <c r="T79" i="45"/>
  <c r="D79" i="45"/>
  <c r="U79" i="45"/>
  <c r="V79" i="45"/>
  <c r="W79" i="45"/>
  <c r="X79" i="45"/>
  <c r="Y79" i="45"/>
  <c r="Z79" i="45"/>
  <c r="AA79" i="45"/>
  <c r="C80" i="45"/>
  <c r="T80" i="45"/>
  <c r="D80" i="45"/>
  <c r="U80" i="45"/>
  <c r="V80" i="45"/>
  <c r="W80" i="45"/>
  <c r="X80" i="45"/>
  <c r="Y80" i="45"/>
  <c r="Z80" i="45"/>
  <c r="AA80" i="45"/>
  <c r="C81" i="45"/>
  <c r="T81" i="45"/>
  <c r="D81" i="45"/>
  <c r="U81" i="45"/>
  <c r="V81" i="45"/>
  <c r="W81" i="45"/>
  <c r="X81" i="45"/>
  <c r="Y81" i="45"/>
  <c r="Z81" i="45"/>
  <c r="AA81" i="45"/>
  <c r="C82" i="45"/>
  <c r="T82" i="45"/>
  <c r="D82" i="45"/>
  <c r="U82" i="45"/>
  <c r="V82" i="45"/>
  <c r="W82" i="45"/>
  <c r="X82" i="45"/>
  <c r="Y82" i="45"/>
  <c r="Z82" i="45"/>
  <c r="AA82" i="45"/>
  <c r="C83" i="45"/>
  <c r="T83" i="45"/>
  <c r="D83" i="45"/>
  <c r="U83" i="45"/>
  <c r="V83" i="45"/>
  <c r="W83" i="45"/>
  <c r="X83" i="45"/>
  <c r="Y83" i="45"/>
  <c r="Z83" i="45"/>
  <c r="AA83" i="45"/>
  <c r="C84" i="45"/>
  <c r="T84" i="45"/>
  <c r="D84" i="45"/>
  <c r="U84" i="45"/>
  <c r="V84" i="45"/>
  <c r="W84" i="45"/>
  <c r="X84" i="45"/>
  <c r="Y84" i="45"/>
  <c r="Z84" i="45"/>
  <c r="AA84" i="45"/>
  <c r="C85" i="45"/>
  <c r="T85" i="45"/>
  <c r="D85" i="45"/>
  <c r="U85" i="45"/>
  <c r="V85" i="45"/>
  <c r="W85" i="45"/>
  <c r="X85" i="45"/>
  <c r="Y85" i="45"/>
  <c r="Z85" i="45"/>
  <c r="AA85" i="45"/>
  <c r="C86" i="45"/>
  <c r="T86" i="45"/>
  <c r="D86" i="45"/>
  <c r="U86" i="45"/>
  <c r="V86" i="45"/>
  <c r="W86" i="45"/>
  <c r="X86" i="45"/>
  <c r="Y86" i="45"/>
  <c r="Z86" i="45"/>
  <c r="AA86" i="45"/>
  <c r="C87" i="45"/>
  <c r="T87" i="45"/>
  <c r="D87" i="45"/>
  <c r="U87" i="45"/>
  <c r="V87" i="45"/>
  <c r="W87" i="45"/>
  <c r="X87" i="45"/>
  <c r="Y87" i="45"/>
  <c r="Z87" i="45"/>
  <c r="AA87" i="45"/>
  <c r="C88" i="45"/>
  <c r="T88" i="45"/>
  <c r="D88" i="45"/>
  <c r="U88" i="45"/>
  <c r="V88" i="45"/>
  <c r="W88" i="45"/>
  <c r="X88" i="45"/>
  <c r="Y88" i="45"/>
  <c r="Z88" i="45"/>
  <c r="AA88" i="45"/>
  <c r="C89" i="45"/>
  <c r="T89" i="45"/>
  <c r="D89" i="45"/>
  <c r="U89" i="45"/>
  <c r="V89" i="45"/>
  <c r="W89" i="45"/>
  <c r="X89" i="45"/>
  <c r="Y89" i="45"/>
  <c r="Z89" i="45"/>
  <c r="AA89" i="45"/>
  <c r="C90" i="45"/>
  <c r="T90" i="45"/>
  <c r="D90" i="45"/>
  <c r="U90" i="45"/>
  <c r="V90" i="45"/>
  <c r="W90" i="45"/>
  <c r="X90" i="45"/>
  <c r="Y90" i="45"/>
  <c r="Z90" i="45"/>
  <c r="AA90" i="45"/>
  <c r="C91" i="45"/>
  <c r="T91" i="45"/>
  <c r="D91" i="45"/>
  <c r="U91" i="45"/>
  <c r="V91" i="45"/>
  <c r="W91" i="45"/>
  <c r="X91" i="45"/>
  <c r="Y91" i="45"/>
  <c r="Z91" i="45"/>
  <c r="AA91" i="45"/>
  <c r="C92" i="45"/>
  <c r="T92" i="45"/>
  <c r="D92" i="45"/>
  <c r="U92" i="45"/>
  <c r="V92" i="45"/>
  <c r="W92" i="45"/>
  <c r="X92" i="45"/>
  <c r="Y92" i="45"/>
  <c r="Z92" i="45"/>
  <c r="AA92" i="45"/>
  <c r="C93" i="45"/>
  <c r="T93" i="45"/>
  <c r="D93" i="45"/>
  <c r="U93" i="45"/>
  <c r="V93" i="45"/>
  <c r="W93" i="45"/>
  <c r="X93" i="45"/>
  <c r="Y93" i="45"/>
  <c r="Z93" i="45"/>
  <c r="AA93" i="45"/>
  <c r="C94" i="45"/>
  <c r="T94" i="45"/>
  <c r="D94" i="45"/>
  <c r="U94" i="45"/>
  <c r="V94" i="45"/>
  <c r="W94" i="45"/>
  <c r="X94" i="45"/>
  <c r="Y94" i="45"/>
  <c r="Z94" i="45"/>
  <c r="AA94" i="45"/>
  <c r="C95" i="45"/>
  <c r="T95" i="45"/>
  <c r="D95" i="45"/>
  <c r="U95" i="45"/>
  <c r="V95" i="45"/>
  <c r="W95" i="45"/>
  <c r="X95" i="45"/>
  <c r="Y95" i="45"/>
  <c r="Z95" i="45"/>
  <c r="AA95" i="45"/>
  <c r="C96" i="45"/>
  <c r="T96" i="45"/>
  <c r="D96" i="45"/>
  <c r="U96" i="45"/>
  <c r="V96" i="45"/>
  <c r="W96" i="45"/>
  <c r="X96" i="45"/>
  <c r="Y96" i="45"/>
  <c r="Z96" i="45"/>
  <c r="AA96" i="45"/>
  <c r="C97" i="45"/>
  <c r="T97" i="45"/>
  <c r="D97" i="45"/>
  <c r="U97" i="45"/>
  <c r="V97" i="45"/>
  <c r="W97" i="45"/>
  <c r="X97" i="45"/>
  <c r="Y97" i="45"/>
  <c r="Z97" i="45"/>
  <c r="AA97" i="45"/>
  <c r="C98" i="45"/>
  <c r="T98" i="45"/>
  <c r="D98" i="45"/>
  <c r="U98" i="45"/>
  <c r="V98" i="45"/>
  <c r="W98" i="45"/>
  <c r="X98" i="45"/>
  <c r="Y98" i="45"/>
  <c r="Z98" i="45"/>
  <c r="AA98" i="45"/>
  <c r="C99" i="45"/>
  <c r="T99" i="45"/>
  <c r="D99" i="45"/>
  <c r="U99" i="45"/>
  <c r="V99" i="45"/>
  <c r="W99" i="45"/>
  <c r="X99" i="45"/>
  <c r="Y99" i="45"/>
  <c r="Z99" i="45"/>
  <c r="AA99" i="45"/>
  <c r="C100" i="45"/>
  <c r="T100" i="45"/>
  <c r="D100" i="45"/>
  <c r="U100" i="45"/>
  <c r="V100" i="45"/>
  <c r="W100" i="45"/>
  <c r="X100" i="45"/>
  <c r="Y100" i="45"/>
  <c r="Z100" i="45"/>
  <c r="AA100" i="45"/>
  <c r="C101" i="45"/>
  <c r="T101" i="45"/>
  <c r="D101" i="45"/>
  <c r="U101" i="45"/>
  <c r="V101" i="45"/>
  <c r="W101" i="45"/>
  <c r="X101" i="45"/>
  <c r="Y101" i="45"/>
  <c r="Z101" i="45"/>
  <c r="AA101" i="45"/>
  <c r="C102" i="45"/>
  <c r="T102" i="45"/>
  <c r="D102" i="45"/>
  <c r="U102" i="45"/>
  <c r="V102" i="45"/>
  <c r="W102" i="45"/>
  <c r="X102" i="45"/>
  <c r="Y102" i="45"/>
  <c r="Z102" i="45"/>
  <c r="AA102" i="45"/>
  <c r="C103" i="45"/>
  <c r="T103" i="45"/>
  <c r="D103" i="45"/>
  <c r="U103" i="45"/>
  <c r="V103" i="45"/>
  <c r="W103" i="45"/>
  <c r="X103" i="45"/>
  <c r="Y103" i="45"/>
  <c r="Z103" i="45"/>
  <c r="AA103" i="45"/>
  <c r="V104" i="45"/>
  <c r="W104" i="45"/>
  <c r="X104" i="45"/>
  <c r="Y104" i="45"/>
  <c r="D104" i="45"/>
  <c r="U104" i="45"/>
  <c r="Z104" i="45"/>
  <c r="AA104" i="45"/>
  <c r="AA107" i="45"/>
  <c r="K9" i="41"/>
  <c r="C12" i="36"/>
  <c r="T12" i="36"/>
  <c r="D12" i="36"/>
  <c r="U12" i="36"/>
  <c r="V12" i="36"/>
  <c r="W12" i="36"/>
  <c r="X12" i="36"/>
  <c r="Y12" i="36"/>
  <c r="Z12" i="36"/>
  <c r="AA12" i="36"/>
  <c r="C13" i="36"/>
  <c r="T13" i="36"/>
  <c r="D13" i="36"/>
  <c r="U13" i="36"/>
  <c r="V13" i="36"/>
  <c r="W13" i="36"/>
  <c r="X13" i="36"/>
  <c r="Y13" i="36"/>
  <c r="Z13" i="36"/>
  <c r="AA13" i="36"/>
  <c r="C14" i="36"/>
  <c r="T14" i="36"/>
  <c r="D14" i="36"/>
  <c r="U14" i="36"/>
  <c r="V14" i="36"/>
  <c r="W14" i="36"/>
  <c r="X14" i="36"/>
  <c r="Y14" i="36"/>
  <c r="Z14" i="36"/>
  <c r="AA14" i="36"/>
  <c r="C15" i="36"/>
  <c r="T15" i="36"/>
  <c r="D15" i="36"/>
  <c r="U15" i="36"/>
  <c r="V15" i="36"/>
  <c r="W15" i="36"/>
  <c r="X15" i="36"/>
  <c r="Y15" i="36"/>
  <c r="Z15" i="36"/>
  <c r="AA15" i="36"/>
  <c r="C16" i="36"/>
  <c r="T16" i="36"/>
  <c r="D16" i="36"/>
  <c r="U16" i="36"/>
  <c r="V16" i="36"/>
  <c r="W16" i="36"/>
  <c r="X16" i="36"/>
  <c r="Y16" i="36"/>
  <c r="Z16" i="36"/>
  <c r="AA16" i="36"/>
  <c r="C17" i="36"/>
  <c r="T17" i="36"/>
  <c r="D17" i="36"/>
  <c r="U17" i="36"/>
  <c r="V17" i="36"/>
  <c r="W17" i="36"/>
  <c r="X17" i="36"/>
  <c r="Y17" i="36"/>
  <c r="Z17" i="36"/>
  <c r="AA17" i="36"/>
  <c r="C18" i="36"/>
  <c r="T18" i="36"/>
  <c r="D18" i="36"/>
  <c r="U18" i="36"/>
  <c r="V18" i="36"/>
  <c r="W18" i="36"/>
  <c r="X18" i="36"/>
  <c r="Y18" i="36"/>
  <c r="Z18" i="36"/>
  <c r="AA18" i="36"/>
  <c r="C19" i="36"/>
  <c r="T19" i="36"/>
  <c r="D19" i="36"/>
  <c r="U19" i="36"/>
  <c r="V19" i="36"/>
  <c r="W19" i="36"/>
  <c r="X19" i="36"/>
  <c r="Y19" i="36"/>
  <c r="Z19" i="36"/>
  <c r="AA19" i="36"/>
  <c r="C20" i="36"/>
  <c r="T20" i="36"/>
  <c r="D20" i="36"/>
  <c r="U20" i="36"/>
  <c r="V20" i="36"/>
  <c r="W20" i="36"/>
  <c r="X20" i="36"/>
  <c r="Y20" i="36"/>
  <c r="Z20" i="36"/>
  <c r="AA20" i="36"/>
  <c r="C21" i="36"/>
  <c r="T21" i="36"/>
  <c r="D21" i="36"/>
  <c r="U21" i="36"/>
  <c r="V21" i="36"/>
  <c r="W21" i="36"/>
  <c r="X21" i="36"/>
  <c r="Y21" i="36"/>
  <c r="Z21" i="36"/>
  <c r="AA21" i="36"/>
  <c r="C22" i="36"/>
  <c r="T22" i="36"/>
  <c r="D22" i="36"/>
  <c r="U22" i="36"/>
  <c r="V22" i="36"/>
  <c r="W22" i="36"/>
  <c r="X22" i="36"/>
  <c r="Y22" i="36"/>
  <c r="Z22" i="36"/>
  <c r="AA22" i="36"/>
  <c r="C23" i="36"/>
  <c r="T23" i="36"/>
  <c r="D23" i="36"/>
  <c r="U23" i="36"/>
  <c r="V23" i="36"/>
  <c r="W23" i="36"/>
  <c r="X23" i="36"/>
  <c r="Y23" i="36"/>
  <c r="Z23" i="36"/>
  <c r="AA23" i="36"/>
  <c r="C24" i="36"/>
  <c r="T24" i="36"/>
  <c r="D24" i="36"/>
  <c r="U24" i="36"/>
  <c r="V24" i="36"/>
  <c r="W24" i="36"/>
  <c r="X24" i="36"/>
  <c r="Y24" i="36"/>
  <c r="Z24" i="36"/>
  <c r="AA24" i="36"/>
  <c r="C25" i="36"/>
  <c r="T25" i="36"/>
  <c r="D25" i="36"/>
  <c r="U25" i="36"/>
  <c r="V25" i="36"/>
  <c r="W25" i="36"/>
  <c r="X25" i="36"/>
  <c r="Y25" i="36"/>
  <c r="Z25" i="36"/>
  <c r="AA25" i="36"/>
  <c r="C26" i="36"/>
  <c r="T26" i="36"/>
  <c r="D26" i="36"/>
  <c r="U26" i="36"/>
  <c r="V26" i="36"/>
  <c r="W26" i="36"/>
  <c r="X26" i="36"/>
  <c r="Y26" i="36"/>
  <c r="Z26" i="36"/>
  <c r="AA26" i="36"/>
  <c r="C27" i="36"/>
  <c r="T27" i="36"/>
  <c r="D27" i="36"/>
  <c r="U27" i="36"/>
  <c r="V27" i="36"/>
  <c r="W27" i="36"/>
  <c r="X27" i="36"/>
  <c r="Y27" i="36"/>
  <c r="Z27" i="36"/>
  <c r="AA27" i="36"/>
  <c r="C28" i="36"/>
  <c r="T28" i="36"/>
  <c r="D28" i="36"/>
  <c r="U28" i="36"/>
  <c r="V28" i="36"/>
  <c r="W28" i="36"/>
  <c r="X28" i="36"/>
  <c r="Y28" i="36"/>
  <c r="Z28" i="36"/>
  <c r="AA28" i="36"/>
  <c r="C29" i="36"/>
  <c r="T29" i="36"/>
  <c r="D29" i="36"/>
  <c r="U29" i="36"/>
  <c r="V29" i="36"/>
  <c r="W29" i="36"/>
  <c r="X29" i="36"/>
  <c r="Y29" i="36"/>
  <c r="Z29" i="36"/>
  <c r="AA29" i="36"/>
  <c r="C30" i="36"/>
  <c r="T30" i="36"/>
  <c r="D30" i="36"/>
  <c r="U30" i="36"/>
  <c r="V30" i="36"/>
  <c r="W30" i="36"/>
  <c r="X30" i="36"/>
  <c r="Y30" i="36"/>
  <c r="Z30" i="36"/>
  <c r="AA30" i="36"/>
  <c r="C31" i="36"/>
  <c r="T31" i="36"/>
  <c r="D31" i="36"/>
  <c r="U31" i="36"/>
  <c r="V31" i="36"/>
  <c r="W31" i="36"/>
  <c r="X31" i="36"/>
  <c r="Y31" i="36"/>
  <c r="Z31" i="36"/>
  <c r="AA31" i="36"/>
  <c r="C32" i="36"/>
  <c r="T32" i="36"/>
  <c r="D32" i="36"/>
  <c r="U32" i="36"/>
  <c r="V32" i="36"/>
  <c r="W32" i="36"/>
  <c r="X32" i="36"/>
  <c r="Y32" i="36"/>
  <c r="Z32" i="36"/>
  <c r="AA32" i="36"/>
  <c r="C33" i="36"/>
  <c r="T33" i="36"/>
  <c r="D33" i="36"/>
  <c r="U33" i="36"/>
  <c r="V33" i="36"/>
  <c r="W33" i="36"/>
  <c r="X33" i="36"/>
  <c r="Y33" i="36"/>
  <c r="Z33" i="36"/>
  <c r="AA33" i="36"/>
  <c r="C34" i="36"/>
  <c r="T34" i="36"/>
  <c r="D34" i="36"/>
  <c r="U34" i="36"/>
  <c r="V34" i="36"/>
  <c r="W34" i="36"/>
  <c r="X34" i="36"/>
  <c r="Y34" i="36"/>
  <c r="Z34" i="36"/>
  <c r="AA34" i="36"/>
  <c r="C35" i="36"/>
  <c r="T35" i="36"/>
  <c r="D35" i="36"/>
  <c r="U35" i="36"/>
  <c r="V35" i="36"/>
  <c r="W35" i="36"/>
  <c r="X35" i="36"/>
  <c r="Y35" i="36"/>
  <c r="Z35" i="36"/>
  <c r="AA35" i="36"/>
  <c r="C36" i="36"/>
  <c r="T36" i="36"/>
  <c r="D36" i="36"/>
  <c r="U36" i="36"/>
  <c r="V36" i="36"/>
  <c r="W36" i="36"/>
  <c r="X36" i="36"/>
  <c r="Y36" i="36"/>
  <c r="Z36" i="36"/>
  <c r="AA36" i="36"/>
  <c r="C37" i="36"/>
  <c r="T37" i="36"/>
  <c r="D37" i="36"/>
  <c r="U37" i="36"/>
  <c r="V37" i="36"/>
  <c r="W37" i="36"/>
  <c r="X37" i="36"/>
  <c r="Y37" i="36"/>
  <c r="Z37" i="36"/>
  <c r="AA37" i="36"/>
  <c r="C38" i="36"/>
  <c r="T38" i="36"/>
  <c r="D38" i="36"/>
  <c r="U38" i="36"/>
  <c r="V38" i="36"/>
  <c r="W38" i="36"/>
  <c r="X38" i="36"/>
  <c r="Y38" i="36"/>
  <c r="Z38" i="36"/>
  <c r="AA38" i="36"/>
  <c r="C39" i="36"/>
  <c r="T39" i="36"/>
  <c r="D39" i="36"/>
  <c r="U39" i="36"/>
  <c r="V39" i="36"/>
  <c r="W39" i="36"/>
  <c r="X39" i="36"/>
  <c r="Y39" i="36"/>
  <c r="Z39" i="36"/>
  <c r="AA39" i="36"/>
  <c r="C40" i="36"/>
  <c r="T40" i="36"/>
  <c r="D40" i="36"/>
  <c r="U40" i="36"/>
  <c r="V40" i="36"/>
  <c r="W40" i="36"/>
  <c r="X40" i="36"/>
  <c r="Y40" i="36"/>
  <c r="Z40" i="36"/>
  <c r="AA40" i="36"/>
  <c r="C41" i="36"/>
  <c r="T41" i="36"/>
  <c r="D41" i="36"/>
  <c r="U41" i="36"/>
  <c r="V41" i="36"/>
  <c r="W41" i="36"/>
  <c r="X41" i="36"/>
  <c r="Y41" i="36"/>
  <c r="Z41" i="36"/>
  <c r="AA41" i="36"/>
  <c r="C42" i="36"/>
  <c r="T42" i="36"/>
  <c r="D42" i="36"/>
  <c r="U42" i="36"/>
  <c r="V42" i="36"/>
  <c r="W42" i="36"/>
  <c r="X42" i="36"/>
  <c r="Y42" i="36"/>
  <c r="Z42" i="36"/>
  <c r="AA42" i="36"/>
  <c r="C43" i="36"/>
  <c r="T43" i="36"/>
  <c r="D43" i="36"/>
  <c r="U43" i="36"/>
  <c r="V43" i="36"/>
  <c r="W43" i="36"/>
  <c r="X43" i="36"/>
  <c r="Y43" i="36"/>
  <c r="Z43" i="36"/>
  <c r="AA43" i="36"/>
  <c r="C44" i="36"/>
  <c r="T44" i="36"/>
  <c r="D44" i="36"/>
  <c r="U44" i="36"/>
  <c r="V44" i="36"/>
  <c r="W44" i="36"/>
  <c r="X44" i="36"/>
  <c r="Y44" i="36"/>
  <c r="Z44" i="36"/>
  <c r="AA44" i="36"/>
  <c r="C45" i="36"/>
  <c r="T45" i="36"/>
  <c r="D45" i="36"/>
  <c r="U45" i="36"/>
  <c r="V45" i="36"/>
  <c r="W45" i="36"/>
  <c r="X45" i="36"/>
  <c r="Y45" i="36"/>
  <c r="Z45" i="36"/>
  <c r="AA45" i="36"/>
  <c r="C46" i="36"/>
  <c r="T46" i="36"/>
  <c r="D46" i="36"/>
  <c r="U46" i="36"/>
  <c r="V46" i="36"/>
  <c r="W46" i="36"/>
  <c r="X46" i="36"/>
  <c r="Y46" i="36"/>
  <c r="Z46" i="36"/>
  <c r="AA46" i="36"/>
  <c r="C47" i="36"/>
  <c r="T47" i="36"/>
  <c r="D47" i="36"/>
  <c r="U47" i="36"/>
  <c r="V47" i="36"/>
  <c r="W47" i="36"/>
  <c r="X47" i="36"/>
  <c r="Y47" i="36"/>
  <c r="Z47" i="36"/>
  <c r="AA47" i="36"/>
  <c r="C48" i="36"/>
  <c r="T48" i="36"/>
  <c r="D48" i="36"/>
  <c r="U48" i="36"/>
  <c r="V48" i="36"/>
  <c r="W48" i="36"/>
  <c r="X48" i="36"/>
  <c r="Y48" i="36"/>
  <c r="Z48" i="36"/>
  <c r="AA48" i="36"/>
  <c r="C49" i="36"/>
  <c r="T49" i="36"/>
  <c r="D49" i="36"/>
  <c r="U49" i="36"/>
  <c r="V49" i="36"/>
  <c r="W49" i="36"/>
  <c r="X49" i="36"/>
  <c r="Y49" i="36"/>
  <c r="Z49" i="36"/>
  <c r="AA49" i="36"/>
  <c r="C50" i="36"/>
  <c r="T50" i="36"/>
  <c r="D50" i="36"/>
  <c r="U50" i="36"/>
  <c r="V50" i="36"/>
  <c r="W50" i="36"/>
  <c r="X50" i="36"/>
  <c r="Y50" i="36"/>
  <c r="Z50" i="36"/>
  <c r="AA50" i="36"/>
  <c r="C51" i="36"/>
  <c r="T51" i="36"/>
  <c r="D51" i="36"/>
  <c r="U51" i="36"/>
  <c r="V51" i="36"/>
  <c r="W51" i="36"/>
  <c r="X51" i="36"/>
  <c r="Y51" i="36"/>
  <c r="Z51" i="36"/>
  <c r="AA51" i="36"/>
  <c r="C52" i="36"/>
  <c r="T52" i="36"/>
  <c r="D52" i="36"/>
  <c r="U52" i="36"/>
  <c r="V52" i="36"/>
  <c r="W52" i="36"/>
  <c r="X52" i="36"/>
  <c r="Y52" i="36"/>
  <c r="Z52" i="36"/>
  <c r="AA52" i="36"/>
  <c r="C53" i="36"/>
  <c r="T53" i="36"/>
  <c r="D53" i="36"/>
  <c r="U53" i="36"/>
  <c r="V53" i="36"/>
  <c r="W53" i="36"/>
  <c r="X53" i="36"/>
  <c r="Y53" i="36"/>
  <c r="Z53" i="36"/>
  <c r="AA53" i="36"/>
  <c r="C54" i="36"/>
  <c r="T54" i="36"/>
  <c r="D54" i="36"/>
  <c r="U54" i="36"/>
  <c r="V54" i="36"/>
  <c r="W54" i="36"/>
  <c r="X54" i="36"/>
  <c r="Y54" i="36"/>
  <c r="Z54" i="36"/>
  <c r="AA54" i="36"/>
  <c r="C55" i="36"/>
  <c r="T55" i="36"/>
  <c r="D55" i="36"/>
  <c r="U55" i="36"/>
  <c r="V55" i="36"/>
  <c r="W55" i="36"/>
  <c r="X55" i="36"/>
  <c r="Y55" i="36"/>
  <c r="Z55" i="36"/>
  <c r="AA55" i="36"/>
  <c r="C56" i="36"/>
  <c r="T56" i="36"/>
  <c r="D56" i="36"/>
  <c r="U56" i="36"/>
  <c r="V56" i="36"/>
  <c r="W56" i="36"/>
  <c r="X56" i="36"/>
  <c r="Y56" i="36"/>
  <c r="Z56" i="36"/>
  <c r="AA56" i="36"/>
  <c r="C57" i="36"/>
  <c r="T57" i="36"/>
  <c r="D57" i="36"/>
  <c r="U57" i="36"/>
  <c r="V57" i="36"/>
  <c r="W57" i="36"/>
  <c r="X57" i="36"/>
  <c r="Y57" i="36"/>
  <c r="Z57" i="36"/>
  <c r="AA57" i="36"/>
  <c r="C58" i="36"/>
  <c r="T58" i="36"/>
  <c r="D58" i="36"/>
  <c r="U58" i="36"/>
  <c r="V58" i="36"/>
  <c r="W58" i="36"/>
  <c r="X58" i="36"/>
  <c r="Y58" i="36"/>
  <c r="Z58" i="36"/>
  <c r="AA58" i="36"/>
  <c r="C59" i="36"/>
  <c r="T59" i="36"/>
  <c r="D59" i="36"/>
  <c r="U59" i="36"/>
  <c r="V59" i="36"/>
  <c r="W59" i="36"/>
  <c r="X59" i="36"/>
  <c r="Y59" i="36"/>
  <c r="Z59" i="36"/>
  <c r="AA59" i="36"/>
  <c r="C60" i="36"/>
  <c r="T60" i="36"/>
  <c r="D60" i="36"/>
  <c r="U60" i="36"/>
  <c r="V60" i="36"/>
  <c r="W60" i="36"/>
  <c r="X60" i="36"/>
  <c r="Y60" i="36"/>
  <c r="Z60" i="36"/>
  <c r="AA60" i="36"/>
  <c r="C61" i="36"/>
  <c r="T61" i="36"/>
  <c r="D61" i="36"/>
  <c r="U61" i="36"/>
  <c r="V61" i="36"/>
  <c r="W61" i="36"/>
  <c r="X61" i="36"/>
  <c r="Y61" i="36"/>
  <c r="Z61" i="36"/>
  <c r="AA61" i="36"/>
  <c r="C62" i="36"/>
  <c r="T62" i="36"/>
  <c r="D62" i="36"/>
  <c r="U62" i="36"/>
  <c r="V62" i="36"/>
  <c r="W62" i="36"/>
  <c r="X62" i="36"/>
  <c r="Y62" i="36"/>
  <c r="Z62" i="36"/>
  <c r="AA62" i="36"/>
  <c r="C63" i="36"/>
  <c r="T63" i="36"/>
  <c r="D63" i="36"/>
  <c r="U63" i="36"/>
  <c r="V63" i="36"/>
  <c r="W63" i="36"/>
  <c r="X63" i="36"/>
  <c r="Y63" i="36"/>
  <c r="Z63" i="36"/>
  <c r="AA63" i="36"/>
  <c r="C64" i="36"/>
  <c r="T64" i="36"/>
  <c r="D64" i="36"/>
  <c r="U64" i="36"/>
  <c r="V64" i="36"/>
  <c r="W64" i="36"/>
  <c r="X64" i="36"/>
  <c r="Y64" i="36"/>
  <c r="Z64" i="36"/>
  <c r="AA64" i="36"/>
  <c r="C65" i="36"/>
  <c r="T65" i="36"/>
  <c r="D65" i="36"/>
  <c r="U65" i="36"/>
  <c r="V65" i="36"/>
  <c r="W65" i="36"/>
  <c r="X65" i="36"/>
  <c r="Y65" i="36"/>
  <c r="Z65" i="36"/>
  <c r="AA65" i="36"/>
  <c r="C66" i="36"/>
  <c r="T66" i="36"/>
  <c r="D66" i="36"/>
  <c r="U66" i="36"/>
  <c r="V66" i="36"/>
  <c r="W66" i="36"/>
  <c r="X66" i="36"/>
  <c r="Y66" i="36"/>
  <c r="Z66" i="36"/>
  <c r="AA66" i="36"/>
  <c r="C67" i="36"/>
  <c r="T67" i="36"/>
  <c r="D67" i="36"/>
  <c r="U67" i="36"/>
  <c r="V67" i="36"/>
  <c r="W67" i="36"/>
  <c r="X67" i="36"/>
  <c r="Y67" i="36"/>
  <c r="Z67" i="36"/>
  <c r="AA67" i="36"/>
  <c r="C68" i="36"/>
  <c r="T68" i="36"/>
  <c r="D68" i="36"/>
  <c r="U68" i="36"/>
  <c r="V68" i="36"/>
  <c r="W68" i="36"/>
  <c r="X68" i="36"/>
  <c r="Y68" i="36"/>
  <c r="Z68" i="36"/>
  <c r="AA68" i="36"/>
  <c r="C69" i="36"/>
  <c r="T69" i="36"/>
  <c r="D69" i="36"/>
  <c r="U69" i="36"/>
  <c r="V69" i="36"/>
  <c r="W69" i="36"/>
  <c r="X69" i="36"/>
  <c r="Y69" i="36"/>
  <c r="Z69" i="36"/>
  <c r="AA69" i="36"/>
  <c r="C70" i="36"/>
  <c r="T70" i="36"/>
  <c r="D70" i="36"/>
  <c r="U70" i="36"/>
  <c r="V70" i="36"/>
  <c r="W70" i="36"/>
  <c r="X70" i="36"/>
  <c r="Y70" i="36"/>
  <c r="Z70" i="36"/>
  <c r="AA70" i="36"/>
  <c r="C71" i="36"/>
  <c r="T71" i="36"/>
  <c r="D71" i="36"/>
  <c r="U71" i="36"/>
  <c r="V71" i="36"/>
  <c r="W71" i="36"/>
  <c r="X71" i="36"/>
  <c r="Y71" i="36"/>
  <c r="Z71" i="36"/>
  <c r="AA71" i="36"/>
  <c r="C72" i="36"/>
  <c r="T72" i="36"/>
  <c r="D72" i="36"/>
  <c r="U72" i="36"/>
  <c r="V72" i="36"/>
  <c r="W72" i="36"/>
  <c r="X72" i="36"/>
  <c r="Y72" i="36"/>
  <c r="Z72" i="36"/>
  <c r="AA72" i="36"/>
  <c r="C73" i="36"/>
  <c r="T73" i="36"/>
  <c r="D73" i="36"/>
  <c r="U73" i="36"/>
  <c r="V73" i="36"/>
  <c r="W73" i="36"/>
  <c r="X73" i="36"/>
  <c r="Y73" i="36"/>
  <c r="Z73" i="36"/>
  <c r="AA73" i="36"/>
  <c r="C74" i="36"/>
  <c r="T74" i="36"/>
  <c r="D74" i="36"/>
  <c r="U74" i="36"/>
  <c r="V74" i="36"/>
  <c r="W74" i="36"/>
  <c r="X74" i="36"/>
  <c r="Y74" i="36"/>
  <c r="Z74" i="36"/>
  <c r="AA74" i="36"/>
  <c r="C75" i="36"/>
  <c r="T75" i="36"/>
  <c r="D75" i="36"/>
  <c r="U75" i="36"/>
  <c r="V75" i="36"/>
  <c r="W75" i="36"/>
  <c r="X75" i="36"/>
  <c r="Y75" i="36"/>
  <c r="Z75" i="36"/>
  <c r="AA75" i="36"/>
  <c r="C76" i="36"/>
  <c r="T76" i="36"/>
  <c r="D76" i="36"/>
  <c r="U76" i="36"/>
  <c r="V76" i="36"/>
  <c r="W76" i="36"/>
  <c r="X76" i="36"/>
  <c r="Y76" i="36"/>
  <c r="Z76" i="36"/>
  <c r="AA76" i="36"/>
  <c r="C77" i="36"/>
  <c r="T77" i="36"/>
  <c r="D77" i="36"/>
  <c r="U77" i="36"/>
  <c r="V77" i="36"/>
  <c r="W77" i="36"/>
  <c r="X77" i="36"/>
  <c r="Y77" i="36"/>
  <c r="Z77" i="36"/>
  <c r="AA77" i="36"/>
  <c r="C78" i="36"/>
  <c r="T78" i="36"/>
  <c r="D78" i="36"/>
  <c r="U78" i="36"/>
  <c r="V78" i="36"/>
  <c r="W78" i="36"/>
  <c r="X78" i="36"/>
  <c r="Y78" i="36"/>
  <c r="Z78" i="36"/>
  <c r="AA78" i="36"/>
  <c r="C79" i="36"/>
  <c r="T79" i="36"/>
  <c r="D79" i="36"/>
  <c r="U79" i="36"/>
  <c r="V79" i="36"/>
  <c r="W79" i="36"/>
  <c r="X79" i="36"/>
  <c r="Y79" i="36"/>
  <c r="Z79" i="36"/>
  <c r="AA79" i="36"/>
  <c r="C80" i="36"/>
  <c r="T80" i="36"/>
  <c r="D80" i="36"/>
  <c r="U80" i="36"/>
  <c r="V80" i="36"/>
  <c r="W80" i="36"/>
  <c r="X80" i="36"/>
  <c r="Y80" i="36"/>
  <c r="Z80" i="36"/>
  <c r="AA80" i="36"/>
  <c r="C81" i="36"/>
  <c r="T81" i="36"/>
  <c r="D81" i="36"/>
  <c r="U81" i="36"/>
  <c r="V81" i="36"/>
  <c r="W81" i="36"/>
  <c r="X81" i="36"/>
  <c r="Y81" i="36"/>
  <c r="Z81" i="36"/>
  <c r="AA81" i="36"/>
  <c r="C82" i="36"/>
  <c r="T82" i="36"/>
  <c r="D82" i="36"/>
  <c r="U82" i="36"/>
  <c r="V82" i="36"/>
  <c r="W82" i="36"/>
  <c r="X82" i="36"/>
  <c r="Y82" i="36"/>
  <c r="Z82" i="36"/>
  <c r="AA82" i="36"/>
  <c r="C83" i="36"/>
  <c r="T83" i="36"/>
  <c r="D83" i="36"/>
  <c r="U83" i="36"/>
  <c r="V83" i="36"/>
  <c r="W83" i="36"/>
  <c r="X83" i="36"/>
  <c r="Y83" i="36"/>
  <c r="Z83" i="36"/>
  <c r="AA83" i="36"/>
  <c r="C84" i="36"/>
  <c r="T84" i="36"/>
  <c r="D84" i="36"/>
  <c r="U84" i="36"/>
  <c r="V84" i="36"/>
  <c r="W84" i="36"/>
  <c r="X84" i="36"/>
  <c r="Y84" i="36"/>
  <c r="Z84" i="36"/>
  <c r="AA84" i="36"/>
  <c r="C85" i="36"/>
  <c r="T85" i="36"/>
  <c r="D85" i="36"/>
  <c r="U85" i="36"/>
  <c r="V85" i="36"/>
  <c r="W85" i="36"/>
  <c r="X85" i="36"/>
  <c r="Y85" i="36"/>
  <c r="Z85" i="36"/>
  <c r="AA85" i="36"/>
  <c r="C86" i="36"/>
  <c r="T86" i="36"/>
  <c r="D86" i="36"/>
  <c r="U86" i="36"/>
  <c r="V86" i="36"/>
  <c r="W86" i="36"/>
  <c r="X86" i="36"/>
  <c r="Y86" i="36"/>
  <c r="Z86" i="36"/>
  <c r="AA86" i="36"/>
  <c r="C87" i="36"/>
  <c r="T87" i="36"/>
  <c r="D87" i="36"/>
  <c r="U87" i="36"/>
  <c r="V87" i="36"/>
  <c r="W87" i="36"/>
  <c r="X87" i="36"/>
  <c r="Y87" i="36"/>
  <c r="Z87" i="36"/>
  <c r="AA87" i="36"/>
  <c r="C88" i="36"/>
  <c r="T88" i="36"/>
  <c r="D88" i="36"/>
  <c r="U88" i="36"/>
  <c r="V88" i="36"/>
  <c r="W88" i="36"/>
  <c r="X88" i="36"/>
  <c r="Y88" i="36"/>
  <c r="Z88" i="36"/>
  <c r="AA88" i="36"/>
  <c r="C89" i="36"/>
  <c r="T89" i="36"/>
  <c r="D89" i="36"/>
  <c r="U89" i="36"/>
  <c r="V89" i="36"/>
  <c r="W89" i="36"/>
  <c r="X89" i="36"/>
  <c r="Y89" i="36"/>
  <c r="Z89" i="36"/>
  <c r="AA89" i="36"/>
  <c r="C90" i="36"/>
  <c r="T90" i="36"/>
  <c r="D90" i="36"/>
  <c r="U90" i="36"/>
  <c r="V90" i="36"/>
  <c r="W90" i="36"/>
  <c r="X90" i="36"/>
  <c r="Y90" i="36"/>
  <c r="Z90" i="36"/>
  <c r="AA90" i="36"/>
  <c r="C91" i="36"/>
  <c r="T91" i="36"/>
  <c r="D91" i="36"/>
  <c r="U91" i="36"/>
  <c r="V91" i="36"/>
  <c r="W91" i="36"/>
  <c r="X91" i="36"/>
  <c r="Y91" i="36"/>
  <c r="Z91" i="36"/>
  <c r="AA91" i="36"/>
  <c r="C92" i="36"/>
  <c r="T92" i="36"/>
  <c r="D92" i="36"/>
  <c r="U92" i="36"/>
  <c r="V92" i="36"/>
  <c r="W92" i="36"/>
  <c r="X92" i="36"/>
  <c r="Y92" i="36"/>
  <c r="Z92" i="36"/>
  <c r="AA92" i="36"/>
  <c r="C93" i="36"/>
  <c r="T93" i="36"/>
  <c r="D93" i="36"/>
  <c r="U93" i="36"/>
  <c r="V93" i="36"/>
  <c r="W93" i="36"/>
  <c r="X93" i="36"/>
  <c r="Y93" i="36"/>
  <c r="Z93" i="36"/>
  <c r="AA93" i="36"/>
  <c r="C94" i="36"/>
  <c r="T94" i="36"/>
  <c r="D94" i="36"/>
  <c r="U94" i="36"/>
  <c r="V94" i="36"/>
  <c r="W94" i="36"/>
  <c r="X94" i="36"/>
  <c r="Y94" i="36"/>
  <c r="Z94" i="36"/>
  <c r="AA94" i="36"/>
  <c r="C95" i="36"/>
  <c r="T95" i="36"/>
  <c r="D95" i="36"/>
  <c r="U95" i="36"/>
  <c r="V95" i="36"/>
  <c r="W95" i="36"/>
  <c r="X95" i="36"/>
  <c r="Y95" i="36"/>
  <c r="Z95" i="36"/>
  <c r="AA95" i="36"/>
  <c r="C96" i="36"/>
  <c r="T96" i="36"/>
  <c r="D96" i="36"/>
  <c r="U96" i="36"/>
  <c r="V96" i="36"/>
  <c r="W96" i="36"/>
  <c r="X96" i="36"/>
  <c r="Y96" i="36"/>
  <c r="Z96" i="36"/>
  <c r="AA96" i="36"/>
  <c r="C97" i="36"/>
  <c r="T97" i="36"/>
  <c r="D97" i="36"/>
  <c r="U97" i="36"/>
  <c r="V97" i="36"/>
  <c r="W97" i="36"/>
  <c r="X97" i="36"/>
  <c r="Y97" i="36"/>
  <c r="Z97" i="36"/>
  <c r="AA97" i="36"/>
  <c r="C98" i="36"/>
  <c r="T98" i="36"/>
  <c r="D98" i="36"/>
  <c r="U98" i="36"/>
  <c r="V98" i="36"/>
  <c r="W98" i="36"/>
  <c r="X98" i="36"/>
  <c r="Y98" i="36"/>
  <c r="Z98" i="36"/>
  <c r="AA98" i="36"/>
  <c r="C99" i="36"/>
  <c r="T99" i="36"/>
  <c r="D99" i="36"/>
  <c r="U99" i="36"/>
  <c r="V99" i="36"/>
  <c r="W99" i="36"/>
  <c r="X99" i="36"/>
  <c r="Y99" i="36"/>
  <c r="Z99" i="36"/>
  <c r="AA99" i="36"/>
  <c r="C100" i="36"/>
  <c r="T100" i="36"/>
  <c r="D100" i="36"/>
  <c r="U100" i="36"/>
  <c r="V100" i="36"/>
  <c r="W100" i="36"/>
  <c r="X100" i="36"/>
  <c r="Y100" i="36"/>
  <c r="Z100" i="36"/>
  <c r="AA100" i="36"/>
  <c r="C101" i="36"/>
  <c r="T101" i="36"/>
  <c r="D101" i="36"/>
  <c r="U101" i="36"/>
  <c r="V101" i="36"/>
  <c r="W101" i="36"/>
  <c r="X101" i="36"/>
  <c r="Y101" i="36"/>
  <c r="Z101" i="36"/>
  <c r="AA101" i="36"/>
  <c r="C102" i="36"/>
  <c r="T102" i="36"/>
  <c r="D102" i="36"/>
  <c r="U102" i="36"/>
  <c r="V102" i="36"/>
  <c r="W102" i="36"/>
  <c r="X102" i="36"/>
  <c r="Y102" i="36"/>
  <c r="Z102" i="36"/>
  <c r="AA102" i="36"/>
  <c r="C103" i="36"/>
  <c r="T103" i="36"/>
  <c r="D103" i="36"/>
  <c r="U103" i="36"/>
  <c r="V103" i="36"/>
  <c r="W103" i="36"/>
  <c r="X103" i="36"/>
  <c r="Y103" i="36"/>
  <c r="Z103" i="36"/>
  <c r="AA103" i="36"/>
  <c r="V104" i="36"/>
  <c r="W104" i="36"/>
  <c r="X104" i="36"/>
  <c r="Y104" i="36"/>
  <c r="D104" i="36"/>
  <c r="U104" i="36"/>
  <c r="Z104" i="36"/>
  <c r="AA104" i="36"/>
  <c r="AA107" i="36"/>
  <c r="K8" i="41"/>
  <c r="K10" i="41"/>
  <c r="C34" i="41"/>
  <c r="E34" i="41"/>
  <c r="H34" i="41"/>
  <c r="D50" i="42"/>
  <c r="D41" i="42"/>
  <c r="D35" i="42"/>
  <c r="D34" i="42"/>
  <c r="D33" i="42"/>
  <c r="D32" i="42"/>
  <c r="D31" i="42"/>
  <c r="D30" i="42"/>
  <c r="D29" i="42"/>
  <c r="D28" i="42"/>
  <c r="D27" i="42"/>
  <c r="D26" i="42"/>
  <c r="D25" i="42"/>
  <c r="D24" i="42"/>
  <c r="D23" i="42"/>
  <c r="D22" i="42"/>
  <c r="D21" i="42"/>
  <c r="D20" i="42"/>
  <c r="D19" i="42"/>
  <c r="D18" i="42"/>
  <c r="D17" i="42"/>
  <c r="D16" i="42"/>
  <c r="D15" i="42"/>
  <c r="D8" i="42"/>
  <c r="D7" i="42"/>
  <c r="F73" i="42"/>
  <c r="F30" i="47"/>
  <c r="F31" i="47"/>
  <c r="F32" i="47"/>
  <c r="F33" i="47"/>
  <c r="F34" i="47"/>
  <c r="F35" i="47"/>
  <c r="F36" i="47"/>
  <c r="F37" i="47"/>
  <c r="F38" i="47"/>
  <c r="F39" i="47"/>
  <c r="F40" i="47"/>
  <c r="F41" i="47"/>
  <c r="F42" i="47"/>
  <c r="F43" i="47"/>
  <c r="F44" i="47"/>
  <c r="F45" i="47"/>
  <c r="F46" i="47"/>
  <c r="F47" i="47"/>
  <c r="F48" i="47"/>
  <c r="F49" i="47"/>
  <c r="F50" i="47"/>
  <c r="F51" i="47"/>
  <c r="F52" i="47"/>
  <c r="F53" i="47"/>
  <c r="F54" i="47"/>
  <c r="F55" i="47"/>
  <c r="F56" i="47"/>
  <c r="F57" i="47"/>
  <c r="F58" i="47"/>
  <c r="F59" i="47"/>
  <c r="F60" i="47"/>
  <c r="F61" i="47"/>
  <c r="F62" i="47"/>
  <c r="F63" i="47"/>
  <c r="F64" i="47"/>
  <c r="F65" i="47"/>
  <c r="F66" i="47"/>
  <c r="F67" i="47"/>
  <c r="F68" i="47"/>
  <c r="F69" i="47"/>
  <c r="F70" i="47"/>
  <c r="F71" i="47"/>
  <c r="F72" i="47"/>
  <c r="F73" i="47"/>
  <c r="F74" i="47"/>
  <c r="F75" i="47"/>
  <c r="F76" i="47"/>
  <c r="F77" i="47"/>
  <c r="F78" i="47"/>
  <c r="F79" i="47"/>
  <c r="F80" i="47"/>
  <c r="F81" i="47"/>
  <c r="F82" i="47"/>
  <c r="F83" i="47"/>
  <c r="F84" i="47"/>
  <c r="F85" i="47"/>
  <c r="F86" i="47"/>
  <c r="F87" i="47"/>
  <c r="F88" i="47"/>
  <c r="F89" i="47"/>
  <c r="F90" i="47"/>
  <c r="F91" i="47"/>
  <c r="F92" i="47"/>
  <c r="F93" i="47"/>
  <c r="F94" i="47"/>
  <c r="F95" i="47"/>
  <c r="F96" i="47"/>
  <c r="F97" i="47"/>
  <c r="F98" i="47"/>
  <c r="F99" i="47"/>
  <c r="F100" i="47"/>
  <c r="F101" i="47"/>
  <c r="F102" i="47"/>
  <c r="F103" i="47"/>
  <c r="F104" i="47"/>
  <c r="F29" i="47"/>
  <c r="D73" i="42"/>
  <c r="F30" i="39"/>
  <c r="F31" i="39"/>
  <c r="F32" i="39"/>
  <c r="F33" i="39"/>
  <c r="F34" i="39"/>
  <c r="F35" i="39"/>
  <c r="F36" i="39"/>
  <c r="F37" i="39"/>
  <c r="F38" i="39"/>
  <c r="F39" i="39"/>
  <c r="F40" i="39"/>
  <c r="F41" i="39"/>
  <c r="F42" i="39"/>
  <c r="F43" i="39"/>
  <c r="F44" i="39"/>
  <c r="F45" i="39"/>
  <c r="F46" i="39"/>
  <c r="F47" i="39"/>
  <c r="F48"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8" i="39"/>
  <c r="F89" i="39"/>
  <c r="F90" i="39"/>
  <c r="F91" i="39"/>
  <c r="F92" i="39"/>
  <c r="F93" i="39"/>
  <c r="F94" i="39"/>
  <c r="F95" i="39"/>
  <c r="F96" i="39"/>
  <c r="F97" i="39"/>
  <c r="F98" i="39"/>
  <c r="F99" i="39"/>
  <c r="F100" i="39"/>
  <c r="F101" i="39"/>
  <c r="F102" i="39"/>
  <c r="F103" i="39"/>
  <c r="F104" i="39"/>
  <c r="F29" i="39"/>
  <c r="C44" i="41"/>
  <c r="D44" i="41"/>
  <c r="D45" i="41"/>
  <c r="C43" i="41"/>
  <c r="D43" i="41"/>
  <c r="H62" i="8"/>
  <c r="K62" i="8"/>
  <c r="L62" i="8"/>
  <c r="J62" i="8"/>
  <c r="D62" i="8"/>
  <c r="D61" i="8"/>
  <c r="D55" i="8"/>
  <c r="M18" i="25"/>
  <c r="D52" i="8"/>
  <c r="J16" i="25"/>
  <c r="J17" i="25"/>
  <c r="J18" i="25"/>
  <c r="J19" i="25"/>
  <c r="J21" i="25"/>
  <c r="J22" i="25"/>
  <c r="L28" i="25"/>
  <c r="D51" i="8"/>
  <c r="G16" i="25"/>
  <c r="G17" i="25"/>
  <c r="G18" i="25"/>
  <c r="G19" i="25"/>
  <c r="G21" i="25"/>
  <c r="G22" i="25"/>
  <c r="K28" i="25"/>
  <c r="D50" i="8"/>
  <c r="D48" i="8"/>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8" i="25"/>
  <c r="D47" i="8"/>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F57" i="25"/>
  <c r="G7" i="25"/>
  <c r="D46" i="8"/>
  <c r="T62" i="8"/>
  <c r="G25" i="8"/>
  <c r="F25" i="8"/>
  <c r="F24" i="8"/>
  <c r="G24" i="8"/>
  <c r="G21" i="8"/>
  <c r="F21" i="8"/>
  <c r="G20" i="8"/>
  <c r="F20" i="8"/>
  <c r="G17" i="8"/>
  <c r="F17" i="8"/>
  <c r="G11" i="8"/>
  <c r="F11" i="8"/>
  <c r="O6" i="39"/>
  <c r="O7" i="39"/>
  <c r="O8" i="39"/>
  <c r="O9" i="39"/>
  <c r="O10" i="39"/>
  <c r="O5" i="39"/>
  <c r="O106" i="39"/>
  <c r="O10" i="47"/>
  <c r="P10" i="47"/>
  <c r="C11" i="47"/>
  <c r="D11" i="47"/>
  <c r="V11" i="47"/>
  <c r="N11" i="47"/>
  <c r="W11" i="47"/>
  <c r="X11" i="47"/>
  <c r="Y11" i="47"/>
  <c r="H11" i="47"/>
  <c r="O9" i="47"/>
  <c r="P9" i="47"/>
  <c r="C10" i="47"/>
  <c r="D10" i="47"/>
  <c r="V10" i="47"/>
  <c r="N10" i="47"/>
  <c r="W10" i="47"/>
  <c r="X10" i="47"/>
  <c r="Y10" i="47"/>
  <c r="H10" i="47"/>
  <c r="O8" i="47"/>
  <c r="P8" i="47"/>
  <c r="C9" i="47"/>
  <c r="D9" i="47"/>
  <c r="V9" i="47"/>
  <c r="N9" i="47"/>
  <c r="W9" i="47"/>
  <c r="X9" i="47"/>
  <c r="Y9" i="47"/>
  <c r="H9" i="47"/>
  <c r="O7" i="47"/>
  <c r="P7" i="47"/>
  <c r="C8" i="47"/>
  <c r="D8" i="47"/>
  <c r="V8" i="47"/>
  <c r="N8" i="47"/>
  <c r="W8" i="47"/>
  <c r="X8" i="47"/>
  <c r="Y8" i="47"/>
  <c r="H8" i="47"/>
  <c r="O6" i="47"/>
  <c r="P6" i="47"/>
  <c r="C7" i="47"/>
  <c r="D7" i="47"/>
  <c r="V7" i="47"/>
  <c r="N7" i="47"/>
  <c r="W7" i="47"/>
  <c r="X7" i="47"/>
  <c r="Y7" i="47"/>
  <c r="H7" i="47"/>
  <c r="O5" i="47"/>
  <c r="P5" i="47"/>
  <c r="C6" i="47"/>
  <c r="D6" i="47"/>
  <c r="V6" i="47"/>
  <c r="N6" i="47"/>
  <c r="W6" i="47"/>
  <c r="X6" i="47"/>
  <c r="Y6" i="47"/>
  <c r="H6" i="47"/>
  <c r="C5" i="47"/>
  <c r="D5" i="47"/>
  <c r="V5" i="47"/>
  <c r="N5" i="47"/>
  <c r="W5" i="47"/>
  <c r="X5" i="47"/>
  <c r="Y5" i="47"/>
  <c r="H5" i="47"/>
  <c r="P10" i="39"/>
  <c r="C11" i="39"/>
  <c r="D11" i="39"/>
  <c r="V11" i="39"/>
  <c r="N11" i="39"/>
  <c r="W11" i="39"/>
  <c r="X11" i="39"/>
  <c r="Y11" i="39"/>
  <c r="H11" i="39"/>
  <c r="P9" i="39"/>
  <c r="C10" i="39"/>
  <c r="D10" i="39"/>
  <c r="V10" i="39"/>
  <c r="N10" i="39"/>
  <c r="W10" i="39"/>
  <c r="X10" i="39"/>
  <c r="Y10" i="39"/>
  <c r="H10" i="39"/>
  <c r="P8" i="39"/>
  <c r="C9" i="39"/>
  <c r="D9" i="39"/>
  <c r="V9" i="39"/>
  <c r="N9" i="39"/>
  <c r="W9" i="39"/>
  <c r="X9" i="39"/>
  <c r="Y9" i="39"/>
  <c r="H9" i="39"/>
  <c r="P7" i="39"/>
  <c r="C8" i="39"/>
  <c r="D8" i="39"/>
  <c r="V8" i="39"/>
  <c r="N8" i="39"/>
  <c r="W8" i="39"/>
  <c r="X8" i="39"/>
  <c r="Y8" i="39"/>
  <c r="H8" i="39"/>
  <c r="P6" i="39"/>
  <c r="C7" i="39"/>
  <c r="D7" i="39"/>
  <c r="V7" i="39"/>
  <c r="N7" i="39"/>
  <c r="W7" i="39"/>
  <c r="X7" i="39"/>
  <c r="Y7" i="39"/>
  <c r="H7" i="39"/>
  <c r="P5" i="39"/>
  <c r="C6" i="39"/>
  <c r="D6" i="39"/>
  <c r="V6" i="39"/>
  <c r="N6" i="39"/>
  <c r="W6" i="39"/>
  <c r="X6" i="39"/>
  <c r="Y6" i="39"/>
  <c r="H6" i="39"/>
  <c r="C5" i="39"/>
  <c r="D5" i="39"/>
  <c r="V5" i="39"/>
  <c r="N5" i="39"/>
  <c r="W5" i="39"/>
  <c r="X5" i="39"/>
  <c r="Y5" i="39"/>
  <c r="H5" i="39"/>
  <c r="O10" i="46"/>
  <c r="P10" i="46"/>
  <c r="M10" i="46"/>
  <c r="C11" i="46"/>
  <c r="D11" i="46"/>
  <c r="V11" i="46"/>
  <c r="N11" i="46"/>
  <c r="W11" i="46"/>
  <c r="X11" i="46"/>
  <c r="Y11" i="46"/>
  <c r="H11" i="46"/>
  <c r="O9" i="46"/>
  <c r="P9" i="46"/>
  <c r="M9" i="46"/>
  <c r="C10" i="46"/>
  <c r="D10" i="46"/>
  <c r="V10" i="46"/>
  <c r="N10" i="46"/>
  <c r="W10" i="46"/>
  <c r="X10" i="46"/>
  <c r="Y10" i="46"/>
  <c r="H10" i="46"/>
  <c r="O8" i="46"/>
  <c r="P8" i="46"/>
  <c r="M8" i="46"/>
  <c r="C9" i="46"/>
  <c r="D9" i="46"/>
  <c r="V9" i="46"/>
  <c r="N9" i="46"/>
  <c r="W9" i="46"/>
  <c r="X9" i="46"/>
  <c r="Y9" i="46"/>
  <c r="H9" i="46"/>
  <c r="O7" i="46"/>
  <c r="P7" i="46"/>
  <c r="M7" i="46"/>
  <c r="C8" i="46"/>
  <c r="D8" i="46"/>
  <c r="V8" i="46"/>
  <c r="N8" i="46"/>
  <c r="W8" i="46"/>
  <c r="X8" i="46"/>
  <c r="Y8" i="46"/>
  <c r="H8" i="46"/>
  <c r="O6" i="46"/>
  <c r="P6" i="46"/>
  <c r="M6" i="46"/>
  <c r="C7" i="46"/>
  <c r="D7" i="46"/>
  <c r="V7" i="46"/>
  <c r="N7" i="46"/>
  <c r="W7" i="46"/>
  <c r="X7" i="46"/>
  <c r="Y7" i="46"/>
  <c r="H7" i="46"/>
  <c r="O5" i="46"/>
  <c r="P5" i="46"/>
  <c r="M5" i="46"/>
  <c r="C6" i="46"/>
  <c r="D6" i="46"/>
  <c r="V6" i="46"/>
  <c r="N6" i="46"/>
  <c r="W6" i="46"/>
  <c r="X6" i="46"/>
  <c r="Y6" i="46"/>
  <c r="H6" i="46"/>
  <c r="C5" i="46"/>
  <c r="D5" i="46"/>
  <c r="V5" i="46"/>
  <c r="N5" i="46"/>
  <c r="W5" i="46"/>
  <c r="X5" i="46"/>
  <c r="Y5" i="46"/>
  <c r="H5" i="46"/>
  <c r="O10" i="37"/>
  <c r="P10" i="37"/>
  <c r="M10" i="37"/>
  <c r="C11" i="37"/>
  <c r="D11" i="37"/>
  <c r="V11" i="37"/>
  <c r="N11" i="37"/>
  <c r="W11" i="37"/>
  <c r="X11" i="37"/>
  <c r="Y11" i="37"/>
  <c r="H11" i="37"/>
  <c r="O9" i="37"/>
  <c r="P9" i="37"/>
  <c r="M9" i="37"/>
  <c r="C10" i="37"/>
  <c r="D10" i="37"/>
  <c r="V10" i="37"/>
  <c r="N10" i="37"/>
  <c r="W10" i="37"/>
  <c r="X10" i="37"/>
  <c r="Y10" i="37"/>
  <c r="H10" i="37"/>
  <c r="O8" i="37"/>
  <c r="P8" i="37"/>
  <c r="M8" i="37"/>
  <c r="C9" i="37"/>
  <c r="D9" i="37"/>
  <c r="V9" i="37"/>
  <c r="N9" i="37"/>
  <c r="W9" i="37"/>
  <c r="X9" i="37"/>
  <c r="Y9" i="37"/>
  <c r="H9" i="37"/>
  <c r="O7" i="37"/>
  <c r="P7" i="37"/>
  <c r="M7" i="37"/>
  <c r="C8" i="37"/>
  <c r="D8" i="37"/>
  <c r="V8" i="37"/>
  <c r="N8" i="37"/>
  <c r="W8" i="37"/>
  <c r="X8" i="37"/>
  <c r="Y8" i="37"/>
  <c r="H8" i="37"/>
  <c r="O6" i="37"/>
  <c r="P6" i="37"/>
  <c r="M6" i="37"/>
  <c r="C7" i="37"/>
  <c r="D7" i="37"/>
  <c r="V7" i="37"/>
  <c r="N7" i="37"/>
  <c r="W7" i="37"/>
  <c r="X7" i="37"/>
  <c r="Y7" i="37"/>
  <c r="H7" i="37"/>
  <c r="O5" i="37"/>
  <c r="P5" i="37"/>
  <c r="M5" i="37"/>
  <c r="C6" i="37"/>
  <c r="D6" i="37"/>
  <c r="V6" i="37"/>
  <c r="N6" i="37"/>
  <c r="W6" i="37"/>
  <c r="X6" i="37"/>
  <c r="Y6" i="37"/>
  <c r="H6" i="37"/>
  <c r="C5" i="37"/>
  <c r="D5" i="37"/>
  <c r="V5" i="37"/>
  <c r="N5" i="37"/>
  <c r="W5" i="37"/>
  <c r="X5" i="37"/>
  <c r="Y5" i="37"/>
  <c r="H5" i="37"/>
  <c r="K10" i="45"/>
  <c r="M10" i="45"/>
  <c r="O10" i="45"/>
  <c r="P10" i="45"/>
  <c r="C11" i="45"/>
  <c r="D11" i="45"/>
  <c r="V11" i="45"/>
  <c r="W11" i="45"/>
  <c r="X11" i="45"/>
  <c r="Y11" i="45"/>
  <c r="H11" i="45"/>
  <c r="K9" i="45"/>
  <c r="M9" i="45"/>
  <c r="O9" i="45"/>
  <c r="P9" i="45"/>
  <c r="C10" i="45"/>
  <c r="D10" i="45"/>
  <c r="V10" i="45"/>
  <c r="N10" i="45"/>
  <c r="W10" i="45"/>
  <c r="X10" i="45"/>
  <c r="Y10" i="45"/>
  <c r="H10" i="45"/>
  <c r="K8" i="45"/>
  <c r="M8" i="45"/>
  <c r="O8" i="45"/>
  <c r="P8" i="45"/>
  <c r="C9" i="45"/>
  <c r="D9" i="45"/>
  <c r="V9" i="45"/>
  <c r="N9" i="45"/>
  <c r="W9" i="45"/>
  <c r="X9" i="45"/>
  <c r="Y9" i="45"/>
  <c r="H9" i="45"/>
  <c r="K7" i="45"/>
  <c r="M7" i="45"/>
  <c r="O7" i="45"/>
  <c r="P7" i="45"/>
  <c r="C8" i="45"/>
  <c r="D8" i="45"/>
  <c r="V8" i="45"/>
  <c r="N8" i="45"/>
  <c r="W8" i="45"/>
  <c r="X8" i="45"/>
  <c r="Y8" i="45"/>
  <c r="H8" i="45"/>
  <c r="K6" i="45"/>
  <c r="O6" i="45"/>
  <c r="P6" i="45"/>
  <c r="M6" i="45"/>
  <c r="C7" i="45"/>
  <c r="D7" i="45"/>
  <c r="V7" i="45"/>
  <c r="N7" i="45"/>
  <c r="W7" i="45"/>
  <c r="X7" i="45"/>
  <c r="Y7" i="45"/>
  <c r="H7" i="45"/>
  <c r="K5" i="45"/>
  <c r="O5" i="45"/>
  <c r="P5" i="45"/>
  <c r="M5" i="45"/>
  <c r="C6" i="45"/>
  <c r="D6" i="45"/>
  <c r="V6" i="45"/>
  <c r="N6" i="45"/>
  <c r="W6" i="45"/>
  <c r="X6" i="45"/>
  <c r="Y6" i="45"/>
  <c r="H6" i="45"/>
  <c r="C5" i="45"/>
  <c r="D5" i="45"/>
  <c r="V5" i="45"/>
  <c r="N5" i="45"/>
  <c r="W5" i="45"/>
  <c r="X5" i="45"/>
  <c r="Y5" i="45"/>
  <c r="H5" i="45"/>
  <c r="Q27" i="47"/>
  <c r="R27" i="47"/>
  <c r="Q26" i="47"/>
  <c r="R26" i="47"/>
  <c r="Q25" i="47"/>
  <c r="R25" i="47"/>
  <c r="Q24" i="47"/>
  <c r="R24" i="47"/>
  <c r="Q23" i="47"/>
  <c r="R23" i="47"/>
  <c r="Q22" i="47"/>
  <c r="R22" i="47"/>
  <c r="Q21" i="47"/>
  <c r="R21" i="47"/>
  <c r="Q20" i="47"/>
  <c r="R20" i="47"/>
  <c r="Q19" i="47"/>
  <c r="R19" i="47"/>
  <c r="Q18" i="47"/>
  <c r="R18" i="47"/>
  <c r="Q17" i="47"/>
  <c r="R17" i="47"/>
  <c r="Q16" i="47"/>
  <c r="R16" i="47"/>
  <c r="Q15" i="47"/>
  <c r="R15" i="47"/>
  <c r="Q14" i="47"/>
  <c r="R14" i="47"/>
  <c r="Q13" i="47"/>
  <c r="R13" i="47"/>
  <c r="Q12" i="47"/>
  <c r="R12" i="47"/>
  <c r="Q11" i="47"/>
  <c r="R11" i="47"/>
  <c r="Q10" i="47"/>
  <c r="R10" i="47"/>
  <c r="Q9" i="47"/>
  <c r="R9" i="47"/>
  <c r="Q8" i="47"/>
  <c r="R8" i="47"/>
  <c r="Q7" i="47"/>
  <c r="R7" i="47"/>
  <c r="Q6" i="47"/>
  <c r="R6" i="47"/>
  <c r="Q5" i="47"/>
  <c r="R5" i="47"/>
  <c r="R4" i="47"/>
  <c r="Q6" i="39"/>
  <c r="Q7" i="39"/>
  <c r="Q8" i="39"/>
  <c r="Q9" i="39"/>
  <c r="Q10" i="39"/>
  <c r="Q11" i="39"/>
  <c r="Q12" i="39"/>
  <c r="Q13" i="39"/>
  <c r="Q14" i="39"/>
  <c r="Q15" i="39"/>
  <c r="Q16" i="39"/>
  <c r="Q17" i="39"/>
  <c r="Q18" i="39"/>
  <c r="Q19" i="39"/>
  <c r="Q20" i="39"/>
  <c r="Q21" i="39"/>
  <c r="Q22" i="39"/>
  <c r="Q23" i="39"/>
  <c r="Q24" i="39"/>
  <c r="Q25" i="39"/>
  <c r="Q26" i="39"/>
  <c r="Q27" i="39"/>
  <c r="Q5" i="39"/>
  <c r="R27" i="39"/>
  <c r="R26" i="39"/>
  <c r="R25" i="39"/>
  <c r="R24" i="39"/>
  <c r="R23" i="39"/>
  <c r="R22" i="39"/>
  <c r="R21" i="39"/>
  <c r="R20" i="39"/>
  <c r="R19" i="39"/>
  <c r="R18" i="39"/>
  <c r="R17" i="39"/>
  <c r="R16" i="39"/>
  <c r="R15" i="39"/>
  <c r="R14" i="39"/>
  <c r="R13" i="39"/>
  <c r="R12" i="39"/>
  <c r="R11" i="39"/>
  <c r="R10" i="39"/>
  <c r="R9" i="39"/>
  <c r="R8" i="39"/>
  <c r="R7" i="39"/>
  <c r="R6" i="39"/>
  <c r="R5" i="39"/>
  <c r="R4" i="39"/>
  <c r="Q15" i="46"/>
  <c r="R15" i="46"/>
  <c r="Q14" i="46"/>
  <c r="R14" i="46"/>
  <c r="Q13" i="46"/>
  <c r="R13" i="46"/>
  <c r="Q12" i="46"/>
  <c r="R12" i="46"/>
  <c r="L11" i="46"/>
  <c r="Q11" i="46"/>
  <c r="R11" i="46"/>
  <c r="L10" i="46"/>
  <c r="Q10" i="46"/>
  <c r="R10" i="46"/>
  <c r="L9" i="46"/>
  <c r="Q9" i="46"/>
  <c r="R9" i="46"/>
  <c r="L8" i="46"/>
  <c r="Q8" i="46"/>
  <c r="R8" i="46"/>
  <c r="L7" i="46"/>
  <c r="Q7" i="46"/>
  <c r="R7" i="46"/>
  <c r="L6" i="46"/>
  <c r="Q6" i="46"/>
  <c r="R6" i="46"/>
  <c r="L5" i="46"/>
  <c r="Q5" i="46"/>
  <c r="R5" i="46"/>
  <c r="R4" i="46"/>
  <c r="L6" i="37"/>
  <c r="Q6" i="37"/>
  <c r="L7" i="37"/>
  <c r="Q7" i="37"/>
  <c r="L8" i="37"/>
  <c r="Q8" i="37"/>
  <c r="L9" i="37"/>
  <c r="Q9" i="37"/>
  <c r="L10" i="37"/>
  <c r="Q10" i="37"/>
  <c r="L11" i="37"/>
  <c r="Q11" i="37"/>
  <c r="Q12" i="37"/>
  <c r="Q13" i="37"/>
  <c r="Q14" i="37"/>
  <c r="Q15" i="37"/>
  <c r="L5" i="37"/>
  <c r="Q5" i="37"/>
  <c r="Q11" i="45"/>
  <c r="J104" i="45"/>
  <c r="Q10" i="45"/>
  <c r="L10" i="45"/>
  <c r="J10" i="45"/>
  <c r="Q9" i="45"/>
  <c r="L9" i="45"/>
  <c r="J9" i="45"/>
  <c r="Q8" i="45"/>
  <c r="L8" i="45"/>
  <c r="J8" i="45"/>
  <c r="Q7" i="45"/>
  <c r="L7" i="45"/>
  <c r="J7" i="45"/>
  <c r="Q6" i="45"/>
  <c r="L6" i="45"/>
  <c r="J6" i="45"/>
  <c r="Q5" i="45"/>
  <c r="L5" i="45"/>
  <c r="J5" i="45"/>
  <c r="J6" i="36"/>
  <c r="K6" i="36"/>
  <c r="L6" i="36"/>
  <c r="M6" i="36"/>
  <c r="N6" i="36"/>
  <c r="O6" i="36"/>
  <c r="P6" i="36"/>
  <c r="Q6" i="36"/>
  <c r="J7" i="36"/>
  <c r="K7" i="36"/>
  <c r="L7" i="36"/>
  <c r="M7" i="36"/>
  <c r="N7" i="36"/>
  <c r="O7" i="36"/>
  <c r="P7" i="36"/>
  <c r="Q7" i="36"/>
  <c r="J8" i="36"/>
  <c r="K8" i="36"/>
  <c r="L8" i="36"/>
  <c r="M8" i="36"/>
  <c r="N8" i="36"/>
  <c r="O8" i="36"/>
  <c r="P8" i="36"/>
  <c r="Q8" i="36"/>
  <c r="J9" i="36"/>
  <c r="K9" i="36"/>
  <c r="L9" i="36"/>
  <c r="M9" i="36"/>
  <c r="N9" i="36"/>
  <c r="O9" i="36"/>
  <c r="P9" i="36"/>
  <c r="Q9" i="36"/>
  <c r="J10" i="36"/>
  <c r="K10" i="36"/>
  <c r="L10" i="36"/>
  <c r="M10" i="36"/>
  <c r="N10" i="36"/>
  <c r="O10" i="36"/>
  <c r="P10" i="36"/>
  <c r="Q10" i="36"/>
  <c r="Q11" i="36"/>
  <c r="J104" i="36"/>
  <c r="O5" i="36"/>
  <c r="Q5" i="36"/>
  <c r="P5" i="36"/>
  <c r="N5" i="36"/>
  <c r="M5" i="36"/>
  <c r="L5" i="36"/>
  <c r="K5" i="36"/>
  <c r="J5" i="36"/>
  <c r="C11" i="36"/>
  <c r="C10" i="36"/>
  <c r="C9" i="36"/>
  <c r="C8" i="36"/>
  <c r="C7" i="36"/>
  <c r="C6" i="36"/>
  <c r="C5" i="36"/>
  <c r="F72" i="42"/>
  <c r="D72" i="42"/>
  <c r="F66" i="42"/>
  <c r="D66" i="42"/>
  <c r="G8" i="39"/>
  <c r="G9" i="39"/>
  <c r="G10" i="39"/>
  <c r="G11" i="39"/>
  <c r="G12" i="39"/>
  <c r="G13" i="39"/>
  <c r="G14" i="39"/>
  <c r="G15" i="39"/>
  <c r="G16" i="39"/>
  <c r="G17" i="39"/>
  <c r="G18" i="39"/>
  <c r="G19" i="39"/>
  <c r="G20" i="39"/>
  <c r="G21" i="39"/>
  <c r="G22" i="39"/>
  <c r="G23" i="39"/>
  <c r="G24" i="39"/>
  <c r="G25" i="39"/>
  <c r="G26" i="39"/>
  <c r="G27" i="39"/>
  <c r="G6" i="39"/>
  <c r="G7" i="39"/>
  <c r="F28" i="39"/>
  <c r="G5" i="39"/>
  <c r="J19" i="8"/>
  <c r="J23" i="8"/>
  <c r="E23" i="8"/>
  <c r="D23" i="8"/>
  <c r="F28" i="47"/>
  <c r="C104" i="47"/>
  <c r="G27" i="47"/>
  <c r="F27" i="47"/>
  <c r="G26" i="47"/>
  <c r="F26" i="47"/>
  <c r="G25" i="47"/>
  <c r="F25" i="47"/>
  <c r="G24" i="47"/>
  <c r="F24" i="47"/>
  <c r="G23" i="47"/>
  <c r="F23" i="47"/>
  <c r="G22" i="47"/>
  <c r="F22" i="47"/>
  <c r="G21" i="47"/>
  <c r="F21" i="47"/>
  <c r="G20" i="47"/>
  <c r="F20" i="47"/>
  <c r="G19" i="47"/>
  <c r="F19" i="47"/>
  <c r="G18" i="47"/>
  <c r="F18" i="47"/>
  <c r="G17" i="47"/>
  <c r="F17" i="47"/>
  <c r="G16" i="47"/>
  <c r="F16" i="47"/>
  <c r="G15" i="47"/>
  <c r="F15" i="47"/>
  <c r="G14" i="47"/>
  <c r="F14" i="47"/>
  <c r="G13" i="47"/>
  <c r="F13" i="47"/>
  <c r="G12" i="47"/>
  <c r="F12" i="47"/>
  <c r="AC11" i="47"/>
  <c r="AD11" i="47"/>
  <c r="AE11" i="47"/>
  <c r="AF11" i="47"/>
  <c r="AG11" i="47"/>
  <c r="AH11" i="47"/>
  <c r="AI11" i="47"/>
  <c r="G11" i="47"/>
  <c r="F11" i="47"/>
  <c r="E11" i="47"/>
  <c r="AC10" i="47"/>
  <c r="AD10" i="47"/>
  <c r="AE10" i="47"/>
  <c r="AF10" i="47"/>
  <c r="AG10" i="47"/>
  <c r="AH10" i="47"/>
  <c r="AI10" i="47"/>
  <c r="G10" i="47"/>
  <c r="F10" i="47"/>
  <c r="E10" i="47"/>
  <c r="AC9" i="47"/>
  <c r="AD9" i="47"/>
  <c r="AE9" i="47"/>
  <c r="AF9" i="47"/>
  <c r="AG9" i="47"/>
  <c r="AH9" i="47"/>
  <c r="AI9" i="47"/>
  <c r="G9" i="47"/>
  <c r="F9" i="47"/>
  <c r="E9" i="47"/>
  <c r="AC8" i="47"/>
  <c r="AD8" i="47"/>
  <c r="AE8" i="47"/>
  <c r="AF8" i="47"/>
  <c r="AG8" i="47"/>
  <c r="AH8" i="47"/>
  <c r="AI8" i="47"/>
  <c r="G8" i="47"/>
  <c r="F8" i="47"/>
  <c r="E8" i="47"/>
  <c r="AC7" i="47"/>
  <c r="AD7" i="47"/>
  <c r="AE7" i="47"/>
  <c r="AF7" i="47"/>
  <c r="AG7" i="47"/>
  <c r="AH7" i="47"/>
  <c r="AI7" i="47"/>
  <c r="G7" i="47"/>
  <c r="F7" i="47"/>
  <c r="E7" i="47"/>
  <c r="AC6" i="47"/>
  <c r="AD6" i="47"/>
  <c r="AE6" i="47"/>
  <c r="AF6" i="47"/>
  <c r="AG6" i="47"/>
  <c r="AH6" i="47"/>
  <c r="AI6" i="47"/>
  <c r="G6" i="47"/>
  <c r="F6" i="47"/>
  <c r="E6" i="47"/>
  <c r="AC5" i="47"/>
  <c r="AD5" i="47"/>
  <c r="AE5" i="47"/>
  <c r="AF5" i="47"/>
  <c r="AG5" i="47"/>
  <c r="AH5" i="47"/>
  <c r="AI5" i="47"/>
  <c r="G5" i="47"/>
  <c r="F5" i="47"/>
  <c r="E5" i="47"/>
  <c r="C104" i="39"/>
  <c r="F27" i="39"/>
  <c r="F26" i="39"/>
  <c r="F25" i="39"/>
  <c r="F24" i="39"/>
  <c r="F23" i="39"/>
  <c r="F22" i="39"/>
  <c r="F21" i="39"/>
  <c r="F20" i="39"/>
  <c r="F19" i="39"/>
  <c r="F18" i="39"/>
  <c r="F17" i="39"/>
  <c r="F16" i="39"/>
  <c r="F15" i="39"/>
  <c r="F14" i="39"/>
  <c r="F13" i="39"/>
  <c r="F12" i="39"/>
  <c r="AC11" i="39"/>
  <c r="AD11" i="39"/>
  <c r="AE11" i="39"/>
  <c r="AF11" i="39"/>
  <c r="AG11" i="39"/>
  <c r="AH11" i="39"/>
  <c r="AI11" i="39"/>
  <c r="F11" i="39"/>
  <c r="E11" i="39"/>
  <c r="AC10" i="39"/>
  <c r="AD10" i="39"/>
  <c r="AE10" i="39"/>
  <c r="AF10" i="39"/>
  <c r="AG10" i="39"/>
  <c r="AH10" i="39"/>
  <c r="AI10" i="39"/>
  <c r="F10" i="39"/>
  <c r="E10" i="39"/>
  <c r="AC9" i="39"/>
  <c r="AD9" i="39"/>
  <c r="AE9" i="39"/>
  <c r="AF9" i="39"/>
  <c r="AG9" i="39"/>
  <c r="AH9" i="39"/>
  <c r="AI9" i="39"/>
  <c r="F9" i="39"/>
  <c r="E9" i="39"/>
  <c r="AC8" i="39"/>
  <c r="AD8" i="39"/>
  <c r="AE8" i="39"/>
  <c r="AF8" i="39"/>
  <c r="AG8" i="39"/>
  <c r="AH8" i="39"/>
  <c r="AI8" i="39"/>
  <c r="F8" i="39"/>
  <c r="E8" i="39"/>
  <c r="AC7" i="39"/>
  <c r="AD7" i="39"/>
  <c r="AE7" i="39"/>
  <c r="AF7" i="39"/>
  <c r="AG7" i="39"/>
  <c r="AH7" i="39"/>
  <c r="AI7" i="39"/>
  <c r="F7" i="39"/>
  <c r="E7" i="39"/>
  <c r="AC6" i="39"/>
  <c r="AD6" i="39"/>
  <c r="AE6" i="39"/>
  <c r="AF6" i="39"/>
  <c r="AG6" i="39"/>
  <c r="AH6" i="39"/>
  <c r="AI6" i="39"/>
  <c r="F6" i="39"/>
  <c r="E6" i="39"/>
  <c r="AC5" i="39"/>
  <c r="AD5" i="39"/>
  <c r="AE5" i="39"/>
  <c r="AF5" i="39"/>
  <c r="AG5" i="39"/>
  <c r="AH5" i="39"/>
  <c r="AI5" i="39"/>
  <c r="F5" i="39"/>
  <c r="E5" i="39"/>
  <c r="C104" i="46"/>
  <c r="G15" i="46"/>
  <c r="F15" i="46"/>
  <c r="G14" i="46"/>
  <c r="F14" i="46"/>
  <c r="G13" i="46"/>
  <c r="F13" i="46"/>
  <c r="G12" i="46"/>
  <c r="F12" i="46"/>
  <c r="AC11" i="46"/>
  <c r="AD11" i="46"/>
  <c r="AE11" i="46"/>
  <c r="AF11" i="46"/>
  <c r="AG11" i="46"/>
  <c r="AH11" i="46"/>
  <c r="AI11" i="46"/>
  <c r="G11" i="46"/>
  <c r="F11" i="46"/>
  <c r="E11" i="46"/>
  <c r="AC10" i="46"/>
  <c r="AD10" i="46"/>
  <c r="AE10" i="46"/>
  <c r="AF10" i="46"/>
  <c r="AG10" i="46"/>
  <c r="AH10" i="46"/>
  <c r="AI10" i="46"/>
  <c r="G10" i="46"/>
  <c r="F10" i="46"/>
  <c r="E10" i="46"/>
  <c r="AC9" i="46"/>
  <c r="AD9" i="46"/>
  <c r="AE9" i="46"/>
  <c r="AF9" i="46"/>
  <c r="AG9" i="46"/>
  <c r="AH9" i="46"/>
  <c r="AI9" i="46"/>
  <c r="G9" i="46"/>
  <c r="F9" i="46"/>
  <c r="E9" i="46"/>
  <c r="AC8" i="46"/>
  <c r="AD8" i="46"/>
  <c r="AE8" i="46"/>
  <c r="AF8" i="46"/>
  <c r="AG8" i="46"/>
  <c r="AH8" i="46"/>
  <c r="AI8" i="46"/>
  <c r="G8" i="46"/>
  <c r="F8" i="46"/>
  <c r="E8" i="46"/>
  <c r="AC7" i="46"/>
  <c r="AD7" i="46"/>
  <c r="AE7" i="46"/>
  <c r="AF7" i="46"/>
  <c r="AG7" i="46"/>
  <c r="AH7" i="46"/>
  <c r="AI7" i="46"/>
  <c r="G7" i="46"/>
  <c r="F7" i="46"/>
  <c r="E7" i="46"/>
  <c r="AC6" i="46"/>
  <c r="AD6" i="46"/>
  <c r="AE6" i="46"/>
  <c r="AF6" i="46"/>
  <c r="AG6" i="46"/>
  <c r="AH6" i="46"/>
  <c r="AI6" i="46"/>
  <c r="G6" i="46"/>
  <c r="F6" i="46"/>
  <c r="E6" i="46"/>
  <c r="AC5" i="46"/>
  <c r="AD5" i="46"/>
  <c r="AE5" i="46"/>
  <c r="AF5" i="46"/>
  <c r="AG5" i="46"/>
  <c r="AH5" i="46"/>
  <c r="AI5" i="46"/>
  <c r="G5" i="46"/>
  <c r="F5" i="46"/>
  <c r="E5" i="46"/>
  <c r="C104" i="37"/>
  <c r="R15" i="37"/>
  <c r="G15" i="37"/>
  <c r="F15" i="37"/>
  <c r="R14" i="37"/>
  <c r="G14" i="37"/>
  <c r="F14" i="37"/>
  <c r="R13" i="37"/>
  <c r="G13" i="37"/>
  <c r="F13" i="37"/>
  <c r="R12" i="37"/>
  <c r="G12" i="37"/>
  <c r="F12" i="37"/>
  <c r="AC11" i="37"/>
  <c r="AD11" i="37"/>
  <c r="AE11" i="37"/>
  <c r="AF11" i="37"/>
  <c r="AG11" i="37"/>
  <c r="AH11" i="37"/>
  <c r="AI11" i="37"/>
  <c r="R11" i="37"/>
  <c r="G11" i="37"/>
  <c r="F11" i="37"/>
  <c r="E11" i="37"/>
  <c r="AC10" i="37"/>
  <c r="AD10" i="37"/>
  <c r="AE10" i="37"/>
  <c r="AF10" i="37"/>
  <c r="AG10" i="37"/>
  <c r="AH10" i="37"/>
  <c r="AI10" i="37"/>
  <c r="R10" i="37"/>
  <c r="G10" i="37"/>
  <c r="F10" i="37"/>
  <c r="E10" i="37"/>
  <c r="AC9" i="37"/>
  <c r="AD9" i="37"/>
  <c r="AE9" i="37"/>
  <c r="AF9" i="37"/>
  <c r="AG9" i="37"/>
  <c r="AH9" i="37"/>
  <c r="AI9" i="37"/>
  <c r="R9" i="37"/>
  <c r="G9" i="37"/>
  <c r="F9" i="37"/>
  <c r="E9" i="37"/>
  <c r="AC8" i="37"/>
  <c r="AD8" i="37"/>
  <c r="AE8" i="37"/>
  <c r="AF8" i="37"/>
  <c r="AG8" i="37"/>
  <c r="AH8" i="37"/>
  <c r="AI8" i="37"/>
  <c r="R8" i="37"/>
  <c r="G8" i="37"/>
  <c r="F8" i="37"/>
  <c r="E8" i="37"/>
  <c r="AC7" i="37"/>
  <c r="AD7" i="37"/>
  <c r="AE7" i="37"/>
  <c r="AF7" i="37"/>
  <c r="AG7" i="37"/>
  <c r="AH7" i="37"/>
  <c r="AI7" i="37"/>
  <c r="R7" i="37"/>
  <c r="G7" i="37"/>
  <c r="F7" i="37"/>
  <c r="E7" i="37"/>
  <c r="AC6" i="37"/>
  <c r="AD6" i="37"/>
  <c r="AE6" i="37"/>
  <c r="AF6" i="37"/>
  <c r="AG6" i="37"/>
  <c r="AH6" i="37"/>
  <c r="AI6" i="37"/>
  <c r="R6" i="37"/>
  <c r="G6" i="37"/>
  <c r="F6" i="37"/>
  <c r="E6" i="37"/>
  <c r="AC5" i="37"/>
  <c r="AD5" i="37"/>
  <c r="AE5" i="37"/>
  <c r="AF5" i="37"/>
  <c r="AG5" i="37"/>
  <c r="AH5" i="37"/>
  <c r="AI5" i="37"/>
  <c r="R5" i="37"/>
  <c r="G5" i="37"/>
  <c r="F5" i="37"/>
  <c r="E5" i="37"/>
  <c r="R4" i="37"/>
  <c r="C104" i="45"/>
  <c r="AC11" i="45"/>
  <c r="AD11" i="45"/>
  <c r="AE11" i="45"/>
  <c r="AF11" i="45"/>
  <c r="AG11" i="45"/>
  <c r="AH11" i="45"/>
  <c r="AI11" i="45"/>
  <c r="R11" i="45"/>
  <c r="G11" i="45"/>
  <c r="F11" i="45"/>
  <c r="E11" i="45"/>
  <c r="AC10" i="45"/>
  <c r="AD10" i="45"/>
  <c r="AE10" i="45"/>
  <c r="AF10" i="45"/>
  <c r="AG10" i="45"/>
  <c r="AH10" i="45"/>
  <c r="AI10" i="45"/>
  <c r="R10" i="45"/>
  <c r="G10" i="45"/>
  <c r="F10" i="45"/>
  <c r="E10" i="45"/>
  <c r="AC9" i="45"/>
  <c r="AD9" i="45"/>
  <c r="AE9" i="45"/>
  <c r="AF9" i="45"/>
  <c r="AG9" i="45"/>
  <c r="AH9" i="45"/>
  <c r="AI9" i="45"/>
  <c r="R9" i="45"/>
  <c r="G9" i="45"/>
  <c r="F9" i="45"/>
  <c r="E9" i="45"/>
  <c r="AC8" i="45"/>
  <c r="AD8" i="45"/>
  <c r="AE8" i="45"/>
  <c r="AF8" i="45"/>
  <c r="AG8" i="45"/>
  <c r="AH8" i="45"/>
  <c r="AI8" i="45"/>
  <c r="R8" i="45"/>
  <c r="G8" i="45"/>
  <c r="F8" i="45"/>
  <c r="E8" i="45"/>
  <c r="AC7" i="45"/>
  <c r="AD7" i="45"/>
  <c r="AE7" i="45"/>
  <c r="AF7" i="45"/>
  <c r="AG7" i="45"/>
  <c r="AH7" i="45"/>
  <c r="AI7" i="45"/>
  <c r="R7" i="45"/>
  <c r="G7" i="45"/>
  <c r="F7" i="45"/>
  <c r="E7" i="45"/>
  <c r="AC6" i="45"/>
  <c r="AD6" i="45"/>
  <c r="AE6" i="45"/>
  <c r="AF6" i="45"/>
  <c r="AG6" i="45"/>
  <c r="AH6" i="45"/>
  <c r="AI6" i="45"/>
  <c r="R6" i="45"/>
  <c r="G6" i="45"/>
  <c r="F6" i="45"/>
  <c r="E6" i="45"/>
  <c r="AC5" i="45"/>
  <c r="AD5" i="45"/>
  <c r="AE5" i="45"/>
  <c r="AF5" i="45"/>
  <c r="AG5" i="45"/>
  <c r="AH5" i="45"/>
  <c r="AI5" i="45"/>
  <c r="R5" i="45"/>
  <c r="G5" i="45"/>
  <c r="F5" i="45"/>
  <c r="E5" i="45"/>
  <c r="R4" i="45"/>
  <c r="C104" i="36"/>
  <c r="AC11" i="36"/>
  <c r="AD11" i="36"/>
  <c r="AE11" i="36"/>
  <c r="AF11" i="36"/>
  <c r="AG11" i="36"/>
  <c r="AH11" i="36"/>
  <c r="H11" i="36"/>
  <c r="AI11" i="36"/>
  <c r="D11" i="36"/>
  <c r="V11" i="36"/>
  <c r="W11" i="36"/>
  <c r="X11" i="36"/>
  <c r="Y11" i="36"/>
  <c r="R11" i="36"/>
  <c r="G11" i="36"/>
  <c r="F11" i="36"/>
  <c r="E11" i="36"/>
  <c r="AC10" i="36"/>
  <c r="AD10" i="36"/>
  <c r="AE10" i="36"/>
  <c r="AF10" i="36"/>
  <c r="AG10" i="36"/>
  <c r="AH10" i="36"/>
  <c r="H10" i="36"/>
  <c r="AI10" i="36"/>
  <c r="D10" i="36"/>
  <c r="V10" i="36"/>
  <c r="W10" i="36"/>
  <c r="X10" i="36"/>
  <c r="Y10" i="36"/>
  <c r="R10" i="36"/>
  <c r="G10" i="36"/>
  <c r="F10" i="36"/>
  <c r="E10" i="36"/>
  <c r="AC9" i="36"/>
  <c r="AD9" i="36"/>
  <c r="AE9" i="36"/>
  <c r="AF9" i="36"/>
  <c r="AG9" i="36"/>
  <c r="AH9" i="36"/>
  <c r="H9" i="36"/>
  <c r="AI9" i="36"/>
  <c r="D9" i="36"/>
  <c r="V9" i="36"/>
  <c r="W9" i="36"/>
  <c r="X9" i="36"/>
  <c r="Y9" i="36"/>
  <c r="R9" i="36"/>
  <c r="G9" i="36"/>
  <c r="F9" i="36"/>
  <c r="E9" i="36"/>
  <c r="AC8" i="36"/>
  <c r="AD8" i="36"/>
  <c r="AE8" i="36"/>
  <c r="AF8" i="36"/>
  <c r="AG8" i="36"/>
  <c r="AH8" i="36"/>
  <c r="H8" i="36"/>
  <c r="AI8" i="36"/>
  <c r="D8" i="36"/>
  <c r="V8" i="36"/>
  <c r="W8" i="36"/>
  <c r="X8" i="36"/>
  <c r="Y8" i="36"/>
  <c r="R8" i="36"/>
  <c r="G8" i="36"/>
  <c r="F8" i="36"/>
  <c r="E8" i="36"/>
  <c r="AC7" i="36"/>
  <c r="AD7" i="36"/>
  <c r="AE7" i="36"/>
  <c r="AF7" i="36"/>
  <c r="AG7" i="36"/>
  <c r="AH7" i="36"/>
  <c r="H7" i="36"/>
  <c r="AI7" i="36"/>
  <c r="D7" i="36"/>
  <c r="V7" i="36"/>
  <c r="W7" i="36"/>
  <c r="X7" i="36"/>
  <c r="Y7" i="36"/>
  <c r="R7" i="36"/>
  <c r="G7" i="36"/>
  <c r="F7" i="36"/>
  <c r="E7" i="36"/>
  <c r="AC6" i="36"/>
  <c r="AD6" i="36"/>
  <c r="AE6" i="36"/>
  <c r="AF6" i="36"/>
  <c r="AG6" i="36"/>
  <c r="AH6" i="36"/>
  <c r="H6" i="36"/>
  <c r="AI6" i="36"/>
  <c r="D6" i="36"/>
  <c r="V6" i="36"/>
  <c r="W6" i="36"/>
  <c r="X6" i="36"/>
  <c r="Y6" i="36"/>
  <c r="R6" i="36"/>
  <c r="G6" i="36"/>
  <c r="F6" i="36"/>
  <c r="E6" i="36"/>
  <c r="AC5" i="36"/>
  <c r="AD5" i="36"/>
  <c r="AE5" i="36"/>
  <c r="AF5" i="36"/>
  <c r="AG5" i="36"/>
  <c r="AH5" i="36"/>
  <c r="H5" i="36"/>
  <c r="AI5" i="36"/>
  <c r="D5" i="36"/>
  <c r="V5" i="36"/>
  <c r="W5" i="36"/>
  <c r="X5" i="36"/>
  <c r="Y5" i="36"/>
  <c r="R5" i="36"/>
  <c r="G5" i="36"/>
  <c r="F5" i="36"/>
  <c r="E5" i="36"/>
  <c r="R4" i="36"/>
  <c r="B6" i="43"/>
  <c r="B30" i="41"/>
  <c r="D14" i="41"/>
  <c r="B29" i="41"/>
  <c r="D9" i="41"/>
  <c r="B28" i="41"/>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M19" i="25"/>
  <c r="H63" i="8"/>
  <c r="K63" i="8"/>
  <c r="L63" i="8"/>
  <c r="J63" i="8"/>
  <c r="T63" i="8"/>
  <c r="D63" i="8"/>
  <c r="H33" i="8"/>
  <c r="H32" i="8"/>
  <c r="E27" i="8"/>
  <c r="H25" i="8"/>
  <c r="H24" i="8"/>
  <c r="H21" i="8"/>
  <c r="H20" i="8"/>
  <c r="E19" i="8"/>
  <c r="D19" i="8"/>
  <c r="H17" i="8"/>
  <c r="G16" i="8"/>
  <c r="F16" i="8"/>
  <c r="H16" i="8"/>
  <c r="H12" i="8"/>
  <c r="H11" i="8"/>
  <c r="D14" i="8"/>
  <c r="E14" i="8"/>
  <c r="J14" i="8"/>
  <c r="E16" i="37"/>
  <c r="E17" i="37"/>
  <c r="E18" i="37"/>
  <c r="E19" i="37"/>
  <c r="E20" i="37"/>
  <c r="E21" i="37"/>
  <c r="E22" i="37"/>
  <c r="E23" i="37"/>
  <c r="E24" i="37"/>
  <c r="E25" i="37"/>
  <c r="E26" i="37"/>
  <c r="E27" i="37"/>
  <c r="E16" i="46"/>
  <c r="E17" i="46"/>
  <c r="E18" i="46"/>
  <c r="E19" i="46"/>
  <c r="E20" i="46"/>
  <c r="E21" i="46"/>
  <c r="E22" i="46"/>
  <c r="E23" i="46"/>
  <c r="E24" i="46"/>
  <c r="E25" i="46"/>
  <c r="E26" i="46"/>
  <c r="E27" i="46"/>
  <c r="E28" i="46"/>
  <c r="E29" i="46"/>
  <c r="E30" i="46"/>
  <c r="E31" i="46"/>
  <c r="E32" i="46"/>
  <c r="E33" i="46"/>
  <c r="E34" i="46"/>
  <c r="E35" i="46"/>
  <c r="E36" i="46"/>
  <c r="E37" i="46"/>
  <c r="E38" i="46"/>
  <c r="E39" i="46"/>
  <c r="E28" i="37"/>
  <c r="E29" i="37"/>
  <c r="E30" i="37"/>
  <c r="E31" i="37"/>
  <c r="E32" i="37"/>
  <c r="E33" i="37"/>
  <c r="E34" i="37"/>
  <c r="E35" i="37"/>
  <c r="E36" i="37"/>
  <c r="E37" i="37"/>
  <c r="E38" i="37"/>
  <c r="E39" i="37"/>
  <c r="E28" i="47"/>
  <c r="E29" i="47"/>
  <c r="E30" i="47"/>
  <c r="E31" i="47"/>
  <c r="E32" i="47"/>
  <c r="E33" i="47"/>
  <c r="E34" i="47"/>
  <c r="E35" i="47"/>
  <c r="E36" i="47"/>
  <c r="E37" i="47"/>
  <c r="E38" i="47"/>
  <c r="E39" i="47"/>
  <c r="E28" i="39"/>
  <c r="E29" i="39"/>
  <c r="E30" i="39"/>
  <c r="E31" i="39"/>
  <c r="E32" i="39"/>
  <c r="E33" i="39"/>
  <c r="E34" i="39"/>
  <c r="E35" i="39"/>
  <c r="E36" i="39"/>
  <c r="E37" i="39"/>
  <c r="E38" i="39"/>
  <c r="E39" i="39"/>
  <c r="G10" i="41"/>
  <c r="G15" i="41"/>
  <c r="E12" i="37"/>
  <c r="E13" i="37"/>
  <c r="E14" i="37"/>
  <c r="E15" i="37"/>
  <c r="E12" i="46"/>
  <c r="E13" i="46"/>
  <c r="E14" i="46"/>
  <c r="E15" i="46"/>
  <c r="E12" i="39"/>
  <c r="E13" i="39"/>
  <c r="E14" i="39"/>
  <c r="E15" i="39"/>
  <c r="E16" i="39"/>
  <c r="E17" i="39"/>
  <c r="E18" i="39"/>
  <c r="E19" i="39"/>
  <c r="E20" i="39"/>
  <c r="E21" i="39"/>
  <c r="E22" i="39"/>
  <c r="E23" i="39"/>
  <c r="E24" i="39"/>
  <c r="E25" i="39"/>
  <c r="E26" i="39"/>
  <c r="E27" i="39"/>
  <c r="E12" i="47"/>
  <c r="E13" i="47"/>
  <c r="E14" i="47"/>
  <c r="E15" i="47"/>
  <c r="E16" i="47"/>
  <c r="E17" i="47"/>
  <c r="E18" i="47"/>
  <c r="E19" i="47"/>
  <c r="E20" i="47"/>
  <c r="E21" i="47"/>
  <c r="E22" i="47"/>
  <c r="E23" i="47"/>
  <c r="E24" i="47"/>
  <c r="E25" i="47"/>
  <c r="E26" i="47"/>
  <c r="E27" i="47"/>
  <c r="Q16" i="37"/>
  <c r="Q17" i="37"/>
  <c r="Q18" i="37"/>
  <c r="Q19" i="37"/>
  <c r="Q20" i="37"/>
  <c r="Q21" i="37"/>
  <c r="Q22" i="37"/>
  <c r="Q23" i="37"/>
  <c r="Q24" i="37"/>
  <c r="Q25" i="37"/>
  <c r="Q26" i="37"/>
  <c r="Q27" i="37"/>
  <c r="Q28" i="37"/>
  <c r="Q29" i="37"/>
  <c r="Q30" i="37"/>
  <c r="Q31" i="37"/>
  <c r="Q32" i="37"/>
  <c r="Q33" i="37"/>
  <c r="Q34" i="37"/>
  <c r="Q35" i="37"/>
  <c r="Q36" i="37"/>
  <c r="Q37" i="37"/>
  <c r="Q38" i="37"/>
  <c r="Q39" i="37"/>
  <c r="Q40" i="37"/>
  <c r="Q41" i="37"/>
  <c r="Q42" i="37"/>
  <c r="Q43" i="37"/>
  <c r="Q44" i="37"/>
  <c r="Q45" i="37"/>
  <c r="Q46" i="37"/>
  <c r="Q47" i="37"/>
  <c r="Q48" i="37"/>
  <c r="Q49" i="37"/>
  <c r="Q50" i="37"/>
  <c r="Q51" i="37"/>
  <c r="Q52" i="37"/>
  <c r="Q53" i="37"/>
  <c r="Q54" i="37"/>
  <c r="Q55" i="37"/>
  <c r="Q56" i="37"/>
  <c r="Q57" i="37"/>
  <c r="Q58" i="37"/>
  <c r="Q59" i="37"/>
  <c r="Q60" i="37"/>
  <c r="Q61" i="37"/>
  <c r="Q62" i="37"/>
  <c r="Q63" i="37"/>
  <c r="Q64" i="37"/>
  <c r="Q65" i="37"/>
  <c r="Q66" i="37"/>
  <c r="Q67" i="37"/>
  <c r="Q68" i="37"/>
  <c r="Q69" i="37"/>
  <c r="Q70" i="37"/>
  <c r="Q71" i="37"/>
  <c r="Q72" i="37"/>
  <c r="Q73" i="37"/>
  <c r="Q74" i="37"/>
  <c r="Q75" i="37"/>
  <c r="Q76" i="37"/>
  <c r="Q77" i="37"/>
  <c r="Q78" i="37"/>
  <c r="Q79" i="37"/>
  <c r="Q80" i="37"/>
  <c r="Q81" i="37"/>
  <c r="Q82" i="37"/>
  <c r="Q83" i="37"/>
  <c r="Q84" i="37"/>
  <c r="Q85" i="37"/>
  <c r="Q86" i="37"/>
  <c r="Q87" i="37"/>
  <c r="Q88" i="37"/>
  <c r="Q89" i="37"/>
  <c r="Q90" i="37"/>
  <c r="Q91" i="37"/>
  <c r="Q92" i="37"/>
  <c r="Q93" i="37"/>
  <c r="Q94" i="37"/>
  <c r="Q95" i="37"/>
  <c r="Q96" i="37"/>
  <c r="Q97" i="37"/>
  <c r="Q98" i="37"/>
  <c r="Q99" i="37"/>
  <c r="Q100" i="37"/>
  <c r="Q101" i="37"/>
  <c r="Q102" i="37"/>
  <c r="Q103" i="37"/>
  <c r="Q104" i="37"/>
  <c r="R104" i="37"/>
  <c r="R103" i="37"/>
  <c r="R102" i="37"/>
  <c r="R101" i="37"/>
  <c r="R100" i="37"/>
  <c r="R99" i="37"/>
  <c r="R98" i="37"/>
  <c r="R97" i="37"/>
  <c r="R96" i="37"/>
  <c r="R95" i="37"/>
  <c r="R94" i="37"/>
  <c r="R93" i="37"/>
  <c r="R92" i="37"/>
  <c r="R91" i="37"/>
  <c r="R90" i="37"/>
  <c r="R89" i="37"/>
  <c r="R88" i="37"/>
  <c r="R87" i="37"/>
  <c r="R86" i="37"/>
  <c r="R85" i="37"/>
  <c r="R84" i="37"/>
  <c r="R83" i="37"/>
  <c r="R82" i="37"/>
  <c r="R81" i="37"/>
  <c r="R80" i="37"/>
  <c r="R79" i="37"/>
  <c r="R78" i="37"/>
  <c r="R77" i="37"/>
  <c r="R76" i="37"/>
  <c r="R75" i="37"/>
  <c r="R74" i="37"/>
  <c r="R73" i="37"/>
  <c r="R72" i="37"/>
  <c r="R71" i="37"/>
  <c r="R70" i="37"/>
  <c r="R69" i="37"/>
  <c r="R68" i="37"/>
  <c r="R67" i="37"/>
  <c r="R66" i="37"/>
  <c r="R65" i="37"/>
  <c r="R64" i="37"/>
  <c r="R63" i="37"/>
  <c r="R62" i="37"/>
  <c r="R61" i="37"/>
  <c r="R60" i="37"/>
  <c r="R59" i="37"/>
  <c r="R58" i="37"/>
  <c r="R57" i="37"/>
  <c r="R56" i="37"/>
  <c r="R55" i="37"/>
  <c r="R54" i="37"/>
  <c r="R53" i="37"/>
  <c r="R52" i="37"/>
  <c r="R51" i="37"/>
  <c r="R50" i="37"/>
  <c r="R49" i="37"/>
  <c r="R48" i="37"/>
  <c r="R47" i="37"/>
  <c r="R46" i="37"/>
  <c r="R45" i="37"/>
  <c r="R44" i="37"/>
  <c r="R43" i="37"/>
  <c r="R42" i="37"/>
  <c r="R41" i="37"/>
  <c r="R40" i="37"/>
  <c r="R39" i="37"/>
  <c r="R38" i="37"/>
  <c r="R37" i="37"/>
  <c r="R36" i="37"/>
  <c r="R35" i="37"/>
  <c r="R34" i="37"/>
  <c r="R33" i="37"/>
  <c r="R32" i="37"/>
  <c r="R31" i="37"/>
  <c r="R30" i="37"/>
  <c r="R29" i="37"/>
  <c r="R28" i="37"/>
  <c r="Q12" i="45"/>
  <c r="Q13" i="45"/>
  <c r="Q14" i="45"/>
  <c r="Q15" i="45"/>
  <c r="Q16" i="45"/>
  <c r="Q17" i="45"/>
  <c r="Q18" i="45"/>
  <c r="Q19" i="45"/>
  <c r="Q20" i="45"/>
  <c r="Q21" i="45"/>
  <c r="Q22" i="45"/>
  <c r="Q23" i="45"/>
  <c r="Q24" i="45"/>
  <c r="Q25" i="45"/>
  <c r="Q26" i="45"/>
  <c r="Q27" i="45"/>
  <c r="Q28" i="45"/>
  <c r="Q29" i="45"/>
  <c r="Q30" i="45"/>
  <c r="Q31" i="45"/>
  <c r="Q32" i="45"/>
  <c r="Q33" i="45"/>
  <c r="Q34" i="45"/>
  <c r="Q35" i="45"/>
  <c r="Q36" i="45"/>
  <c r="Q37" i="45"/>
  <c r="Q38" i="45"/>
  <c r="Q39" i="45"/>
  <c r="Q40" i="45"/>
  <c r="Q41" i="45"/>
  <c r="Q42" i="45"/>
  <c r="Q43" i="45"/>
  <c r="Q44" i="45"/>
  <c r="Q45" i="45"/>
  <c r="Q46" i="45"/>
  <c r="Q47" i="45"/>
  <c r="Q48" i="45"/>
  <c r="Q49" i="45"/>
  <c r="Q50" i="45"/>
  <c r="Q51" i="45"/>
  <c r="Q52" i="45"/>
  <c r="Q53" i="45"/>
  <c r="Q54" i="45"/>
  <c r="Q55" i="45"/>
  <c r="Q56" i="45"/>
  <c r="Q57" i="45"/>
  <c r="Q58" i="45"/>
  <c r="Q59" i="45"/>
  <c r="Q60" i="45"/>
  <c r="Q61" i="45"/>
  <c r="Q62" i="45"/>
  <c r="Q63" i="45"/>
  <c r="Q64" i="45"/>
  <c r="Q65" i="45"/>
  <c r="Q66" i="45"/>
  <c r="Q67" i="45"/>
  <c r="Q68" i="45"/>
  <c r="Q69" i="45"/>
  <c r="Q70" i="45"/>
  <c r="Q71" i="45"/>
  <c r="Q72" i="45"/>
  <c r="Q73" i="45"/>
  <c r="Q74" i="45"/>
  <c r="Q75" i="45"/>
  <c r="Q76" i="45"/>
  <c r="Q77" i="45"/>
  <c r="Q78" i="45"/>
  <c r="Q79" i="45"/>
  <c r="Q80" i="45"/>
  <c r="Q81" i="45"/>
  <c r="Q82" i="45"/>
  <c r="Q83" i="45"/>
  <c r="Q84" i="45"/>
  <c r="Q85" i="45"/>
  <c r="Q86" i="45"/>
  <c r="Q87" i="45"/>
  <c r="Q88" i="45"/>
  <c r="Q89" i="45"/>
  <c r="Q90" i="45"/>
  <c r="Q91" i="45"/>
  <c r="Q92" i="45"/>
  <c r="Q93" i="45"/>
  <c r="Q94" i="45"/>
  <c r="Q95" i="45"/>
  <c r="Q96" i="45"/>
  <c r="Q97" i="45"/>
  <c r="Q98" i="45"/>
  <c r="Q99" i="45"/>
  <c r="Q100" i="45"/>
  <c r="Q101" i="45"/>
  <c r="Q102" i="45"/>
  <c r="Q103" i="45"/>
  <c r="Q104" i="45"/>
  <c r="R104" i="45"/>
  <c r="R103" i="45"/>
  <c r="R102" i="45"/>
  <c r="R101" i="45"/>
  <c r="R100" i="45"/>
  <c r="R99" i="45"/>
  <c r="R98" i="45"/>
  <c r="R97" i="45"/>
  <c r="R96" i="45"/>
  <c r="R95" i="45"/>
  <c r="R94" i="45"/>
  <c r="R93" i="45"/>
  <c r="R92" i="45"/>
  <c r="R91" i="45"/>
  <c r="R90" i="45"/>
  <c r="R89" i="45"/>
  <c r="R88" i="45"/>
  <c r="R87" i="45"/>
  <c r="R86" i="45"/>
  <c r="R85" i="45"/>
  <c r="R84" i="45"/>
  <c r="R83" i="45"/>
  <c r="R82" i="45"/>
  <c r="R81" i="45"/>
  <c r="R80" i="45"/>
  <c r="R79" i="45"/>
  <c r="R78" i="45"/>
  <c r="R77" i="45"/>
  <c r="R76" i="45"/>
  <c r="R75" i="45"/>
  <c r="R74" i="45"/>
  <c r="R73" i="45"/>
  <c r="R72" i="45"/>
  <c r="R71" i="45"/>
  <c r="R70" i="45"/>
  <c r="R69" i="45"/>
  <c r="R68" i="45"/>
  <c r="R67" i="45"/>
  <c r="R66" i="45"/>
  <c r="R65" i="45"/>
  <c r="R64" i="45"/>
  <c r="R63" i="45"/>
  <c r="R62" i="45"/>
  <c r="R61" i="45"/>
  <c r="R60" i="45"/>
  <c r="R59" i="45"/>
  <c r="R58" i="45"/>
  <c r="R57" i="45"/>
  <c r="R56" i="45"/>
  <c r="R55" i="45"/>
  <c r="R54" i="45"/>
  <c r="R53" i="45"/>
  <c r="R52" i="45"/>
  <c r="R51" i="45"/>
  <c r="R50" i="45"/>
  <c r="R49" i="45"/>
  <c r="R48" i="45"/>
  <c r="R47" i="45"/>
  <c r="R46" i="45"/>
  <c r="R45" i="45"/>
  <c r="R44" i="45"/>
  <c r="R43" i="45"/>
  <c r="R42" i="45"/>
  <c r="R41" i="45"/>
  <c r="R40" i="45"/>
  <c r="R39" i="45"/>
  <c r="R38" i="45"/>
  <c r="R37" i="45"/>
  <c r="R36" i="45"/>
  <c r="R35" i="45"/>
  <c r="R34" i="45"/>
  <c r="R33" i="45"/>
  <c r="R32" i="45"/>
  <c r="R31" i="45"/>
  <c r="R30" i="45"/>
  <c r="R29" i="45"/>
  <c r="R28" i="45"/>
  <c r="Q12" i="36"/>
  <c r="Q13" i="36"/>
  <c r="Q14" i="36"/>
  <c r="Q15" i="36"/>
  <c r="Q16" i="36"/>
  <c r="Q17" i="36"/>
  <c r="Q18" i="36"/>
  <c r="Q19" i="36"/>
  <c r="Q20" i="36"/>
  <c r="Q21" i="36"/>
  <c r="Q22" i="36"/>
  <c r="Q23" i="36"/>
  <c r="Q24" i="36"/>
  <c r="Q25" i="36"/>
  <c r="Q26" i="36"/>
  <c r="Q27" i="36"/>
  <c r="Q28" i="36"/>
  <c r="Q29" i="36"/>
  <c r="Q30" i="36"/>
  <c r="Q31" i="36"/>
  <c r="Q32" i="36"/>
  <c r="Q33" i="36"/>
  <c r="Q34" i="36"/>
  <c r="Q35" i="36"/>
  <c r="Q36" i="36"/>
  <c r="Q37" i="36"/>
  <c r="Q38" i="36"/>
  <c r="Q39" i="36"/>
  <c r="Q40" i="36"/>
  <c r="Q41" i="36"/>
  <c r="Q42" i="36"/>
  <c r="Q43" i="36"/>
  <c r="Q44" i="36"/>
  <c r="Q45" i="36"/>
  <c r="Q46" i="36"/>
  <c r="Q47" i="36"/>
  <c r="Q48" i="36"/>
  <c r="Q49" i="36"/>
  <c r="Q50" i="36"/>
  <c r="Q51" i="36"/>
  <c r="Q52" i="36"/>
  <c r="Q53" i="36"/>
  <c r="Q54" i="36"/>
  <c r="Q55" i="36"/>
  <c r="Q56" i="36"/>
  <c r="Q57" i="36"/>
  <c r="Q58" i="36"/>
  <c r="Q59" i="36"/>
  <c r="Q60" i="36"/>
  <c r="Q61" i="36"/>
  <c r="Q62" i="36"/>
  <c r="Q63" i="36"/>
  <c r="Q64" i="36"/>
  <c r="Q65" i="36"/>
  <c r="Q66" i="36"/>
  <c r="Q67" i="36"/>
  <c r="Q68" i="36"/>
  <c r="Q69" i="36"/>
  <c r="Q70" i="36"/>
  <c r="Q71" i="36"/>
  <c r="Q72" i="36"/>
  <c r="Q73" i="36"/>
  <c r="Q74" i="36"/>
  <c r="Q75" i="36"/>
  <c r="Q76" i="36"/>
  <c r="Q77" i="36"/>
  <c r="Q78" i="36"/>
  <c r="Q79" i="36"/>
  <c r="Q80" i="36"/>
  <c r="Q81" i="36"/>
  <c r="Q82" i="36"/>
  <c r="Q83" i="36"/>
  <c r="Q84" i="36"/>
  <c r="Q85" i="36"/>
  <c r="Q86" i="36"/>
  <c r="Q87" i="36"/>
  <c r="Q88" i="36"/>
  <c r="Q89" i="36"/>
  <c r="Q90" i="36"/>
  <c r="Q91" i="36"/>
  <c r="Q92" i="36"/>
  <c r="Q93" i="36"/>
  <c r="Q94" i="36"/>
  <c r="Q95" i="36"/>
  <c r="Q96" i="36"/>
  <c r="Q97" i="36"/>
  <c r="Q98" i="36"/>
  <c r="Q99" i="36"/>
  <c r="Q100" i="36"/>
  <c r="Q101" i="36"/>
  <c r="Q102" i="36"/>
  <c r="Q103" i="36"/>
  <c r="Q104" i="36"/>
  <c r="R104" i="36"/>
  <c r="R103" i="36"/>
  <c r="R102" i="36"/>
  <c r="R101" i="36"/>
  <c r="R100" i="36"/>
  <c r="R99" i="36"/>
  <c r="R98" i="36"/>
  <c r="R97" i="36"/>
  <c r="R96" i="36"/>
  <c r="R95" i="36"/>
  <c r="R94" i="36"/>
  <c r="R93" i="36"/>
  <c r="R92" i="36"/>
  <c r="R91" i="36"/>
  <c r="R90" i="36"/>
  <c r="R89" i="36"/>
  <c r="R88" i="36"/>
  <c r="R87" i="36"/>
  <c r="R86" i="36"/>
  <c r="R85" i="36"/>
  <c r="R84" i="36"/>
  <c r="R83" i="36"/>
  <c r="R82" i="36"/>
  <c r="R81" i="36"/>
  <c r="R80" i="36"/>
  <c r="R79" i="36"/>
  <c r="R78" i="36"/>
  <c r="R77" i="36"/>
  <c r="R76" i="36"/>
  <c r="R75" i="36"/>
  <c r="R74" i="36"/>
  <c r="R73" i="36"/>
  <c r="R72" i="36"/>
  <c r="R71" i="36"/>
  <c r="R70" i="36"/>
  <c r="R69" i="36"/>
  <c r="R68" i="36"/>
  <c r="R67" i="36"/>
  <c r="R66" i="36"/>
  <c r="R65" i="36"/>
  <c r="R64" i="36"/>
  <c r="R63" i="36"/>
  <c r="R62" i="36"/>
  <c r="R61" i="36"/>
  <c r="R60" i="36"/>
  <c r="R59" i="36"/>
  <c r="R58" i="36"/>
  <c r="R57" i="36"/>
  <c r="R56" i="36"/>
  <c r="R55" i="36"/>
  <c r="R54" i="36"/>
  <c r="R53" i="36"/>
  <c r="R52" i="36"/>
  <c r="R51" i="36"/>
  <c r="R50" i="36"/>
  <c r="R49" i="36"/>
  <c r="R48" i="36"/>
  <c r="R47" i="36"/>
  <c r="R46" i="36"/>
  <c r="R45" i="36"/>
  <c r="R44" i="36"/>
  <c r="R43" i="36"/>
  <c r="R42" i="36"/>
  <c r="R41" i="36"/>
  <c r="R40" i="36"/>
  <c r="R39" i="36"/>
  <c r="R38" i="36"/>
  <c r="R37" i="36"/>
  <c r="R36" i="36"/>
  <c r="R35" i="36"/>
  <c r="R34" i="36"/>
  <c r="R33" i="36"/>
  <c r="R32" i="36"/>
  <c r="R31" i="36"/>
  <c r="R30" i="36"/>
  <c r="R29" i="36"/>
  <c r="R28" i="36"/>
  <c r="N6" i="43"/>
  <c r="L6" i="43"/>
  <c r="U6" i="43"/>
  <c r="M6" i="43"/>
  <c r="K6" i="43"/>
  <c r="T6" i="43"/>
  <c r="J6" i="43"/>
  <c r="H6" i="43"/>
  <c r="S6" i="43"/>
  <c r="I6" i="43"/>
  <c r="G6" i="43"/>
  <c r="R6" i="43"/>
  <c r="F6" i="43"/>
  <c r="D6" i="43"/>
  <c r="Q6" i="43"/>
  <c r="E6" i="43"/>
  <c r="C6" i="43"/>
  <c r="P6" i="43"/>
  <c r="AH107" i="47"/>
  <c r="C19" i="41"/>
  <c r="E19" i="41"/>
  <c r="AH107" i="39"/>
  <c r="C18" i="41"/>
  <c r="E18" i="41"/>
  <c r="E20" i="41"/>
  <c r="D30" i="41"/>
  <c r="Z107" i="47"/>
  <c r="F19" i="41"/>
  <c r="Z107" i="39"/>
  <c r="F18" i="41"/>
  <c r="F20" i="41"/>
  <c r="C30" i="41"/>
  <c r="E30" i="41"/>
  <c r="AH107" i="46"/>
  <c r="C14" i="41"/>
  <c r="E14" i="41"/>
  <c r="AH107" i="37"/>
  <c r="C13" i="41"/>
  <c r="E13" i="41"/>
  <c r="E15" i="41"/>
  <c r="D29" i="41"/>
  <c r="Z107" i="46"/>
  <c r="F14" i="41"/>
  <c r="Z107" i="37"/>
  <c r="F13" i="41"/>
  <c r="F15" i="41"/>
  <c r="C29" i="41"/>
  <c r="E29" i="41"/>
  <c r="AH107" i="45"/>
  <c r="C9" i="41"/>
  <c r="E9" i="41"/>
  <c r="AH107" i="36"/>
  <c r="C8" i="41"/>
  <c r="E8" i="41"/>
  <c r="E10" i="41"/>
  <c r="D28" i="41"/>
  <c r="Z107" i="45"/>
  <c r="F9" i="41"/>
  <c r="Z107" i="36"/>
  <c r="F8" i="41"/>
  <c r="F10" i="41"/>
  <c r="C28" i="41"/>
  <c r="E28" i="41"/>
  <c r="G20" i="41"/>
  <c r="P4" i="8"/>
  <c r="O4" i="8"/>
  <c r="N4" i="8"/>
  <c r="R27" i="37"/>
  <c r="R26" i="37"/>
  <c r="R25" i="37"/>
  <c r="R24" i="37"/>
  <c r="R23" i="37"/>
  <c r="R22" i="37"/>
  <c r="R21" i="37"/>
  <c r="R20" i="37"/>
  <c r="R19" i="37"/>
  <c r="R18" i="37"/>
  <c r="R17" i="37"/>
  <c r="R16" i="37"/>
  <c r="R27" i="45"/>
  <c r="R26" i="45"/>
  <c r="R25" i="45"/>
  <c r="R24" i="45"/>
  <c r="R23" i="45"/>
  <c r="R22" i="45"/>
  <c r="R21" i="45"/>
  <c r="R20" i="45"/>
  <c r="R19" i="45"/>
  <c r="R18" i="45"/>
  <c r="R17" i="45"/>
  <c r="R16" i="45"/>
  <c r="R15" i="45"/>
  <c r="R14" i="45"/>
  <c r="R13" i="45"/>
  <c r="R12" i="45"/>
  <c r="R27" i="36"/>
  <c r="R26" i="36"/>
  <c r="R25" i="36"/>
  <c r="R24" i="36"/>
  <c r="R23" i="36"/>
  <c r="R22" i="36"/>
  <c r="R21" i="36"/>
  <c r="R20" i="36"/>
  <c r="R19" i="36"/>
  <c r="R18" i="36"/>
  <c r="R17" i="36"/>
  <c r="R16" i="36"/>
  <c r="R15" i="36"/>
  <c r="R14" i="36"/>
  <c r="R13" i="36"/>
  <c r="R12" i="36"/>
  <c r="T5" i="36"/>
  <c r="U5" i="36"/>
  <c r="Z5" i="36"/>
  <c r="AA5" i="36"/>
  <c r="T6" i="36"/>
  <c r="U6" i="36"/>
  <c r="Z6" i="36"/>
  <c r="AA6" i="36"/>
  <c r="T7" i="36"/>
  <c r="U7" i="36"/>
  <c r="Z7" i="36"/>
  <c r="AA7" i="36"/>
  <c r="T8" i="36"/>
  <c r="U8" i="36"/>
  <c r="Z8" i="36"/>
  <c r="AA8" i="36"/>
  <c r="T9" i="36"/>
  <c r="U9" i="36"/>
  <c r="Z9" i="36"/>
  <c r="AA9" i="36"/>
  <c r="T10" i="36"/>
  <c r="U10" i="36"/>
  <c r="Z10" i="36"/>
  <c r="AA10" i="36"/>
  <c r="T11" i="36"/>
  <c r="U11" i="36"/>
  <c r="Z11" i="36"/>
  <c r="AA11" i="36"/>
  <c r="D27" i="8"/>
  <c r="J27" i="8"/>
  <c r="Q16" i="46"/>
  <c r="R16" i="46"/>
  <c r="Q17" i="46"/>
  <c r="R17" i="46"/>
  <c r="Q18" i="46"/>
  <c r="R18" i="46"/>
  <c r="Q19" i="46"/>
  <c r="R19" i="46"/>
  <c r="Q20" i="46"/>
  <c r="R20" i="46"/>
  <c r="Q21" i="46"/>
  <c r="R21" i="46"/>
  <c r="Q22" i="46"/>
  <c r="R22" i="46"/>
  <c r="Q23" i="46"/>
  <c r="R23" i="46"/>
  <c r="Q24" i="46"/>
  <c r="R24" i="46"/>
  <c r="Q25" i="46"/>
  <c r="R25" i="46"/>
  <c r="Q26" i="46"/>
  <c r="R26" i="46"/>
  <c r="Q27" i="46"/>
  <c r="R27" i="46"/>
  <c r="Q28" i="46"/>
  <c r="R28" i="46"/>
  <c r="Q29" i="46"/>
  <c r="R29" i="46"/>
  <c r="Q30" i="46"/>
  <c r="R30" i="46"/>
  <c r="Q31" i="46"/>
  <c r="R31" i="46"/>
  <c r="Q32" i="46"/>
  <c r="R32" i="46"/>
  <c r="Q33" i="46"/>
  <c r="R33" i="46"/>
  <c r="Q34" i="46"/>
  <c r="R34" i="46"/>
  <c r="Q35" i="46"/>
  <c r="R35" i="46"/>
  <c r="Q36" i="46"/>
  <c r="R36" i="46"/>
  <c r="Q37" i="46"/>
  <c r="R37" i="46"/>
  <c r="Q38" i="46"/>
  <c r="R38" i="46"/>
  <c r="Q39" i="46"/>
  <c r="R39" i="46"/>
  <c r="Q40" i="46"/>
  <c r="R40" i="46"/>
  <c r="Q41" i="46"/>
  <c r="R41" i="46"/>
  <c r="Q42" i="46"/>
  <c r="R42" i="46"/>
  <c r="Q43" i="46"/>
  <c r="R43" i="46"/>
  <c r="Q44" i="46"/>
  <c r="R44" i="46"/>
  <c r="Q45" i="46"/>
  <c r="R45" i="46"/>
  <c r="Q46" i="46"/>
  <c r="R46" i="46"/>
  <c r="Q47" i="46"/>
  <c r="R47" i="46"/>
  <c r="Q48" i="46"/>
  <c r="R48" i="46"/>
  <c r="Q49" i="46"/>
  <c r="R49" i="46"/>
  <c r="Q50" i="46"/>
  <c r="R50" i="46"/>
  <c r="Q51" i="46"/>
  <c r="R51" i="46"/>
  <c r="Q52" i="46"/>
  <c r="R52" i="46"/>
  <c r="Q53" i="46"/>
  <c r="R53" i="46"/>
  <c r="Q54" i="46"/>
  <c r="R54" i="46"/>
  <c r="Q55" i="46"/>
  <c r="R55" i="46"/>
  <c r="Q56" i="46"/>
  <c r="R56" i="46"/>
  <c r="Q57" i="46"/>
  <c r="R57" i="46"/>
  <c r="Q58" i="46"/>
  <c r="R58" i="46"/>
  <c r="Q59" i="46"/>
  <c r="R59" i="46"/>
  <c r="Q60" i="46"/>
  <c r="R60" i="46"/>
  <c r="Q61" i="46"/>
  <c r="R61" i="46"/>
  <c r="Q62" i="46"/>
  <c r="R62" i="46"/>
  <c r="Q63" i="46"/>
  <c r="R63" i="46"/>
  <c r="Q64" i="46"/>
  <c r="R64" i="46"/>
  <c r="Q65" i="46"/>
  <c r="R65" i="46"/>
  <c r="Q66" i="46"/>
  <c r="R66" i="46"/>
  <c r="Q67" i="46"/>
  <c r="R67" i="46"/>
  <c r="Q68" i="46"/>
  <c r="R68" i="46"/>
  <c r="Q69" i="46"/>
  <c r="R69" i="46"/>
  <c r="Q70" i="46"/>
  <c r="R70" i="46"/>
  <c r="Q71" i="46"/>
  <c r="R71" i="46"/>
  <c r="Q72" i="46"/>
  <c r="R72" i="46"/>
  <c r="Q73" i="46"/>
  <c r="R73" i="46"/>
  <c r="Q74" i="46"/>
  <c r="R74" i="46"/>
  <c r="Q75" i="46"/>
  <c r="R75" i="46"/>
  <c r="Q76" i="46"/>
  <c r="R76" i="46"/>
  <c r="Q77" i="46"/>
  <c r="R77" i="46"/>
  <c r="Q78" i="46"/>
  <c r="R78" i="46"/>
  <c r="Q79" i="46"/>
  <c r="R79" i="46"/>
  <c r="Q80" i="46"/>
  <c r="R80" i="46"/>
  <c r="Q81" i="46"/>
  <c r="R81" i="46"/>
  <c r="Q82" i="46"/>
  <c r="R82" i="46"/>
  <c r="Q83" i="46"/>
  <c r="R83" i="46"/>
  <c r="Q84" i="46"/>
  <c r="R84" i="46"/>
  <c r="Q85" i="46"/>
  <c r="R85" i="46"/>
  <c r="Q86" i="46"/>
  <c r="R86" i="46"/>
  <c r="Q87" i="46"/>
  <c r="R87" i="46"/>
  <c r="Q88" i="46"/>
  <c r="R88" i="46"/>
  <c r="Q89" i="46"/>
  <c r="R89" i="46"/>
  <c r="Q90" i="46"/>
  <c r="R90" i="46"/>
  <c r="Q91" i="46"/>
  <c r="R91" i="46"/>
  <c r="Q92" i="46"/>
  <c r="R92" i="46"/>
  <c r="Q93" i="46"/>
  <c r="R93" i="46"/>
  <c r="Q94" i="46"/>
  <c r="R94" i="46"/>
  <c r="Q95" i="46"/>
  <c r="R95" i="46"/>
  <c r="Q96" i="46"/>
  <c r="R96" i="46"/>
  <c r="Q97" i="46"/>
  <c r="R97" i="46"/>
  <c r="Q98" i="46"/>
  <c r="R98" i="46"/>
  <c r="Q99" i="46"/>
  <c r="R99" i="46"/>
  <c r="Q100" i="46"/>
  <c r="R100" i="46"/>
  <c r="Q101" i="46"/>
  <c r="R101" i="46"/>
  <c r="Q102" i="46"/>
  <c r="R102" i="46"/>
  <c r="Q103" i="46"/>
  <c r="R103" i="46"/>
  <c r="Q104" i="46"/>
  <c r="R104" i="46"/>
  <c r="Q28" i="39"/>
  <c r="R28" i="39"/>
  <c r="Q29" i="39"/>
  <c r="R29" i="39"/>
  <c r="Q30" i="39"/>
  <c r="R30" i="39"/>
  <c r="Q31" i="39"/>
  <c r="R31" i="39"/>
  <c r="Q32" i="39"/>
  <c r="R32" i="39"/>
  <c r="Q33" i="39"/>
  <c r="R33" i="39"/>
  <c r="Q34" i="39"/>
  <c r="R34" i="39"/>
  <c r="Q35" i="39"/>
  <c r="R35" i="39"/>
  <c r="Q36" i="39"/>
  <c r="R36" i="39"/>
  <c r="Q37" i="39"/>
  <c r="R37" i="39"/>
  <c r="Q38" i="39"/>
  <c r="R38" i="39"/>
  <c r="Q39" i="39"/>
  <c r="R39" i="39"/>
  <c r="Q40" i="39"/>
  <c r="R40" i="39"/>
  <c r="Q41" i="39"/>
  <c r="R41" i="39"/>
  <c r="Q42" i="39"/>
  <c r="R42" i="39"/>
  <c r="Q43" i="39"/>
  <c r="R43" i="39"/>
  <c r="Q44" i="39"/>
  <c r="R44" i="39"/>
  <c r="Q45" i="39"/>
  <c r="R45" i="39"/>
  <c r="Q46" i="39"/>
  <c r="R46" i="39"/>
  <c r="Q47" i="39"/>
  <c r="R47" i="39"/>
  <c r="Q48" i="39"/>
  <c r="R48" i="39"/>
  <c r="Q49" i="39"/>
  <c r="R49" i="39"/>
  <c r="Q50" i="39"/>
  <c r="R50" i="39"/>
  <c r="Q51" i="39"/>
  <c r="R51" i="39"/>
  <c r="Q52" i="39"/>
  <c r="R52" i="39"/>
  <c r="Q53" i="39"/>
  <c r="R53" i="39"/>
  <c r="Q54" i="39"/>
  <c r="R54" i="39"/>
  <c r="Q55" i="39"/>
  <c r="R55" i="39"/>
  <c r="Q56" i="39"/>
  <c r="R56" i="39"/>
  <c r="Q57" i="39"/>
  <c r="R57" i="39"/>
  <c r="Q58" i="39"/>
  <c r="R58" i="39"/>
  <c r="Q59" i="39"/>
  <c r="R59" i="39"/>
  <c r="Q60" i="39"/>
  <c r="R60" i="39"/>
  <c r="Q61" i="39"/>
  <c r="R61" i="39"/>
  <c r="Q62" i="39"/>
  <c r="R62" i="39"/>
  <c r="Q63" i="39"/>
  <c r="R63" i="39"/>
  <c r="Q64" i="39"/>
  <c r="R64" i="39"/>
  <c r="Q65" i="39"/>
  <c r="R65" i="39"/>
  <c r="Q66" i="39"/>
  <c r="R66" i="39"/>
  <c r="Q67" i="39"/>
  <c r="R67" i="39"/>
  <c r="Q68" i="39"/>
  <c r="R68" i="39"/>
  <c r="Q69" i="39"/>
  <c r="R69" i="39"/>
  <c r="Q70" i="39"/>
  <c r="R70" i="39"/>
  <c r="Q71" i="39"/>
  <c r="R71" i="39"/>
  <c r="Q72" i="39"/>
  <c r="R72" i="39"/>
  <c r="Q73" i="39"/>
  <c r="R73" i="39"/>
  <c r="Q74" i="39"/>
  <c r="R74" i="39"/>
  <c r="Q75" i="39"/>
  <c r="R75" i="39"/>
  <c r="Q76" i="39"/>
  <c r="R76" i="39"/>
  <c r="Q77" i="39"/>
  <c r="R77" i="39"/>
  <c r="Q78" i="39"/>
  <c r="R78" i="39"/>
  <c r="Q79" i="39"/>
  <c r="R79" i="39"/>
  <c r="Q80" i="39"/>
  <c r="R80" i="39"/>
  <c r="Q81" i="39"/>
  <c r="R81" i="39"/>
  <c r="Q82" i="39"/>
  <c r="R82" i="39"/>
  <c r="Q83" i="39"/>
  <c r="R83" i="39"/>
  <c r="Q84" i="39"/>
  <c r="R84" i="39"/>
  <c r="Q85" i="39"/>
  <c r="R85" i="39"/>
  <c r="Q86" i="39"/>
  <c r="R86" i="39"/>
  <c r="Q87" i="39"/>
  <c r="R87" i="39"/>
  <c r="Q88" i="39"/>
  <c r="R88" i="39"/>
  <c r="Q89" i="39"/>
  <c r="R89" i="39"/>
  <c r="Q90" i="39"/>
  <c r="R90" i="39"/>
  <c r="Q91" i="39"/>
  <c r="R91" i="39"/>
  <c r="Q92" i="39"/>
  <c r="R92" i="39"/>
  <c r="Q93" i="39"/>
  <c r="R93" i="39"/>
  <c r="Q94" i="39"/>
  <c r="R94" i="39"/>
  <c r="Q95" i="39"/>
  <c r="R95" i="39"/>
  <c r="Q96" i="39"/>
  <c r="R96" i="39"/>
  <c r="Q97" i="39"/>
  <c r="R97" i="39"/>
  <c r="Q98" i="39"/>
  <c r="R98" i="39"/>
  <c r="Q99" i="39"/>
  <c r="R99" i="39"/>
  <c r="Q100" i="39"/>
  <c r="R100" i="39"/>
  <c r="Q101" i="39"/>
  <c r="R101" i="39"/>
  <c r="Q102" i="39"/>
  <c r="R102" i="39"/>
  <c r="Q103" i="39"/>
  <c r="R103" i="39"/>
  <c r="Q104" i="39"/>
  <c r="R104" i="39"/>
  <c r="Q28" i="47"/>
  <c r="R28" i="47"/>
  <c r="Q29" i="47"/>
  <c r="R29" i="47"/>
  <c r="Q30" i="47"/>
  <c r="R30" i="47"/>
  <c r="Q31" i="47"/>
  <c r="R31" i="47"/>
  <c r="Q32" i="47"/>
  <c r="R32" i="47"/>
  <c r="Q33" i="47"/>
  <c r="R33" i="47"/>
  <c r="Q34" i="47"/>
  <c r="R34" i="47"/>
  <c r="Q35" i="47"/>
  <c r="R35" i="47"/>
  <c r="Q36" i="47"/>
  <c r="R36" i="47"/>
  <c r="Q37" i="47"/>
  <c r="R37" i="47"/>
  <c r="Q38" i="47"/>
  <c r="R38" i="47"/>
  <c r="Q39" i="47"/>
  <c r="R39" i="47"/>
  <c r="Q40" i="47"/>
  <c r="R40" i="47"/>
  <c r="Q41" i="47"/>
  <c r="R41" i="47"/>
  <c r="Q42" i="47"/>
  <c r="R42" i="47"/>
  <c r="Q43" i="47"/>
  <c r="R43" i="47"/>
  <c r="Q44" i="47"/>
  <c r="R44" i="47"/>
  <c r="Q45" i="47"/>
  <c r="R45" i="47"/>
  <c r="Q46" i="47"/>
  <c r="R46" i="47"/>
  <c r="Q47" i="47"/>
  <c r="R47" i="47"/>
  <c r="Q48" i="47"/>
  <c r="R48" i="47"/>
  <c r="Q49" i="47"/>
  <c r="R49" i="47"/>
  <c r="Q50" i="47"/>
  <c r="R50" i="47"/>
  <c r="Q51" i="47"/>
  <c r="R51" i="47"/>
  <c r="Q52" i="47"/>
  <c r="R52" i="47"/>
  <c r="Q53" i="47"/>
  <c r="R53" i="47"/>
  <c r="Q54" i="47"/>
  <c r="R54" i="47"/>
  <c r="Q55" i="47"/>
  <c r="R55" i="47"/>
  <c r="Q56" i="47"/>
  <c r="R56" i="47"/>
  <c r="Q57" i="47"/>
  <c r="R57" i="47"/>
  <c r="Q58" i="47"/>
  <c r="R58" i="47"/>
  <c r="Q59" i="47"/>
  <c r="R59" i="47"/>
  <c r="Q60" i="47"/>
  <c r="R60" i="47"/>
  <c r="Q61" i="47"/>
  <c r="R61" i="47"/>
  <c r="Q62" i="47"/>
  <c r="R62" i="47"/>
  <c r="Q63" i="47"/>
  <c r="R63" i="47"/>
  <c r="Q64" i="47"/>
  <c r="R64" i="47"/>
  <c r="Q65" i="47"/>
  <c r="R65" i="47"/>
  <c r="Q66" i="47"/>
  <c r="R66" i="47"/>
  <c r="Q67" i="47"/>
  <c r="R67" i="47"/>
  <c r="Q68" i="47"/>
  <c r="R68" i="47"/>
  <c r="Q69" i="47"/>
  <c r="R69" i="47"/>
  <c r="Q70" i="47"/>
  <c r="R70" i="47"/>
  <c r="Q71" i="47"/>
  <c r="R71" i="47"/>
  <c r="Q72" i="47"/>
  <c r="R72" i="47"/>
  <c r="Q73" i="47"/>
  <c r="R73" i="47"/>
  <c r="Q74" i="47"/>
  <c r="R74" i="47"/>
  <c r="Q75" i="47"/>
  <c r="R75" i="47"/>
  <c r="Q76" i="47"/>
  <c r="R76" i="47"/>
  <c r="Q77" i="47"/>
  <c r="R77" i="47"/>
  <c r="Q78" i="47"/>
  <c r="R78" i="47"/>
  <c r="Q79" i="47"/>
  <c r="R79" i="47"/>
  <c r="Q80" i="47"/>
  <c r="R80" i="47"/>
  <c r="Q81" i="47"/>
  <c r="R81" i="47"/>
  <c r="Q82" i="47"/>
  <c r="R82" i="47"/>
  <c r="Q83" i="47"/>
  <c r="R83" i="47"/>
  <c r="Q84" i="47"/>
  <c r="R84" i="47"/>
  <c r="Q85" i="47"/>
  <c r="R85" i="47"/>
  <c r="Q86" i="47"/>
  <c r="R86" i="47"/>
  <c r="Q87" i="47"/>
  <c r="R87" i="47"/>
  <c r="Q88" i="47"/>
  <c r="R88" i="47"/>
  <c r="Q89" i="47"/>
  <c r="R89" i="47"/>
  <c r="Q90" i="47"/>
  <c r="R90" i="47"/>
  <c r="Q91" i="47"/>
  <c r="R91" i="47"/>
  <c r="Q92" i="47"/>
  <c r="R92" i="47"/>
  <c r="Q93" i="47"/>
  <c r="R93" i="47"/>
  <c r="Q94" i="47"/>
  <c r="R94" i="47"/>
  <c r="Q95" i="47"/>
  <c r="R95" i="47"/>
  <c r="Q96" i="47"/>
  <c r="R96" i="47"/>
  <c r="Q97" i="47"/>
  <c r="R97" i="47"/>
  <c r="Q98" i="47"/>
  <c r="R98" i="47"/>
  <c r="Q99" i="47"/>
  <c r="R99" i="47"/>
  <c r="Q100" i="47"/>
  <c r="R100" i="47"/>
  <c r="Q101" i="47"/>
  <c r="R101" i="47"/>
  <c r="Q102" i="47"/>
  <c r="R102" i="47"/>
  <c r="Q103" i="47"/>
  <c r="R103" i="47"/>
  <c r="Q104" i="47"/>
  <c r="R104" i="47"/>
  <c r="T5" i="45"/>
  <c r="U5" i="45"/>
  <c r="Z5" i="45"/>
  <c r="AA5" i="45"/>
  <c r="T6" i="45"/>
  <c r="U6" i="45"/>
  <c r="Z6" i="45"/>
  <c r="AA6" i="45"/>
  <c r="T7" i="45"/>
  <c r="U7" i="45"/>
  <c r="Z7" i="45"/>
  <c r="AA7" i="45"/>
  <c r="T8" i="45"/>
  <c r="U8" i="45"/>
  <c r="Z8" i="45"/>
  <c r="AA8" i="45"/>
  <c r="T9" i="45"/>
  <c r="U9" i="45"/>
  <c r="Z9" i="45"/>
  <c r="AA9" i="45"/>
  <c r="T10" i="45"/>
  <c r="U10" i="45"/>
  <c r="Z10" i="45"/>
  <c r="AA10" i="45"/>
  <c r="T11" i="45"/>
  <c r="U11" i="45"/>
  <c r="Z11" i="45"/>
  <c r="AA11" i="45"/>
  <c r="T5" i="37"/>
  <c r="U5" i="37"/>
  <c r="Z5" i="37"/>
  <c r="AA5" i="37"/>
  <c r="T6" i="37"/>
  <c r="U6" i="37"/>
  <c r="Z6" i="37"/>
  <c r="AA6" i="37"/>
  <c r="T7" i="37"/>
  <c r="U7" i="37"/>
  <c r="Z7" i="37"/>
  <c r="AA7" i="37"/>
  <c r="T8" i="37"/>
  <c r="U8" i="37"/>
  <c r="Z8" i="37"/>
  <c r="AA8" i="37"/>
  <c r="T9" i="37"/>
  <c r="U9" i="37"/>
  <c r="Z9" i="37"/>
  <c r="AA9" i="37"/>
  <c r="T10" i="37"/>
  <c r="U10" i="37"/>
  <c r="Z10" i="37"/>
  <c r="AA10" i="37"/>
  <c r="T11" i="37"/>
  <c r="U11" i="37"/>
  <c r="Z11" i="37"/>
  <c r="AA11" i="37"/>
  <c r="T5" i="46"/>
  <c r="U5" i="46"/>
  <c r="Z5" i="46"/>
  <c r="AA5" i="46"/>
  <c r="T6" i="46"/>
  <c r="U6" i="46"/>
  <c r="Z6" i="46"/>
  <c r="AA6" i="46"/>
  <c r="T7" i="46"/>
  <c r="U7" i="46"/>
  <c r="Z7" i="46"/>
  <c r="AA7" i="46"/>
  <c r="T8" i="46"/>
  <c r="U8" i="46"/>
  <c r="Z8" i="46"/>
  <c r="AA8" i="46"/>
  <c r="T9" i="46"/>
  <c r="U9" i="46"/>
  <c r="Z9" i="46"/>
  <c r="AA9" i="46"/>
  <c r="T10" i="46"/>
  <c r="U10" i="46"/>
  <c r="Z10" i="46"/>
  <c r="AA10" i="46"/>
  <c r="T11" i="46"/>
  <c r="U11" i="46"/>
  <c r="Z11" i="46"/>
  <c r="AA11" i="46"/>
  <c r="T5" i="39"/>
  <c r="U5" i="39"/>
  <c r="Z5" i="39"/>
  <c r="AA5" i="39"/>
  <c r="T6" i="39"/>
  <c r="U6" i="39"/>
  <c r="Z6" i="39"/>
  <c r="AA6" i="39"/>
  <c r="T7" i="39"/>
  <c r="U7" i="39"/>
  <c r="Z7" i="39"/>
  <c r="AA7" i="39"/>
  <c r="T8" i="39"/>
  <c r="U8" i="39"/>
  <c r="Z8" i="39"/>
  <c r="AA8" i="39"/>
  <c r="T9" i="39"/>
  <c r="U9" i="39"/>
  <c r="Z9" i="39"/>
  <c r="AA9" i="39"/>
  <c r="T10" i="39"/>
  <c r="U10" i="39"/>
  <c r="Z10" i="39"/>
  <c r="AA10" i="39"/>
  <c r="T11" i="39"/>
  <c r="U11" i="39"/>
  <c r="Z11" i="39"/>
  <c r="AA11" i="39"/>
  <c r="T5" i="47"/>
  <c r="U5" i="47"/>
  <c r="Z5" i="47"/>
  <c r="AA5" i="47"/>
  <c r="T6" i="47"/>
  <c r="U6" i="47"/>
  <c r="Z6" i="47"/>
  <c r="AA6" i="47"/>
  <c r="T7" i="47"/>
  <c r="U7" i="47"/>
  <c r="Z7" i="47"/>
  <c r="AA7" i="47"/>
  <c r="T8" i="47"/>
  <c r="U8" i="47"/>
  <c r="Z8" i="47"/>
  <c r="AA8" i="47"/>
  <c r="T9" i="47"/>
  <c r="U9" i="47"/>
  <c r="Z9" i="47"/>
  <c r="AA9" i="47"/>
  <c r="T10" i="47"/>
  <c r="U10" i="47"/>
  <c r="Z10" i="47"/>
  <c r="AA10" i="47"/>
  <c r="T11" i="47"/>
  <c r="U11" i="47"/>
  <c r="Z11" i="47"/>
  <c r="AA11" i="47"/>
</calcChain>
</file>

<file path=xl/sharedStrings.xml><?xml version="1.0" encoding="utf-8"?>
<sst xmlns="http://schemas.openxmlformats.org/spreadsheetml/2006/main" count="718" uniqueCount="422">
  <si>
    <t>cycle</t>
  </si>
  <si>
    <t>Well</t>
  </si>
  <si>
    <t>ARF cost</t>
  </si>
  <si>
    <t>RHD cost</t>
  </si>
  <si>
    <t>HF cost</t>
  </si>
  <si>
    <t>Sum cost</t>
  </si>
  <si>
    <t>Disc cost</t>
  </si>
  <si>
    <t>Discount</t>
  </si>
  <si>
    <t>name</t>
  </si>
  <si>
    <t>base</t>
  </si>
  <si>
    <t>low</t>
  </si>
  <si>
    <t>high</t>
  </si>
  <si>
    <t>SEM</t>
  </si>
  <si>
    <t>Transition probabilities</t>
  </si>
  <si>
    <t>distribution</t>
  </si>
  <si>
    <t>Variable description</t>
  </si>
  <si>
    <t>Discount rate</t>
  </si>
  <si>
    <t>Irlam 2013; see also Tibazarwa 2008 for plausible range for Africa</t>
  </si>
  <si>
    <t>Case-fatality rate from ARF (first episode)</t>
  </si>
  <si>
    <t>Irlam 2013</t>
  </si>
  <si>
    <t>beta</t>
  </si>
  <si>
    <t>ARF</t>
  </si>
  <si>
    <t>gamma</t>
  </si>
  <si>
    <t>Disability weight, ARF</t>
  </si>
  <si>
    <t>Disability weight, RHD</t>
  </si>
  <si>
    <t>Disability weight, chronic HF</t>
  </si>
  <si>
    <t>Healthcare costs</t>
  </si>
  <si>
    <t>disc</t>
  </si>
  <si>
    <t>wRM</t>
  </si>
  <si>
    <t>wRH</t>
  </si>
  <si>
    <t>wRS</t>
  </si>
  <si>
    <t>Objective:</t>
  </si>
  <si>
    <t>To assess tradeoffs between prevention and surgical strategies for ARF/RHD</t>
  </si>
  <si>
    <t>Model:</t>
  </si>
  <si>
    <t>Time-dependent Markov process</t>
  </si>
  <si>
    <t>Inputs:</t>
  </si>
  <si>
    <t>Interventions:</t>
  </si>
  <si>
    <t>Design:</t>
  </si>
  <si>
    <t>Time horizon:</t>
  </si>
  <si>
    <t>Primary prevention</t>
  </si>
  <si>
    <t>Risk reduction from primary prevention</t>
  </si>
  <si>
    <t>Risk reduction from secondary prevention</t>
  </si>
  <si>
    <t>rPP</t>
  </si>
  <si>
    <t>rSP</t>
  </si>
  <si>
    <t>rVS</t>
  </si>
  <si>
    <t>cARF</t>
  </si>
  <si>
    <t>cRH</t>
  </si>
  <si>
    <t>cPP</t>
  </si>
  <si>
    <t>cSP</t>
  </si>
  <si>
    <t>cSS</t>
  </si>
  <si>
    <t>cRM</t>
  </si>
  <si>
    <t>cRS</t>
  </si>
  <si>
    <t>wAR</t>
  </si>
  <si>
    <t>Check</t>
  </si>
  <si>
    <t>discount</t>
  </si>
  <si>
    <t>Effectiveness parameters</t>
  </si>
  <si>
    <t>Intervention costs</t>
  </si>
  <si>
    <t>DALYs, no disc</t>
  </si>
  <si>
    <t>DALYs, disc</t>
  </si>
  <si>
    <t>HEALTH OUTCOMES (UNIQUE TO EACH TRACE)</t>
  </si>
  <si>
    <t>MEDICAL COSTS (UNIQUE TO EACH TRACE)</t>
  </si>
  <si>
    <t>Costs, no disc</t>
  </si>
  <si>
    <t>Costs, disc</t>
  </si>
  <si>
    <t>http://www.theeastafrican.co.ke/news/Tanzania-to-save--2bn-with-new-heart-treatment-centre-/-/2558/2001834/-/14xd373z/-/index.html, http://www.akdn.org/architecture/pdf/Salam%20Cardiac%20Surgery%20Centre.pdf</t>
  </si>
  <si>
    <t>All costs are given as yearly costs over 10 years</t>
  </si>
  <si>
    <t>No discount</t>
  </si>
  <si>
    <t>Secondary Prevention</t>
  </si>
  <si>
    <t>best guess (= 2x risk of first attack)</t>
  </si>
  <si>
    <t>Stroke and AF</t>
  </si>
  <si>
    <t>RHD (secondary prevention)</t>
  </si>
  <si>
    <t>Disability weight, stroke</t>
  </si>
  <si>
    <t>Feigin 2009 (weak data - avg early CFR for ischemic stroke 2008-2009 in LMIC)</t>
  </si>
  <si>
    <t>Gunther 2006 (Ethiopia yearly RHD mortality)</t>
  </si>
  <si>
    <t>Severe HF</t>
  </si>
  <si>
    <t>Stroke</t>
  </si>
  <si>
    <t>YLD - RHD</t>
  </si>
  <si>
    <t>YLD - HF</t>
  </si>
  <si>
    <t>Stroke cost</t>
  </si>
  <si>
    <t>Remission cost</t>
  </si>
  <si>
    <t>Remission (secondary prevention)</t>
  </si>
  <si>
    <t>cRFR</t>
  </si>
  <si>
    <t>Surgery</t>
  </si>
  <si>
    <t>Baseline surgical coverage rate</t>
  </si>
  <si>
    <t>Post-intervention surgical coverage rate</t>
  </si>
  <si>
    <t>surg1</t>
  </si>
  <si>
    <t>surg2</t>
  </si>
  <si>
    <t>HFstr</t>
  </si>
  <si>
    <t>assumption (check literature and local epi)</t>
  </si>
  <si>
    <t>1 - Proportion of strokes related to HF</t>
  </si>
  <si>
    <t>Scale up coverage of primary prevention</t>
  </si>
  <si>
    <t>Scale up coverage of secondary prevention</t>
  </si>
  <si>
    <t>Scenario</t>
  </si>
  <si>
    <t>For each scenario, the final costs and outcomes will be a weighted average of medical and surgical intervention coverage, e.g.:</t>
  </si>
  <si>
    <t>change to 0 and 0.06 in sensitivity analyses</t>
  </si>
  <si>
    <t>Data source(s) and notes</t>
  </si>
  <si>
    <t>Working values for transition probabilities</t>
  </si>
  <si>
    <t>Baseline primary prevention coverage rate</t>
  </si>
  <si>
    <t>Post-intervention primary prevention coverage rate</t>
  </si>
  <si>
    <t>prim1</t>
  </si>
  <si>
    <t>prim2</t>
  </si>
  <si>
    <t>Baseline secondary prevention coverage rate</t>
  </si>
  <si>
    <t>Post-intervention secondary prevention coverage rate</t>
  </si>
  <si>
    <t>Primary ARF</t>
  </si>
  <si>
    <t>ARF recurrence</t>
  </si>
  <si>
    <t>Remission from surgery</t>
  </si>
  <si>
    <t>secn1</t>
  </si>
  <si>
    <t>secn2</t>
  </si>
  <si>
    <t>nqx, 1-4</t>
  </si>
  <si>
    <t>nqx, 5-9</t>
  </si>
  <si>
    <t>nqx, 10-14</t>
  </si>
  <si>
    <t>nqx, 15-19</t>
  </si>
  <si>
    <t>nqx, 20-24</t>
  </si>
  <si>
    <t>nqx, 25-29</t>
  </si>
  <si>
    <t>nqx, 30-34</t>
  </si>
  <si>
    <t>nqx, 35-39</t>
  </si>
  <si>
    <t>nqx, 40-44</t>
  </si>
  <si>
    <t>nqx, 45-49</t>
  </si>
  <si>
    <t>nqx, 50-54</t>
  </si>
  <si>
    <t>nqx, 55-59</t>
  </si>
  <si>
    <t>nqx, 60-64</t>
  </si>
  <si>
    <t>nqx, 65-69</t>
  </si>
  <si>
    <t>nqx, 70-74</t>
  </si>
  <si>
    <t>nqx, 75-79</t>
  </si>
  <si>
    <t>nqx, 80-84</t>
  </si>
  <si>
    <t>nqx, 85-89</t>
  </si>
  <si>
    <t>nqx, 90-94</t>
  </si>
  <si>
    <t>nqx, 95-99</t>
  </si>
  <si>
    <t>ex, 1-4</t>
  </si>
  <si>
    <t>ex, 5-9</t>
  </si>
  <si>
    <t>ex, 10-14</t>
  </si>
  <si>
    <t>ex, 15-19</t>
  </si>
  <si>
    <t>ex, 20-24</t>
  </si>
  <si>
    <t>ex, 25-29</t>
  </si>
  <si>
    <t>ex, 30-34</t>
  </si>
  <si>
    <t>ex, 35-39</t>
  </si>
  <si>
    <t>ex, 40-44</t>
  </si>
  <si>
    <t>ex, 45-49</t>
  </si>
  <si>
    <t>ex, 50-54</t>
  </si>
  <si>
    <t>ex, 55-59</t>
  </si>
  <si>
    <t>ex, 60-64</t>
  </si>
  <si>
    <t>ex, 65-69</t>
  </si>
  <si>
    <t>ex, 70-74</t>
  </si>
  <si>
    <t>ex, 75-79</t>
  </si>
  <si>
    <t>ex, 80-84</t>
  </si>
  <si>
    <t>ex, 85-89</t>
  </si>
  <si>
    <t>ex, 90-94</t>
  </si>
  <si>
    <t>ex, 95-99</t>
  </si>
  <si>
    <t>ex, 100+</t>
  </si>
  <si>
    <t>nqx, 100+</t>
  </si>
  <si>
    <t>Life table</t>
  </si>
  <si>
    <t>trace value *</t>
  </si>
  <si>
    <t>* asssume probability is equally distributed over the 5-year interval</t>
  </si>
  <si>
    <t>FIXED PARAMETERS (SPECIFIC TO SCENARIO)</t>
  </si>
  <si>
    <t>STATE PROBABILITIES</t>
  </si>
  <si>
    <t>log-norm</t>
  </si>
  <si>
    <t>YLD - ARF</t>
  </si>
  <si>
    <t>Prog cost, no disc</t>
  </si>
  <si>
    <t>Med cost, no disc</t>
  </si>
  <si>
    <t>Med cost, disc</t>
  </si>
  <si>
    <t>Prog cost, disc</t>
  </si>
  <si>
    <t>Total cost, no disc</t>
  </si>
  <si>
    <t>Total cost, disc</t>
  </si>
  <si>
    <t>DALYs averted</t>
  </si>
  <si>
    <t>Change in cost</t>
  </si>
  <si>
    <t>no discount</t>
  </si>
  <si>
    <r>
      <t xml:space="preserve">Primary prevention reduces the probability of transitioning from </t>
    </r>
    <r>
      <rPr>
        <b/>
        <sz val="12"/>
        <color theme="6" tint="-0.249977111117893"/>
        <rFont val="Calibri"/>
        <family val="2"/>
        <scheme val="minor"/>
      </rPr>
      <t>Well</t>
    </r>
    <r>
      <rPr>
        <sz val="12"/>
        <color theme="1"/>
        <rFont val="Calibri"/>
        <family val="2"/>
        <scheme val="minor"/>
      </rPr>
      <t xml:space="preserve"> to </t>
    </r>
    <r>
      <rPr>
        <b/>
        <sz val="12"/>
        <color theme="8" tint="-0.249977111117893"/>
        <rFont val="Calibri"/>
        <family val="2"/>
        <scheme val="minor"/>
      </rPr>
      <t>ARF - primary</t>
    </r>
  </si>
  <si>
    <r>
      <t xml:space="preserve">Valve surgery increases the probability of transitioning from </t>
    </r>
    <r>
      <rPr>
        <b/>
        <sz val="12"/>
        <color theme="5" tint="-0.249977111117893"/>
        <rFont val="Calibri"/>
        <family val="2"/>
        <scheme val="minor"/>
      </rPr>
      <t>Severe HF</t>
    </r>
    <r>
      <rPr>
        <sz val="12"/>
        <color theme="1"/>
        <rFont val="Calibri"/>
        <family val="2"/>
        <scheme val="minor"/>
      </rPr>
      <t xml:space="preserve"> to </t>
    </r>
    <r>
      <rPr>
        <b/>
        <sz val="12"/>
        <color theme="7" tint="-0.249977111117893"/>
        <rFont val="Calibri"/>
        <family val="2"/>
        <scheme val="minor"/>
      </rPr>
      <t>RHD</t>
    </r>
    <r>
      <rPr>
        <sz val="12"/>
        <color theme="1"/>
        <rFont val="Calibri"/>
        <family val="2"/>
        <scheme val="minor"/>
      </rPr>
      <t xml:space="preserve"> (i.e., increased "remission" rate, consistent with GBD models)</t>
    </r>
  </si>
  <si>
    <t>Dirichlet</t>
  </si>
  <si>
    <t>Scenario 1 - scale up primary prevention</t>
  </si>
  <si>
    <t>Scenario 2 - scale up secondary prevention</t>
  </si>
  <si>
    <t>popsize</t>
  </si>
  <si>
    <r>
      <t>Scenario 1</t>
    </r>
    <r>
      <rPr>
        <sz val="12"/>
        <color theme="1"/>
        <rFont val="Calibri"/>
        <family val="2"/>
        <scheme val="minor"/>
      </rPr>
      <t xml:space="preserve"> (scale primary)</t>
    </r>
  </si>
  <si>
    <r>
      <t>Scenario 2</t>
    </r>
    <r>
      <rPr>
        <sz val="12"/>
        <color theme="1"/>
        <rFont val="Calibri"/>
        <family val="2"/>
        <scheme val="minor"/>
      </rPr>
      <t xml:space="preserve"> (scale secondary)</t>
    </r>
  </si>
  <si>
    <t>probabilistic</t>
  </si>
  <si>
    <t>live</t>
  </si>
  <si>
    <t>Probabilistic Analysis (No = 0, Yes = 1)</t>
  </si>
  <si>
    <t>fixed (0.03)</t>
  </si>
  <si>
    <t>-</t>
  </si>
  <si>
    <t>Net monetary benefits</t>
  </si>
  <si>
    <t>Cost-effective?</t>
  </si>
  <si>
    <t>Cost Effectiveness Acceptability Curves</t>
  </si>
  <si>
    <t>Trial</t>
  </si>
  <si>
    <t>Probability intervention is cost-effective</t>
  </si>
  <si>
    <t>mean</t>
  </si>
  <si>
    <t>lower</t>
  </si>
  <si>
    <t>upper</t>
  </si>
  <si>
    <t>Number of Monte Carlo simulations</t>
  </si>
  <si>
    <t>Perform USA on...? (1 = Incremental Costs; 2 = DALYs averted; 3 = ICER)</t>
  </si>
  <si>
    <t>Variable</t>
  </si>
  <si>
    <t>rhdprv</t>
  </si>
  <si>
    <t>rhdsrg</t>
  </si>
  <si>
    <t>25% of Cuba costs (Watkins 2014) -- in a sensitivity analysis, multiply these costs x 10</t>
  </si>
  <si>
    <t>75% of Cuba costs (Watkins 2014) -- in a sensitivity analysis, multiply these costs x 9</t>
  </si>
  <si>
    <t>** do not edit directly -- calculated from inputs tab **</t>
  </si>
  <si>
    <t>Scale up coverage of heart valve surgery*</t>
  </si>
  <si>
    <t>average age of primary RF</t>
  </si>
  <si>
    <t>average age of secondary RF</t>
  </si>
  <si>
    <t>average age of RHD</t>
  </si>
  <si>
    <t>rf1age</t>
  </si>
  <si>
    <t>rf2age</t>
  </si>
  <si>
    <t>rhdage</t>
  </si>
  <si>
    <t>Scenario 3 - increase access to surgery</t>
  </si>
  <si>
    <r>
      <t>Scenario 3</t>
    </r>
    <r>
      <rPr>
        <sz val="12"/>
        <color theme="1"/>
        <rFont val="Calibri"/>
        <family val="2"/>
        <scheme val="minor"/>
      </rPr>
      <t xml:space="preserve"> (scale valve surgery)</t>
    </r>
  </si>
  <si>
    <t>Scenario 3 (scale valve surgery)</t>
  </si>
  <si>
    <t>Scenario 2 (scale secondary)</t>
  </si>
  <si>
    <t>Scenario 1 (scale primary)</t>
  </si>
  <si>
    <t>pA1_1a</t>
  </si>
  <si>
    <t>pA2_1a</t>
  </si>
  <si>
    <t>pVS_1a</t>
  </si>
  <si>
    <t>pA1_2a</t>
  </si>
  <si>
    <t>pA2_2a</t>
  </si>
  <si>
    <t>pVS_2a</t>
  </si>
  <si>
    <t>pA1_3a</t>
  </si>
  <si>
    <t>pA2_3a</t>
  </si>
  <si>
    <t>pVS_3a</t>
  </si>
  <si>
    <t>ante</t>
  </si>
  <si>
    <t>post</t>
  </si>
  <si>
    <t>pA1_1p</t>
  </si>
  <si>
    <t>pA2_1p</t>
  </si>
  <si>
    <t>pVS_1p</t>
  </si>
  <si>
    <t>pA1_2p</t>
  </si>
  <si>
    <t>pA2_2p</t>
  </si>
  <si>
    <t>pVS_2p</t>
  </si>
  <si>
    <t>pA1_3p</t>
  </si>
  <si>
    <t>pA2_3p</t>
  </si>
  <si>
    <t>pVS_3p</t>
  </si>
  <si>
    <t>difference</t>
  </si>
  <si>
    <t xml:space="preserve">In Scenario 3, we could scale up access to valve surgery from 10% to 90%, and </t>
  </si>
  <si>
    <t>"current practice" coverage of primary and secondary prevention would remain constant; hence:</t>
  </si>
  <si>
    <t>Valve surgery TP "ante" = 90% * (remission rate without surgery) + 10% * (remission rate with surgery)</t>
  </si>
  <si>
    <t>Valve surgery TP "post" = 10% * (remission rate without surgery) + 90% * (remission rate with surgery)</t>
  </si>
  <si>
    <t>The interventions affect the Markov trace (ante vs post intervention) in each scenario in the following manner:</t>
  </si>
  <si>
    <r>
      <t xml:space="preserve">Secondary prevention reduces the probabilities of transitioning from </t>
    </r>
    <r>
      <rPr>
        <b/>
        <sz val="12"/>
        <color theme="8" tint="-0.249977111117893"/>
        <rFont val="Calibri"/>
        <family val="2"/>
        <scheme val="minor"/>
      </rPr>
      <t>ARF - remission</t>
    </r>
    <r>
      <rPr>
        <sz val="12"/>
        <color theme="1"/>
        <rFont val="Calibri"/>
        <family val="2"/>
        <scheme val="minor"/>
      </rPr>
      <t xml:space="preserve"> to </t>
    </r>
    <r>
      <rPr>
        <b/>
        <sz val="12"/>
        <color theme="8" tint="-0.249977111117893"/>
        <rFont val="Calibri"/>
        <family val="2"/>
        <scheme val="minor"/>
      </rPr>
      <t>ARF - recurrence</t>
    </r>
  </si>
  <si>
    <t>Prevalence of children with history of RF</t>
  </si>
  <si>
    <t>rfprv</t>
  </si>
  <si>
    <t>Prevalence of RHD in children/adolescents</t>
  </si>
  <si>
    <t>Lifetime risk of surgery in RHD</t>
  </si>
  <si>
    <t>ICER</t>
  </si>
  <si>
    <t>inflation</t>
  </si>
  <si>
    <t>Education - providers</t>
  </si>
  <si>
    <t>Administration</t>
  </si>
  <si>
    <t>M&amp;E</t>
  </si>
  <si>
    <t>Secondary prevention</t>
  </si>
  <si>
    <t>Education - community</t>
  </si>
  <si>
    <t>Case-finding</t>
  </si>
  <si>
    <t>TOTAL</t>
  </si>
  <si>
    <t>CPI from World Bank</t>
  </si>
  <si>
    <t>infl</t>
  </si>
  <si>
    <t>gdppc</t>
  </si>
  <si>
    <t>hexp</t>
  </si>
  <si>
    <t>per case</t>
  </si>
  <si>
    <t>Capital cost of facility</t>
  </si>
  <si>
    <t>Useful life of facility</t>
  </si>
  <si>
    <t>Scrap value of facility</t>
  </si>
  <si>
    <t>Present value of scrap</t>
  </si>
  <si>
    <t>Annuity factor</t>
  </si>
  <si>
    <t>Annual capital cost</t>
  </si>
  <si>
    <t>Annual operating cost</t>
  </si>
  <si>
    <t>Surgical operations</t>
  </si>
  <si>
    <t>Surgical capital cost</t>
  </si>
  <si>
    <t>srgyrly</t>
  </si>
  <si>
    <t>Anticipated yearly volume of surgical center (# pts)</t>
  </si>
  <si>
    <t>Total population at risk (children aged 5-24)</t>
  </si>
  <si>
    <t>Primary prevention component, no disc</t>
  </si>
  <si>
    <t>Secondary prevention component, no disc</t>
  </si>
  <si>
    <t>Scale up of surgery, no disc</t>
  </si>
  <si>
    <t>Primary prevention component, disc</t>
  </si>
  <si>
    <t>Secondary prevention component, disc</t>
  </si>
  <si>
    <t>Scale up of surgery, disc</t>
  </si>
  <si>
    <t>cPPd</t>
  </si>
  <si>
    <t>cSPd</t>
  </si>
  <si>
    <t>cSSd</t>
  </si>
  <si>
    <r>
      <t xml:space="preserve">Coverage rates </t>
    </r>
    <r>
      <rPr>
        <sz val="12"/>
        <color theme="1"/>
        <rFont val="Calibri"/>
        <family val="2"/>
        <scheme val="minor"/>
      </rPr>
      <t>(local literature/pilot data, expert opinion)</t>
    </r>
  </si>
  <si>
    <r>
      <t>Health system and financing inputs</t>
    </r>
    <r>
      <rPr>
        <sz val="12"/>
        <color theme="1"/>
        <rFont val="Calibri"/>
        <family val="2"/>
        <scheme val="minor"/>
      </rPr>
      <t xml:space="preserve"> (WHO GHO; World Bank)</t>
    </r>
  </si>
  <si>
    <t>http://adc.bmj.com/content/85/3/223.full - Australia RF ages</t>
  </si>
  <si>
    <t>assume 10% decay p.a. in risk after oldest observed age…</t>
  </si>
  <si>
    <t>Scenario 1 (discounted)</t>
  </si>
  <si>
    <t>Scenario 2 (discounted)</t>
  </si>
  <si>
    <t>Scenario 3 (discounted)</t>
  </si>
  <si>
    <t>Costs ante</t>
  </si>
  <si>
    <t>DALYs ante</t>
  </si>
  <si>
    <t>Costs post</t>
  </si>
  <si>
    <t>DALYs post</t>
  </si>
  <si>
    <t>Scenario 1 ICER</t>
  </si>
  <si>
    <t>D Cost</t>
  </si>
  <si>
    <t>D DALY</t>
  </si>
  <si>
    <t>Scenario 2 ICER</t>
  </si>
  <si>
    <t>Scenario 3 ICER</t>
  </si>
  <si>
    <t>Scen 1</t>
  </si>
  <si>
    <t>Scen 2</t>
  </si>
  <si>
    <t>Scen 3</t>
  </si>
  <si>
    <t>Max WTP</t>
  </si>
  <si>
    <t>Primary</t>
  </si>
  <si>
    <t>Secondary</t>
  </si>
  <si>
    <t>Scen 1 - low</t>
  </si>
  <si>
    <t>Scen 1 - high</t>
  </si>
  <si>
    <t>Scen 1 - range</t>
  </si>
  <si>
    <t>Scen 2 - low</t>
  </si>
  <si>
    <t>Scen 2 - high</t>
  </si>
  <si>
    <t>Scen 2 - range</t>
  </si>
  <si>
    <t>Scen 3 - low</t>
  </si>
  <si>
    <t>Scen 3 - high</t>
  </si>
  <si>
    <t>Scen 3 - range</t>
  </si>
  <si>
    <t>Live values for USA</t>
  </si>
  <si>
    <t>CSM + BGM</t>
  </si>
  <si>
    <t>Increase in HLE</t>
  </si>
  <si>
    <t>Complement (1-all the above) - Probability of remission (from ARF first episode)</t>
  </si>
  <si>
    <t>Complement (1-all the above) -  Probability of remission (from ARF recurrence)</t>
  </si>
  <si>
    <t>Case-fatality rate from ARF recurrence</t>
  </si>
  <si>
    <t>Calculated</t>
  </si>
  <si>
    <t>Check dirichlet sums</t>
  </si>
  <si>
    <t>alpha/posterior sample size</t>
  </si>
  <si>
    <t>beta/lambda/gamma or normal CDF (for dirichlets)</t>
  </si>
  <si>
    <t>Probability of ARF (first episode) - cycles 5-14 only</t>
  </si>
  <si>
    <t>Probability of progression to RHD (ARF first episode)</t>
  </si>
  <si>
    <t>Probability of progression to RHD (ARF recurrence)</t>
  </si>
  <si>
    <t>Probability of death given stroke</t>
  </si>
  <si>
    <t>Probability of 1st Episode ARF</t>
  </si>
  <si>
    <t>Probability of progression to severe RHD (from mild RHD)</t>
  </si>
  <si>
    <t>Probability of developing AF and stroke (from mild RHD)</t>
  </si>
  <si>
    <t>Complement probability of remaining with mild RHD</t>
  </si>
  <si>
    <t>Probability of death (from severe RHD)</t>
  </si>
  <si>
    <t>Complement probability of remaining in severe RHD</t>
  </si>
  <si>
    <t>pWell_ARF1</t>
  </si>
  <si>
    <t>pARF1_Death</t>
  </si>
  <si>
    <t>pRemission_ARF2</t>
  </si>
  <si>
    <t>pARF2_Death</t>
  </si>
  <si>
    <t>pARF2_RHDMild</t>
  </si>
  <si>
    <t>pARF1_RHDMild</t>
  </si>
  <si>
    <t>cpARF2_Remission</t>
  </si>
  <si>
    <t>pRHDMild_RHDSevere</t>
  </si>
  <si>
    <t>pRHDMild_Stroke</t>
  </si>
  <si>
    <t>cpRHDMild_RHDMild</t>
  </si>
  <si>
    <t>Chance of remission to mild RHD (from severe RHD)</t>
  </si>
  <si>
    <t>pRHDSevere_RHDMild</t>
  </si>
  <si>
    <t>pRHDSevere_Death</t>
  </si>
  <si>
    <t>cpRHDSevere_RHDSevere</t>
  </si>
  <si>
    <t>pStroke_Death</t>
  </si>
  <si>
    <t>Remaining LE</t>
  </si>
  <si>
    <t>BG mortality</t>
  </si>
  <si>
    <t>Cycle number</t>
  </si>
  <si>
    <t>ARF1 Risk</t>
  </si>
  <si>
    <t>ARF2 Risk</t>
  </si>
  <si>
    <t>Surgery effect</t>
  </si>
  <si>
    <t>ARF1</t>
  </si>
  <si>
    <t>ARF2</t>
  </si>
  <si>
    <t>Remission</t>
  </si>
  <si>
    <t>RHDMild</t>
  </si>
  <si>
    <t>RHDSevere</t>
  </si>
  <si>
    <t>Death</t>
  </si>
  <si>
    <t>YLL (total)</t>
  </si>
  <si>
    <t>YLD - Stroke</t>
  </si>
  <si>
    <t>Sum DALYs</t>
  </si>
  <si>
    <t>Disc DALYs</t>
  </si>
  <si>
    <t>cpARF1_Remission</t>
  </si>
  <si>
    <t>Robertson et al 2005 systematic review</t>
  </si>
  <si>
    <t>Manyemba and Mayosi 2002 systematic review (quoting Padmavati 1973)</t>
  </si>
  <si>
    <t>Geldenhuys 2012 (MVR 10-year freedom from valve-related mortality)</t>
  </si>
  <si>
    <t>GBD 2013 (health state #359, severe acute infection)</t>
  </si>
  <si>
    <t>GBD 2013 (health state #381, mild HF)</t>
  </si>
  <si>
    <t>GBD 2013 (health state #383, severe HF)</t>
  </si>
  <si>
    <t>GBD 2013 (health state #385, moderate stroke)</t>
  </si>
  <si>
    <t>Probability of ARF (recurrence)</t>
  </si>
  <si>
    <t>assumption driven primarily by surgical effiacy, GBD RHD models</t>
  </si>
  <si>
    <t>Michaud 1999 (yearly tp from 41% lifetime risk), similar to GBD 2013 'excess risk'</t>
  </si>
  <si>
    <t>Sliwa 2010 (weak data - assuming 10% lifetime risk and median age 43 at dx)</t>
  </si>
  <si>
    <t>yearly costs</t>
  </si>
  <si>
    <t>Yr 1</t>
  </si>
  <si>
    <t>Yr 2</t>
  </si>
  <si>
    <t>Yr 3</t>
  </si>
  <si>
    <t>Yr 4</t>
  </si>
  <si>
    <t>Yr 5</t>
  </si>
  <si>
    <t>Willingness to pay (US$ per DALY averted)</t>
  </si>
  <si>
    <t>Watkins 2015</t>
  </si>
  <si>
    <t>best guess (&lt; Watkins 2015)</t>
  </si>
  <si>
    <t>PHC+PCN cost, Watkins 2015</t>
  </si>
  <si>
    <t>cost of hospitalization, Watkins 2015</t>
  </si>
  <si>
    <t>Probability of remission after valve surgery</t>
  </si>
  <si>
    <t>Hewitson 2010, "first infection"</t>
  </si>
  <si>
    <t>Hewitson 2010, "subsequent infections"</t>
  </si>
  <si>
    <t>Hewitson 2010, "subsequent infections" (assume annual probability of GAS = 15%)</t>
  </si>
  <si>
    <t>Surgical services</t>
  </si>
  <si>
    <t>Lifetime per capita PP</t>
  </si>
  <si>
    <t>Lifetime per capita SP</t>
  </si>
  <si>
    <t>Lifetime per capita VS</t>
  </si>
  <si>
    <t>Inputs to model</t>
  </si>
  <si>
    <t>--------------------------------------------------------------------------------------------------------------------------------------------------------</t>
  </si>
  <si>
    <t>COSTING WORKSHEET</t>
  </si>
  <si>
    <t>INSTRUCTIONS: Fill in the costs for PP, SP, and VS in the worksheet below. The calculation of lifetime costs and discounting are done automatically.</t>
  </si>
  <si>
    <t>Alternatively, the advanced user can create his/her own worksheet. If this is done, please program the sheet so that the final lifetime costs are sent to the boxes directly below, which feed into the main model and PSA/USA.</t>
  </si>
  <si>
    <t xml:space="preserve">INSTRUCTIONS: These parameters are fixed and specific to each local context. They are not part of the PSA/USA. </t>
  </si>
  <si>
    <t>The analyst should enter plausible values for his/her country. If there is major uncertainty in any particular parameter, change the value and re-run the entire model.</t>
  </si>
  <si>
    <t>Country average yearly inflation rate</t>
  </si>
  <si>
    <t>Country GDP per capita</t>
  </si>
  <si>
    <t>Per capita government expenditure on health</t>
  </si>
  <si>
    <t>INSTRUCTIONS: This sheet provides results for the base case scenarios including outcomes, costs, and ICERs (both discounted and undiscounted).</t>
  </si>
  <si>
    <t>The "league table" below contains the main results: ICERs for each of the three scenarios. The discounted scenario also pullse 95% credible intervals from the PSA, if it has been done.</t>
  </si>
  <si>
    <t>LEAGUE TABLE</t>
  </si>
  <si>
    <t>POPULATION IMPACTS (discounted)</t>
  </si>
  <si>
    <t>An additional table is provided below the league table that calculates crude population impact for comparative purposes.</t>
  </si>
  <si>
    <t>A cost-effectiveness tool to guide priorities for rheumatic fever and rheumatic heart disease control in African nations</t>
  </si>
  <si>
    <t>Cost-utility analysis from the healthcare system perspective</t>
  </si>
  <si>
    <t>Lifetime for both costs and outcomes (though program costs may have a shorter horizon)</t>
  </si>
  <si>
    <t>Scale-up of coverage rates for primary prevention (PP), secondary prevention (SP), and heart valvue surgery (VS)</t>
  </si>
  <si>
    <t>See "Model inputs," "Other parameters," and "Program costs" tabs for relevant inputs. Defaults are provided. Data sources include prior literature, REMEDY registry data, and local expert opinion and cost data</t>
  </si>
  <si>
    <t>The Markov model on the left is replicated in three different scenarios:</t>
  </si>
  <si>
    <t>* for a given country, the costs and outcome inputs for surgery should be a weighted average of all common surgical procedures for RHD (e.g., mitral repair, replacement, etc.)</t>
  </si>
  <si>
    <t>Note: if more than one type of program is being considered (e.g., building a surgical center vs. increasing international referrals for VS; active vs. passive case-finding for SP),</t>
  </si>
  <si>
    <t xml:space="preserve">           the model can be run more than once with different assumptions on coverage rates and program costs for any given scenario.</t>
  </si>
  <si>
    <r>
      <t xml:space="preserve">Population parameters for Markov traces </t>
    </r>
    <r>
      <rPr>
        <sz val="12"/>
        <color rgb="FF000000"/>
        <rFont val="Calibri"/>
        <family val="2"/>
        <scheme val="minor"/>
      </rPr>
      <t>(WHO/UN Pop; local literature or GBD)</t>
    </r>
  </si>
  <si>
    <t xml:space="preserve">INSTRUCTIONS: Generally, this sheet should NOT be altered except by the advanced analyst with good empirical reasons to change the epidemiological inputs. </t>
  </si>
  <si>
    <t>The "intervention costs" are fed from the "Program costs" worksheet whereas healthcare costs are PER STATE-YEAR and input directly here.</t>
  </si>
  <si>
    <t>total DALYs</t>
  </si>
  <si>
    <t>averted</t>
  </si>
  <si>
    <t>annual DALYs</t>
  </si>
  <si>
    <t>as % GHEpc</t>
  </si>
  <si>
    <t>ratio : GDPpc</t>
  </si>
  <si>
    <t>incremental cost</t>
  </si>
  <si>
    <t>(total)</t>
  </si>
  <si>
    <t>(per capita-year)</t>
  </si>
  <si>
    <t>ICER - lower CI</t>
  </si>
  <si>
    <t>ICER - upper CI</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</si>
</sst>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7" formatCode="&quot;$&quot;#,##0.00_);\(&quot;$&quot;#,##0.00\)"/>
    <numFmt numFmtId="44" formatCode="_(&quot;$&quot;* #,##0.00_);_(&quot;$&quot;* \(#,##0.00\);_(&quot;$&quot;* &quot;-&quot;??_);_(@_)"/>
    <numFmt numFmtId="164" formatCode="&quot;$&quot;#,##0.00"/>
    <numFmt numFmtId="165" formatCode="0.000"/>
    <numFmt numFmtId="166" formatCode="0.000000"/>
    <numFmt numFmtId="167" formatCode="0.00000"/>
    <numFmt numFmtId="168" formatCode="0.0000"/>
    <numFmt numFmtId="169" formatCode="&quot;$&quot;#,##0"/>
    <numFmt numFmtId="170" formatCode="_(&quot;$&quot;* #,##0_);_(&quot;$&quot;* \(#,##0\);_(&quot;$&quot;* &quot;-&quot;??_);_(@_)"/>
    <numFmt numFmtId="171" formatCode="0.0%"/>
  </numFmts>
  <fonts count="20" x14ac:knownFonts="1">
    <font>
      <sz val="12"/>
      <color theme="1"/>
      <name val="Calibri"/>
      <family val="2"/>
      <scheme val="minor"/>
    </font>
    <font>
      <u/>
      <sz val="12"/>
      <color theme="10"/>
      <name val="Calibri"/>
      <family val="2"/>
      <scheme val="minor"/>
    </font>
    <font>
      <u/>
      <sz val="12"/>
      <color theme="11"/>
      <name val="Calibri"/>
      <family val="2"/>
      <scheme val="minor"/>
    </font>
    <font>
      <sz val="12"/>
      <color theme="1"/>
      <name val="Calibri"/>
      <family val="2"/>
      <scheme val="minor"/>
    </font>
    <font>
      <i/>
      <sz val="12"/>
      <color theme="1"/>
      <name val="Calibri"/>
      <family val="2"/>
      <scheme val="minor"/>
    </font>
    <font>
      <b/>
      <sz val="12"/>
      <color theme="1"/>
      <name val="Calibri"/>
      <family val="2"/>
      <scheme val="minor"/>
    </font>
    <font>
      <sz val="12"/>
      <color rgb="FFFF0000"/>
      <name val="Calibri"/>
      <family val="2"/>
      <scheme val="minor"/>
    </font>
    <font>
      <sz val="12"/>
      <color rgb="FF000000"/>
      <name val="Calibri"/>
      <family val="2"/>
      <scheme val="minor"/>
    </font>
    <font>
      <b/>
      <sz val="12"/>
      <color rgb="FF000000"/>
      <name val="Calibri"/>
      <family val="2"/>
      <scheme val="minor"/>
    </font>
    <font>
      <b/>
      <i/>
      <sz val="12"/>
      <color theme="1"/>
      <name val="Calibri"/>
      <family val="2"/>
      <scheme val="minor"/>
    </font>
    <font>
      <b/>
      <sz val="12"/>
      <color theme="6" tint="-0.249977111117893"/>
      <name val="Calibri"/>
      <family val="2"/>
      <scheme val="minor"/>
    </font>
    <font>
      <b/>
      <sz val="12"/>
      <color theme="8" tint="-0.249977111117893"/>
      <name val="Calibri"/>
      <family val="2"/>
      <scheme val="minor"/>
    </font>
    <font>
      <b/>
      <sz val="12"/>
      <color theme="5" tint="-0.249977111117893"/>
      <name val="Calibri"/>
      <family val="2"/>
      <scheme val="minor"/>
    </font>
    <font>
      <b/>
      <sz val="12"/>
      <color theme="7" tint="-0.249977111117893"/>
      <name val="Calibri"/>
      <family val="2"/>
      <scheme val="minor"/>
    </font>
    <font>
      <b/>
      <sz val="12"/>
      <color rgb="FFFF0000"/>
      <name val="Calibri"/>
      <family val="2"/>
      <scheme val="minor"/>
    </font>
    <font>
      <b/>
      <i/>
      <sz val="12"/>
      <color rgb="FF000000"/>
      <name val="Calibri"/>
      <family val="2"/>
      <scheme val="minor"/>
    </font>
    <font>
      <sz val="12"/>
      <color rgb="FF000000"/>
      <name val="Calibri"/>
      <family val="2"/>
    </font>
    <font>
      <sz val="12"/>
      <name val="Calibri"/>
      <family val="2"/>
      <scheme val="minor"/>
    </font>
    <font>
      <sz val="10"/>
      <name val="Arial"/>
    </font>
    <font>
      <b/>
      <sz val="18"/>
      <color rgb="FFFF0000"/>
      <name val="Arial"/>
    </font>
  </fonts>
  <fills count="10">
    <fill>
      <patternFill patternType="none"/>
    </fill>
    <fill>
      <patternFill patternType="gray125"/>
    </fill>
    <fill>
      <patternFill patternType="solid">
        <fgColor theme="0" tint="-0.14999847407452621"/>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theme="2"/>
        <bgColor indexed="64"/>
      </patternFill>
    </fill>
    <fill>
      <patternFill patternType="solid">
        <fgColor theme="0"/>
        <bgColor indexed="64"/>
      </patternFill>
    </fill>
    <fill>
      <patternFill patternType="solid">
        <fgColor theme="2"/>
        <bgColor rgb="FF000000"/>
      </patternFill>
    </fill>
  </fills>
  <borders count="13">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rgb="FF000000"/>
      </right>
      <top style="thin">
        <color auto="1"/>
      </top>
      <bottom style="thin">
        <color auto="1"/>
      </bottom>
      <diagonal/>
    </border>
  </borders>
  <cellStyleXfs count="8712">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44" fontId="3" fillId="0" borderId="0" applyFon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9" fontId="3" fillId="0" borderId="0" applyFon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8" fillId="0" borderId="7">
      <alignment vertical="top"/>
    </xf>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291">
    <xf numFmtId="0" fontId="0" fillId="0" borderId="0" xfId="0"/>
    <xf numFmtId="0" fontId="0" fillId="0" borderId="1" xfId="0" applyBorder="1"/>
    <xf numFmtId="0" fontId="0" fillId="0" borderId="2" xfId="0" applyBorder="1"/>
    <xf numFmtId="0" fontId="5" fillId="0" borderId="0" xfId="0" applyFont="1"/>
    <xf numFmtId="0" fontId="0" fillId="0" borderId="0" xfId="0" applyAlignment="1">
      <alignment horizontal="center"/>
    </xf>
    <xf numFmtId="164" fontId="0" fillId="0" borderId="5" xfId="0" applyNumberFormat="1" applyBorder="1" applyAlignment="1">
      <alignment horizontal="center"/>
    </xf>
    <xf numFmtId="164" fontId="0" fillId="0" borderId="7" xfId="0" applyNumberFormat="1" applyBorder="1" applyAlignment="1">
      <alignment horizontal="center"/>
    </xf>
    <xf numFmtId="164" fontId="0" fillId="0" borderId="0" xfId="0" applyNumberFormat="1" applyAlignment="1">
      <alignment horizontal="center"/>
    </xf>
    <xf numFmtId="164" fontId="0" fillId="0" borderId="0" xfId="0" applyNumberFormat="1" applyBorder="1" applyAlignment="1">
      <alignment horizontal="center"/>
    </xf>
    <xf numFmtId="1" fontId="0" fillId="0" borderId="0" xfId="0" applyNumberFormat="1" applyAlignment="1">
      <alignment horizontal="center"/>
    </xf>
    <xf numFmtId="169" fontId="0" fillId="0" borderId="0" xfId="0" applyNumberFormat="1" applyAlignment="1">
      <alignment horizontal="center"/>
    </xf>
    <xf numFmtId="0" fontId="0" fillId="0" borderId="11" xfId="0" applyBorder="1"/>
    <xf numFmtId="0" fontId="0" fillId="0" borderId="1" xfId="0"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164" fontId="0" fillId="0" borderId="3" xfId="0" applyNumberFormat="1" applyBorder="1" applyAlignment="1">
      <alignment horizontal="center"/>
    </xf>
    <xf numFmtId="164" fontId="0" fillId="0" borderId="4" xfId="0" applyNumberFormat="1" applyBorder="1" applyAlignment="1">
      <alignment horizontal="center"/>
    </xf>
    <xf numFmtId="164" fontId="0" fillId="0" borderId="6" xfId="0" applyNumberFormat="1"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0" xfId="0" applyBorder="1"/>
    <xf numFmtId="0" fontId="0" fillId="0" borderId="9" xfId="0" applyBorder="1" applyAlignment="1">
      <alignment horizontal="center"/>
    </xf>
    <xf numFmtId="2" fontId="0" fillId="0" borderId="0" xfId="0" applyNumberFormat="1" applyAlignment="1">
      <alignment horizontal="center"/>
    </xf>
    <xf numFmtId="164" fontId="5" fillId="0" borderId="0" xfId="0" applyNumberFormat="1" applyFont="1" applyAlignment="1">
      <alignment horizontal="center"/>
    </xf>
    <xf numFmtId="0" fontId="0" fillId="0" borderId="0" xfId="0" applyAlignment="1">
      <alignment horizontal="center"/>
    </xf>
    <xf numFmtId="0" fontId="14" fillId="0" borderId="0" xfId="0" applyFont="1"/>
    <xf numFmtId="0" fontId="0" fillId="0" borderId="0" xfId="0" applyAlignment="1">
      <alignment horizontal="center"/>
    </xf>
    <xf numFmtId="0" fontId="0" fillId="4" borderId="0" xfId="0" applyFill="1"/>
    <xf numFmtId="0" fontId="0" fillId="4" borderId="0" xfId="0" applyFill="1" applyAlignment="1">
      <alignment horizontal="center"/>
    </xf>
    <xf numFmtId="0" fontId="0" fillId="5" borderId="0" xfId="0" applyFill="1"/>
    <xf numFmtId="0" fontId="0" fillId="5" borderId="0" xfId="0" applyFill="1" applyAlignment="1">
      <alignment horizontal="center"/>
    </xf>
    <xf numFmtId="0" fontId="0" fillId="0" borderId="0" xfId="0" applyFill="1"/>
    <xf numFmtId="0" fontId="9" fillId="4" borderId="0" xfId="0" applyFont="1" applyFill="1" applyAlignment="1">
      <alignment horizontal="center"/>
    </xf>
    <xf numFmtId="0" fontId="5" fillId="0" borderId="0" xfId="0" quotePrefix="1" applyFont="1"/>
    <xf numFmtId="0" fontId="0" fillId="7" borderId="0" xfId="0" applyFill="1"/>
    <xf numFmtId="0" fontId="14" fillId="7" borderId="0" xfId="0" applyFont="1" applyFill="1"/>
    <xf numFmtId="164" fontId="0" fillId="7" borderId="0" xfId="0" applyNumberFormat="1" applyFont="1" applyFill="1" applyAlignment="1">
      <alignment horizontal="center"/>
    </xf>
    <xf numFmtId="0" fontId="5" fillId="2" borderId="1" xfId="0" applyFont="1" applyFill="1" applyBorder="1" applyProtection="1"/>
    <xf numFmtId="0" fontId="6" fillId="2" borderId="11" xfId="0" applyFont="1" applyFill="1" applyBorder="1" applyAlignment="1" applyProtection="1">
      <alignment horizontal="left"/>
    </xf>
    <xf numFmtId="0" fontId="0" fillId="2" borderId="11" xfId="0" applyFill="1" applyBorder="1" applyProtection="1"/>
    <xf numFmtId="0" fontId="0" fillId="2" borderId="2" xfId="0" applyFill="1" applyBorder="1" applyProtection="1"/>
    <xf numFmtId="0" fontId="14" fillId="2" borderId="3" xfId="0" applyFont="1" applyFill="1" applyBorder="1" applyProtection="1"/>
    <xf numFmtId="0" fontId="6" fillId="2" borderId="0" xfId="0" applyFont="1" applyFill="1" applyBorder="1" applyAlignment="1" applyProtection="1">
      <alignment horizontal="left"/>
    </xf>
    <xf numFmtId="0" fontId="0" fillId="2" borderId="0" xfId="0" applyFill="1" applyBorder="1" applyProtection="1"/>
    <xf numFmtId="0" fontId="0" fillId="2" borderId="4" xfId="0" applyFill="1" applyBorder="1" applyProtection="1"/>
    <xf numFmtId="0" fontId="0" fillId="2" borderId="3" xfId="0" applyFill="1" applyBorder="1" applyProtection="1"/>
    <xf numFmtId="0" fontId="0" fillId="2" borderId="0" xfId="0" applyFill="1" applyBorder="1" applyAlignment="1" applyProtection="1">
      <alignment horizontal="center"/>
    </xf>
    <xf numFmtId="166" fontId="0" fillId="2" borderId="0" xfId="0" applyNumberFormat="1" applyFill="1" applyBorder="1" applyAlignment="1" applyProtection="1">
      <alignment horizontal="center"/>
    </xf>
    <xf numFmtId="0" fontId="4" fillId="2" borderId="3" xfId="0" applyFont="1" applyFill="1" applyBorder="1" applyProtection="1"/>
    <xf numFmtId="166" fontId="0" fillId="2" borderId="4" xfId="0" applyNumberFormat="1" applyFill="1" applyBorder="1" applyAlignment="1" applyProtection="1">
      <alignment horizontal="center"/>
    </xf>
    <xf numFmtId="0" fontId="0" fillId="2" borderId="5" xfId="0" applyFill="1" applyBorder="1" applyProtection="1"/>
    <xf numFmtId="0" fontId="0" fillId="2" borderId="6" xfId="0" applyFill="1" applyBorder="1" applyAlignment="1" applyProtection="1">
      <alignment horizontal="center"/>
    </xf>
    <xf numFmtId="166" fontId="0" fillId="2" borderId="6" xfId="0" applyNumberFormat="1" applyFill="1" applyBorder="1" applyAlignment="1" applyProtection="1">
      <alignment horizontal="center"/>
    </xf>
    <xf numFmtId="0" fontId="0" fillId="2" borderId="6" xfId="0" applyFill="1" applyBorder="1" applyProtection="1"/>
    <xf numFmtId="0" fontId="0" fillId="2" borderId="7" xfId="0" applyFill="1" applyBorder="1" applyProtection="1"/>
    <xf numFmtId="0" fontId="0" fillId="7" borderId="0" xfId="0" applyFill="1" applyAlignment="1">
      <alignment horizontal="center"/>
    </xf>
    <xf numFmtId="0" fontId="14" fillId="7" borderId="0" xfId="0" applyFont="1" applyFill="1" applyBorder="1"/>
    <xf numFmtId="0" fontId="0" fillId="7" borderId="0" xfId="0" applyFill="1" applyBorder="1" applyAlignment="1">
      <alignment horizontal="center"/>
    </xf>
    <xf numFmtId="0" fontId="0" fillId="7" borderId="0" xfId="0" applyFill="1" applyBorder="1"/>
    <xf numFmtId="0" fontId="5" fillId="7" borderId="0" xfId="0" applyFont="1" applyFill="1" applyBorder="1"/>
    <xf numFmtId="168" fontId="0" fillId="7" borderId="0" xfId="0" applyNumberFormat="1" applyFill="1" applyBorder="1" applyAlignment="1">
      <alignment horizontal="center"/>
    </xf>
    <xf numFmtId="0" fontId="9" fillId="7" borderId="0" xfId="0" applyFont="1" applyFill="1" applyAlignment="1">
      <alignment horizontal="center"/>
    </xf>
    <xf numFmtId="10" fontId="0" fillId="7" borderId="0" xfId="8494" applyNumberFormat="1" applyFont="1" applyFill="1"/>
    <xf numFmtId="0" fontId="4" fillId="7" borderId="0" xfId="0" applyFont="1" applyFill="1" applyBorder="1"/>
    <xf numFmtId="44" fontId="7" fillId="7" borderId="0" xfId="0" applyNumberFormat="1" applyFont="1" applyFill="1" applyBorder="1" applyAlignment="1">
      <alignment horizontal="left"/>
    </xf>
    <xf numFmtId="168" fontId="0" fillId="7" borderId="0" xfId="0" applyNumberFormat="1" applyFill="1" applyAlignment="1">
      <alignment horizontal="center"/>
    </xf>
    <xf numFmtId="44" fontId="0" fillId="7" borderId="0" xfId="0" applyNumberFormat="1" applyFill="1" applyAlignment="1">
      <alignment horizontal="center"/>
    </xf>
    <xf numFmtId="0" fontId="0" fillId="7" borderId="0" xfId="0" quotePrefix="1" applyFill="1" applyAlignment="1">
      <alignment horizontal="center"/>
    </xf>
    <xf numFmtId="168" fontId="0" fillId="5" borderId="0" xfId="0" quotePrefix="1" applyNumberFormat="1" applyFill="1" applyAlignment="1">
      <alignment horizontal="center"/>
    </xf>
    <xf numFmtId="168" fontId="0" fillId="5" borderId="0" xfId="0" applyNumberFormat="1" applyFill="1" applyAlignment="1">
      <alignment horizontal="center"/>
    </xf>
    <xf numFmtId="170" fontId="0" fillId="7" borderId="0" xfId="0" applyNumberFormat="1" applyFill="1"/>
    <xf numFmtId="1" fontId="0" fillId="7" borderId="0" xfId="0" applyNumberFormat="1" applyFill="1"/>
    <xf numFmtId="44" fontId="0" fillId="7" borderId="0" xfId="0" applyNumberFormat="1" applyFill="1"/>
    <xf numFmtId="1" fontId="0" fillId="4" borderId="0" xfId="0" applyNumberFormat="1" applyFill="1" applyAlignment="1">
      <alignment horizontal="center"/>
    </xf>
    <xf numFmtId="10" fontId="0" fillId="4" borderId="0" xfId="8494" applyNumberFormat="1" applyFont="1" applyFill="1" applyAlignment="1">
      <alignment horizontal="center"/>
    </xf>
    <xf numFmtId="0" fontId="5" fillId="7" borderId="0" xfId="0" applyFont="1" applyFill="1"/>
    <xf numFmtId="2" fontId="0" fillId="5" borderId="0" xfId="8494" applyNumberFormat="1" applyFont="1" applyFill="1" applyAlignment="1">
      <alignment horizontal="center"/>
    </xf>
    <xf numFmtId="0" fontId="0" fillId="8" borderId="0" xfId="0" applyFill="1" applyBorder="1"/>
    <xf numFmtId="0" fontId="5" fillId="8" borderId="0" xfId="0" applyFont="1" applyFill="1" applyBorder="1" applyAlignment="1">
      <alignment horizontal="center"/>
    </xf>
    <xf numFmtId="0" fontId="5" fillId="8" borderId="0" xfId="0" applyFont="1" applyFill="1" applyBorder="1"/>
    <xf numFmtId="0" fontId="0" fillId="8" borderId="0" xfId="0" applyFill="1" applyBorder="1" applyAlignment="1">
      <alignment horizontal="center"/>
    </xf>
    <xf numFmtId="0" fontId="4" fillId="8" borderId="0" xfId="0" applyFont="1" applyFill="1" applyBorder="1"/>
    <xf numFmtId="44" fontId="0" fillId="8" borderId="0" xfId="0" applyNumberFormat="1" applyFill="1" applyBorder="1" applyAlignment="1">
      <alignment horizontal="left"/>
    </xf>
    <xf numFmtId="168" fontId="0" fillId="8" borderId="0" xfId="0" applyNumberFormat="1" applyFill="1" applyBorder="1" applyAlignment="1">
      <alignment horizontal="center"/>
    </xf>
    <xf numFmtId="44" fontId="0" fillId="8" borderId="0" xfId="0" applyNumberFormat="1" applyFill="1" applyBorder="1"/>
    <xf numFmtId="44" fontId="5" fillId="8" borderId="0" xfId="0" applyNumberFormat="1" applyFont="1" applyFill="1" applyBorder="1" applyAlignment="1">
      <alignment horizontal="left"/>
    </xf>
    <xf numFmtId="168" fontId="5" fillId="8" borderId="0" xfId="0" applyNumberFormat="1" applyFont="1" applyFill="1" applyBorder="1" applyAlignment="1">
      <alignment horizontal="center"/>
    </xf>
    <xf numFmtId="2" fontId="5" fillId="8" borderId="0" xfId="0" applyNumberFormat="1" applyFont="1" applyFill="1" applyBorder="1" applyAlignment="1">
      <alignment horizontal="center"/>
    </xf>
    <xf numFmtId="44" fontId="8" fillId="8" borderId="0" xfId="0" applyNumberFormat="1" applyFont="1" applyFill="1" applyBorder="1" applyAlignment="1">
      <alignment horizontal="left"/>
    </xf>
    <xf numFmtId="2" fontId="0" fillId="8" borderId="0" xfId="0" applyNumberFormat="1" applyFill="1" applyBorder="1" applyAlignment="1">
      <alignment horizontal="center"/>
    </xf>
    <xf numFmtId="0" fontId="0" fillId="8" borderId="0" xfId="0" applyFill="1" applyBorder="1" applyAlignment="1">
      <alignment horizontal="left"/>
    </xf>
    <xf numFmtId="0" fontId="0" fillId="8" borderId="0" xfId="0" applyFont="1" applyFill="1" applyBorder="1"/>
    <xf numFmtId="0" fontId="5" fillId="8" borderId="1" xfId="0" applyFont="1" applyFill="1" applyBorder="1" applyProtection="1"/>
    <xf numFmtId="0" fontId="0" fillId="8" borderId="11" xfId="0" applyFill="1" applyBorder="1" applyProtection="1"/>
    <xf numFmtId="0" fontId="0" fillId="8" borderId="2" xfId="0" applyFill="1" applyBorder="1" applyProtection="1"/>
    <xf numFmtId="0" fontId="0" fillId="8" borderId="3" xfId="0" applyFill="1" applyBorder="1" applyProtection="1"/>
    <xf numFmtId="0" fontId="4" fillId="8" borderId="0" xfId="0" applyFont="1" applyFill="1" applyBorder="1" applyAlignment="1" applyProtection="1">
      <alignment horizontal="center"/>
    </xf>
    <xf numFmtId="0" fontId="4" fillId="8" borderId="4" xfId="0" applyFont="1" applyFill="1" applyBorder="1" applyAlignment="1" applyProtection="1">
      <alignment horizontal="center"/>
    </xf>
    <xf numFmtId="164" fontId="0" fillId="8" borderId="0" xfId="0" applyNumberFormat="1" applyFont="1" applyFill="1" applyBorder="1" applyAlignment="1" applyProtection="1">
      <alignment horizontal="center"/>
    </xf>
    <xf numFmtId="164" fontId="0" fillId="8" borderId="4" xfId="0" applyNumberFormat="1" applyFont="1" applyFill="1" applyBorder="1" applyAlignment="1" applyProtection="1">
      <alignment horizontal="center"/>
    </xf>
    <xf numFmtId="0" fontId="0" fillId="8" borderId="5" xfId="0" applyFill="1" applyBorder="1" applyProtection="1"/>
    <xf numFmtId="164" fontId="0" fillId="8" borderId="6" xfId="0" applyNumberFormat="1" applyFont="1" applyFill="1" applyBorder="1" applyAlignment="1" applyProtection="1">
      <alignment horizontal="center"/>
    </xf>
    <xf numFmtId="164" fontId="0" fillId="8" borderId="7" xfId="0" applyNumberFormat="1" applyFont="1" applyFill="1" applyBorder="1" applyAlignment="1" applyProtection="1">
      <alignment horizontal="center"/>
    </xf>
    <xf numFmtId="0" fontId="5" fillId="7" borderId="0" xfId="0" applyFont="1" applyFill="1" applyAlignment="1">
      <alignment horizontal="center"/>
    </xf>
    <xf numFmtId="164" fontId="5" fillId="7" borderId="0" xfId="0" applyNumberFormat="1" applyFont="1" applyFill="1" applyAlignment="1">
      <alignment horizontal="center"/>
    </xf>
    <xf numFmtId="0" fontId="8" fillId="8" borderId="1" xfId="0" applyFont="1" applyFill="1" applyBorder="1"/>
    <xf numFmtId="0" fontId="0" fillId="8" borderId="11" xfId="0" applyFill="1" applyBorder="1"/>
    <xf numFmtId="0" fontId="0" fillId="8" borderId="2" xfId="0" applyFill="1" applyBorder="1"/>
    <xf numFmtId="0" fontId="0" fillId="8" borderId="3" xfId="0" applyFill="1" applyBorder="1"/>
    <xf numFmtId="0" fontId="0" fillId="8" borderId="4" xfId="0" applyFill="1" applyBorder="1"/>
    <xf numFmtId="0" fontId="0" fillId="8" borderId="3" xfId="0" applyFont="1" applyFill="1" applyBorder="1"/>
    <xf numFmtId="1" fontId="0" fillId="8" borderId="4" xfId="0" applyNumberFormat="1" applyFill="1" applyBorder="1" applyAlignment="1" applyProtection="1">
      <alignment horizontal="center"/>
      <protection locked="0"/>
    </xf>
    <xf numFmtId="168" fontId="0" fillId="8" borderId="4" xfId="0" applyNumberFormat="1" applyFill="1" applyBorder="1" applyAlignment="1" applyProtection="1">
      <alignment horizontal="center"/>
      <protection locked="0"/>
    </xf>
    <xf numFmtId="0" fontId="0" fillId="8" borderId="4" xfId="0" applyFill="1" applyBorder="1" applyAlignment="1" applyProtection="1">
      <alignment horizontal="center"/>
      <protection locked="0"/>
    </xf>
    <xf numFmtId="165" fontId="0" fillId="8" borderId="4" xfId="0" applyNumberFormat="1" applyFill="1" applyBorder="1" applyAlignment="1" applyProtection="1">
      <alignment horizontal="center"/>
      <protection locked="0"/>
    </xf>
    <xf numFmtId="0" fontId="0" fillId="8" borderId="5" xfId="0" applyFont="1" applyFill="1" applyBorder="1"/>
    <xf numFmtId="0" fontId="0" fillId="8" borderId="6" xfId="0" applyFill="1" applyBorder="1" applyAlignment="1">
      <alignment horizontal="center"/>
    </xf>
    <xf numFmtId="0" fontId="6" fillId="7" borderId="0" xfId="0" applyFont="1" applyFill="1"/>
    <xf numFmtId="2" fontId="0" fillId="7" borderId="0" xfId="0" quotePrefix="1" applyNumberFormat="1" applyFill="1"/>
    <xf numFmtId="0" fontId="4" fillId="7" borderId="0" xfId="0" applyFont="1" applyFill="1"/>
    <xf numFmtId="0" fontId="0" fillId="7" borderId="0" xfId="0" applyFill="1" applyAlignment="1">
      <alignment horizontal="left"/>
    </xf>
    <xf numFmtId="0" fontId="7" fillId="7" borderId="0" xfId="0" applyFont="1" applyFill="1"/>
    <xf numFmtId="0" fontId="7" fillId="7" borderId="0" xfId="0" applyFont="1" applyFill="1" applyAlignment="1">
      <alignment horizontal="left"/>
    </xf>
    <xf numFmtId="164" fontId="0" fillId="7" borderId="0" xfId="0" applyNumberFormat="1" applyFill="1" applyAlignment="1">
      <alignment horizontal="center"/>
    </xf>
    <xf numFmtId="1" fontId="0" fillId="7" borderId="0" xfId="0" applyNumberFormat="1" applyFill="1" applyAlignment="1">
      <alignment horizontal="center"/>
    </xf>
    <xf numFmtId="165" fontId="0" fillId="7" borderId="0" xfId="0" applyNumberFormat="1" applyFill="1" applyAlignment="1">
      <alignment horizontal="center"/>
    </xf>
    <xf numFmtId="168" fontId="17" fillId="8" borderId="0" xfId="8685" applyNumberFormat="1" applyFont="1" applyFill="1" applyBorder="1" applyAlignment="1" applyProtection="1">
      <alignment horizontal="center" vertical="top"/>
      <protection locked="0"/>
    </xf>
    <xf numFmtId="1" fontId="17" fillId="8" borderId="4" xfId="8685" applyNumberFormat="1" applyFont="1" applyFill="1" applyBorder="1" applyAlignment="1" applyProtection="1">
      <alignment horizontal="center" vertical="top"/>
      <protection locked="0"/>
    </xf>
    <xf numFmtId="0" fontId="7" fillId="8" borderId="3" xfId="0" applyFont="1" applyFill="1" applyBorder="1"/>
    <xf numFmtId="0" fontId="7" fillId="8" borderId="0" xfId="0" applyFont="1" applyFill="1" applyBorder="1" applyAlignment="1">
      <alignment horizontal="left"/>
    </xf>
    <xf numFmtId="0" fontId="0" fillId="8" borderId="5" xfId="0" applyFill="1" applyBorder="1"/>
    <xf numFmtId="168" fontId="17" fillId="8" borderId="6" xfId="8685" applyNumberFormat="1" applyFont="1" applyFill="1" applyBorder="1" applyAlignment="1" applyProtection="1">
      <alignment horizontal="center" vertical="top"/>
      <protection locked="0"/>
    </xf>
    <xf numFmtId="168" fontId="0" fillId="8" borderId="6" xfId="0" applyNumberFormat="1" applyFill="1" applyBorder="1" applyAlignment="1">
      <alignment horizontal="center"/>
    </xf>
    <xf numFmtId="0" fontId="0" fillId="8" borderId="6" xfId="0" applyFill="1" applyBorder="1"/>
    <xf numFmtId="0" fontId="0" fillId="8" borderId="6" xfId="0" applyFill="1" applyBorder="1" applyAlignment="1">
      <alignment horizontal="left"/>
    </xf>
    <xf numFmtId="1" fontId="17" fillId="8" borderId="7" xfId="8685" applyNumberFormat="1" applyFont="1" applyFill="1" applyBorder="1" applyAlignment="1" applyProtection="1">
      <alignment horizontal="center" vertical="top"/>
      <protection locked="0"/>
    </xf>
    <xf numFmtId="0" fontId="5" fillId="8" borderId="1" xfId="0" applyFont="1" applyFill="1" applyBorder="1"/>
    <xf numFmtId="0" fontId="5" fillId="8" borderId="3" xfId="0" applyFont="1" applyFill="1" applyBorder="1"/>
    <xf numFmtId="0" fontId="4" fillId="8" borderId="3" xfId="0" applyFont="1" applyFill="1" applyBorder="1"/>
    <xf numFmtId="0" fontId="0" fillId="8" borderId="4" xfId="0" applyFill="1" applyBorder="1" applyAlignment="1">
      <alignment horizontal="center"/>
    </xf>
    <xf numFmtId="0" fontId="4" fillId="8" borderId="0" xfId="0" applyFont="1" applyFill="1" applyBorder="1" applyAlignment="1">
      <alignment horizontal="center"/>
    </xf>
    <xf numFmtId="0" fontId="4" fillId="8" borderId="4" xfId="0" applyFont="1" applyFill="1" applyBorder="1" applyAlignment="1">
      <alignment horizontal="center"/>
    </xf>
    <xf numFmtId="171" fontId="0" fillId="8" borderId="0" xfId="8494" applyNumberFormat="1" applyFont="1" applyFill="1" applyBorder="1" applyAlignment="1" applyProtection="1">
      <alignment horizontal="center"/>
      <protection locked="0"/>
    </xf>
    <xf numFmtId="0" fontId="0" fillId="8" borderId="0" xfId="0" applyFill="1" applyBorder="1" applyAlignment="1" applyProtection="1">
      <alignment horizontal="center"/>
      <protection locked="0"/>
    </xf>
    <xf numFmtId="169" fontId="17" fillId="8" borderId="0" xfId="0" applyNumberFormat="1" applyFont="1" applyFill="1" applyBorder="1" applyAlignment="1" applyProtection="1">
      <alignment horizontal="center"/>
      <protection locked="0"/>
    </xf>
    <xf numFmtId="0" fontId="0" fillId="8" borderId="0" xfId="0" applyFill="1" applyBorder="1" applyProtection="1">
      <protection locked="0"/>
    </xf>
    <xf numFmtId="0" fontId="0" fillId="8" borderId="4" xfId="0" applyFill="1" applyBorder="1" applyProtection="1">
      <protection locked="0"/>
    </xf>
    <xf numFmtId="169" fontId="0" fillId="8" borderId="6" xfId="71" applyNumberFormat="1" applyFont="1" applyFill="1" applyBorder="1" applyAlignment="1" applyProtection="1">
      <alignment horizontal="center"/>
      <protection locked="0"/>
    </xf>
    <xf numFmtId="0" fontId="0" fillId="8" borderId="6" xfId="0" applyFill="1" applyBorder="1" applyProtection="1">
      <protection locked="0"/>
    </xf>
    <xf numFmtId="0" fontId="0" fillId="8" borderId="7" xfId="0" applyFill="1" applyBorder="1" applyProtection="1">
      <protection locked="0"/>
    </xf>
    <xf numFmtId="0" fontId="0" fillId="8" borderId="11" xfId="0" applyFill="1" applyBorder="1" applyAlignment="1">
      <alignment horizontal="center"/>
    </xf>
    <xf numFmtId="0" fontId="0" fillId="8" borderId="2" xfId="0" applyFill="1" applyBorder="1" applyAlignment="1">
      <alignment horizontal="center"/>
    </xf>
    <xf numFmtId="2" fontId="0" fillId="8" borderId="4" xfId="0" applyNumberFormat="1" applyFill="1" applyBorder="1" applyAlignment="1" applyProtection="1">
      <alignment horizontal="center"/>
      <protection locked="0"/>
    </xf>
    <xf numFmtId="2" fontId="0" fillId="8" borderId="7" xfId="0" applyNumberFormat="1" applyFill="1" applyBorder="1" applyAlignment="1" applyProtection="1">
      <alignment horizontal="center"/>
      <protection locked="0"/>
    </xf>
    <xf numFmtId="167" fontId="0" fillId="7" borderId="0" xfId="0" applyNumberFormat="1" applyFill="1" applyAlignment="1">
      <alignment horizontal="center"/>
    </xf>
    <xf numFmtId="0" fontId="14" fillId="7" borderId="0" xfId="0" applyFont="1" applyFill="1" applyProtection="1">
      <protection hidden="1"/>
    </xf>
    <xf numFmtId="0" fontId="0" fillId="7" borderId="0" xfId="0" applyFill="1" applyProtection="1">
      <protection hidden="1"/>
    </xf>
    <xf numFmtId="0" fontId="0" fillId="7" borderId="0" xfId="0" applyFill="1" applyAlignment="1" applyProtection="1">
      <alignment horizontal="center"/>
      <protection hidden="1"/>
    </xf>
    <xf numFmtId="167" fontId="0" fillId="7" borderId="0" xfId="0" applyNumberFormat="1" applyFill="1"/>
    <xf numFmtId="0" fontId="8" fillId="7" borderId="0" xfId="0" applyFont="1" applyFill="1"/>
    <xf numFmtId="0" fontId="0" fillId="7" borderId="0" xfId="0" applyFont="1" applyFill="1"/>
    <xf numFmtId="0" fontId="5" fillId="8" borderId="11" xfId="0" applyFont="1" applyFill="1" applyBorder="1" applyAlignment="1">
      <alignment horizontal="center"/>
    </xf>
    <xf numFmtId="0" fontId="5" fillId="8" borderId="2" xfId="0" applyFont="1" applyFill="1" applyBorder="1"/>
    <xf numFmtId="167" fontId="0" fillId="8" borderId="0" xfId="0" applyNumberFormat="1" applyFill="1" applyBorder="1" applyAlignment="1">
      <alignment horizontal="center"/>
    </xf>
    <xf numFmtId="167" fontId="0" fillId="8" borderId="0" xfId="0" applyNumberFormat="1" applyFill="1" applyBorder="1" applyAlignment="1" applyProtection="1">
      <alignment horizontal="center"/>
      <protection locked="0"/>
    </xf>
    <xf numFmtId="166" fontId="0" fillId="8" borderId="0" xfId="0" applyNumberFormat="1" applyFill="1" applyBorder="1" applyAlignment="1">
      <alignment horizontal="center"/>
    </xf>
    <xf numFmtId="0" fontId="0" fillId="3" borderId="3" xfId="0" applyFill="1" applyBorder="1"/>
    <xf numFmtId="0" fontId="0" fillId="3" borderId="0" xfId="0" applyFill="1" applyBorder="1" applyAlignment="1">
      <alignment horizontal="center"/>
    </xf>
    <xf numFmtId="167" fontId="0" fillId="3" borderId="0" xfId="0" applyNumberFormat="1" applyFill="1" applyBorder="1" applyAlignment="1">
      <alignment horizontal="center"/>
    </xf>
    <xf numFmtId="167" fontId="0" fillId="3" borderId="0" xfId="0" applyNumberFormat="1" applyFill="1" applyBorder="1" applyAlignment="1" applyProtection="1">
      <alignment horizontal="center"/>
      <protection locked="0"/>
    </xf>
    <xf numFmtId="166" fontId="0" fillId="3" borderId="0" xfId="0" applyNumberFormat="1" applyFill="1" applyBorder="1" applyAlignment="1">
      <alignment horizontal="center"/>
    </xf>
    <xf numFmtId="0" fontId="0" fillId="3" borderId="4" xfId="0" applyFill="1" applyBorder="1" applyProtection="1">
      <protection locked="0"/>
    </xf>
    <xf numFmtId="0" fontId="9" fillId="3" borderId="3" xfId="0" applyFont="1" applyFill="1" applyBorder="1"/>
    <xf numFmtId="0" fontId="9" fillId="3" borderId="0" xfId="0" applyFont="1" applyFill="1" applyBorder="1" applyAlignment="1">
      <alignment horizontal="center"/>
    </xf>
    <xf numFmtId="0" fontId="9" fillId="3" borderId="0" xfId="0" applyFont="1" applyFill="1" applyBorder="1" applyAlignment="1" applyProtection="1">
      <alignment horizontal="center"/>
      <protection locked="0"/>
    </xf>
    <xf numFmtId="0" fontId="0" fillId="4" borderId="3" xfId="0" applyFill="1" applyBorder="1"/>
    <xf numFmtId="0" fontId="0" fillId="4" borderId="0" xfId="0" applyFill="1" applyBorder="1" applyAlignment="1">
      <alignment horizontal="center"/>
    </xf>
    <xf numFmtId="167" fontId="0" fillId="4" borderId="0" xfId="0" applyNumberFormat="1" applyFill="1" applyBorder="1" applyAlignment="1">
      <alignment horizontal="center"/>
    </xf>
    <xf numFmtId="167" fontId="0" fillId="4" borderId="0" xfId="0" applyNumberFormat="1" applyFill="1" applyBorder="1" applyAlignment="1" applyProtection="1">
      <alignment horizontal="center"/>
      <protection locked="0"/>
    </xf>
    <xf numFmtId="166" fontId="0" fillId="4" borderId="0" xfId="0" applyNumberFormat="1" applyFill="1" applyBorder="1" applyAlignment="1">
      <alignment horizontal="center"/>
    </xf>
    <xf numFmtId="0" fontId="0" fillId="4" borderId="4" xfId="0" applyFill="1" applyBorder="1" applyProtection="1">
      <protection locked="0"/>
    </xf>
    <xf numFmtId="0" fontId="9" fillId="4" borderId="3" xfId="0" applyFont="1" applyFill="1" applyBorder="1"/>
    <xf numFmtId="0" fontId="9" fillId="4" borderId="0" xfId="0" applyFont="1" applyFill="1" applyBorder="1" applyAlignment="1">
      <alignment horizontal="center"/>
    </xf>
    <xf numFmtId="1" fontId="9" fillId="4" borderId="0" xfId="0" applyNumberFormat="1" applyFont="1" applyFill="1" applyBorder="1" applyAlignment="1" applyProtection="1">
      <alignment horizontal="center"/>
      <protection locked="0"/>
    </xf>
    <xf numFmtId="0" fontId="0" fillId="6" borderId="3" xfId="0" applyFill="1" applyBorder="1"/>
    <xf numFmtId="0" fontId="0" fillId="6" borderId="0" xfId="0" applyFill="1" applyBorder="1" applyAlignment="1">
      <alignment horizontal="center"/>
    </xf>
    <xf numFmtId="167" fontId="0" fillId="6" borderId="0" xfId="0" applyNumberFormat="1" applyFill="1" applyBorder="1" applyAlignment="1">
      <alignment horizontal="center"/>
    </xf>
    <xf numFmtId="167" fontId="0" fillId="6" borderId="0" xfId="0" applyNumberFormat="1" applyFill="1" applyBorder="1" applyAlignment="1" applyProtection="1">
      <alignment horizontal="center"/>
      <protection locked="0"/>
    </xf>
    <xf numFmtId="166" fontId="0" fillId="6" borderId="0" xfId="0" applyNumberFormat="1" applyFill="1" applyBorder="1" applyAlignment="1">
      <alignment horizontal="center"/>
    </xf>
    <xf numFmtId="0" fontId="0" fillId="6" borderId="4" xfId="0" applyFill="1" applyBorder="1" applyProtection="1">
      <protection locked="0"/>
    </xf>
    <xf numFmtId="0" fontId="17" fillId="6" borderId="0" xfId="0" applyFont="1" applyFill="1" applyBorder="1" applyAlignment="1">
      <alignment horizontal="center"/>
    </xf>
    <xf numFmtId="0" fontId="9" fillId="6" borderId="3" xfId="0" applyFont="1" applyFill="1" applyBorder="1"/>
    <xf numFmtId="0" fontId="9" fillId="6" borderId="0" xfId="0" applyFont="1" applyFill="1" applyBorder="1" applyAlignment="1">
      <alignment horizontal="center"/>
    </xf>
    <xf numFmtId="1" fontId="9" fillId="6" borderId="0" xfId="0" applyNumberFormat="1" applyFont="1" applyFill="1" applyBorder="1" applyAlignment="1" applyProtection="1">
      <alignment horizontal="center"/>
      <protection locked="0"/>
    </xf>
    <xf numFmtId="167" fontId="9" fillId="6" borderId="0" xfId="0" applyNumberFormat="1" applyFont="1" applyFill="1" applyBorder="1" applyAlignment="1" applyProtection="1">
      <alignment horizontal="center"/>
      <protection locked="0"/>
    </xf>
    <xf numFmtId="166" fontId="9" fillId="6" borderId="0" xfId="0" applyNumberFormat="1" applyFont="1" applyFill="1" applyBorder="1" applyAlignment="1">
      <alignment horizontal="center"/>
    </xf>
    <xf numFmtId="0" fontId="0" fillId="5" borderId="3" xfId="0" applyFill="1" applyBorder="1"/>
    <xf numFmtId="0" fontId="0" fillId="5" borderId="0" xfId="0" applyFill="1" applyBorder="1" applyAlignment="1">
      <alignment horizontal="center"/>
    </xf>
    <xf numFmtId="167" fontId="0" fillId="5" borderId="0" xfId="0" applyNumberFormat="1" applyFill="1" applyBorder="1" applyAlignment="1">
      <alignment horizontal="center"/>
    </xf>
    <xf numFmtId="167" fontId="0" fillId="5" borderId="0" xfId="0" applyNumberFormat="1" applyFill="1" applyBorder="1" applyAlignment="1" applyProtection="1">
      <alignment horizontal="center"/>
      <protection locked="0"/>
    </xf>
    <xf numFmtId="166" fontId="0" fillId="5" borderId="0" xfId="0" applyNumberFormat="1" applyFill="1" applyBorder="1" applyAlignment="1">
      <alignment horizontal="center"/>
    </xf>
    <xf numFmtId="0" fontId="0" fillId="5" borderId="4" xfId="0" applyFill="1" applyBorder="1" applyProtection="1">
      <protection locked="0"/>
    </xf>
    <xf numFmtId="0" fontId="17" fillId="5" borderId="0" xfId="0" applyFont="1" applyFill="1" applyBorder="1" applyAlignment="1">
      <alignment horizontal="center"/>
    </xf>
    <xf numFmtId="0" fontId="9" fillId="5" borderId="3" xfId="0" applyFont="1" applyFill="1" applyBorder="1"/>
    <xf numFmtId="0" fontId="9" fillId="5" borderId="0" xfId="0" applyFont="1" applyFill="1" applyBorder="1" applyAlignment="1">
      <alignment horizontal="center"/>
    </xf>
    <xf numFmtId="1" fontId="9" fillId="5" borderId="0" xfId="0" applyNumberFormat="1" applyFont="1" applyFill="1" applyBorder="1" applyAlignment="1" applyProtection="1">
      <alignment horizontal="center"/>
      <protection locked="0"/>
    </xf>
    <xf numFmtId="165" fontId="0" fillId="8" borderId="0" xfId="0" applyNumberFormat="1" applyFill="1" applyBorder="1" applyAlignment="1">
      <alignment horizontal="center"/>
    </xf>
    <xf numFmtId="165" fontId="0" fillId="8" borderId="0" xfId="0" applyNumberFormat="1" applyFill="1" applyBorder="1" applyAlignment="1" applyProtection="1">
      <alignment horizontal="center"/>
      <protection locked="0"/>
    </xf>
    <xf numFmtId="7" fontId="0" fillId="8" borderId="0" xfId="0" applyNumberFormat="1" applyFill="1" applyBorder="1" applyAlignment="1">
      <alignment horizontal="center"/>
    </xf>
    <xf numFmtId="164" fontId="0" fillId="8" borderId="0" xfId="0" applyNumberFormat="1" applyFill="1" applyBorder="1" applyAlignment="1" applyProtection="1">
      <alignment horizontal="center"/>
      <protection locked="0"/>
    </xf>
    <xf numFmtId="164" fontId="0" fillId="8" borderId="0" xfId="0" applyNumberFormat="1" applyFill="1" applyBorder="1" applyAlignment="1">
      <alignment horizontal="center"/>
    </xf>
    <xf numFmtId="165" fontId="0" fillId="8" borderId="0" xfId="0" applyNumberFormat="1" applyFont="1" applyFill="1" applyBorder="1" applyAlignment="1">
      <alignment horizontal="center"/>
    </xf>
    <xf numFmtId="165" fontId="0" fillId="8" borderId="0" xfId="0" applyNumberFormat="1" applyFont="1" applyFill="1" applyBorder="1" applyAlignment="1" applyProtection="1">
      <alignment horizontal="center"/>
      <protection locked="0"/>
    </xf>
    <xf numFmtId="168" fontId="0" fillId="8" borderId="0" xfId="0" quotePrefix="1" applyNumberFormat="1" applyFont="1" applyFill="1" applyBorder="1" applyAlignment="1">
      <alignment horizontal="center"/>
    </xf>
    <xf numFmtId="0" fontId="0" fillId="8" borderId="0" xfId="0" applyFont="1" applyFill="1" applyBorder="1" applyAlignment="1" applyProtection="1">
      <alignment horizontal="center"/>
      <protection locked="0"/>
    </xf>
    <xf numFmtId="168" fontId="0" fillId="8" borderId="0" xfId="0" applyNumberFormat="1" applyFont="1" applyFill="1" applyBorder="1" applyAlignment="1">
      <alignment horizontal="center"/>
    </xf>
    <xf numFmtId="0" fontId="0" fillId="8" borderId="0" xfId="0" applyFont="1" applyFill="1" applyBorder="1" applyAlignment="1">
      <alignment horizontal="center"/>
    </xf>
    <xf numFmtId="0" fontId="0" fillId="8" borderId="0" xfId="0" applyFont="1" applyFill="1" applyBorder="1" applyAlignment="1" applyProtection="1">
      <alignment horizontal="center" vertical="center"/>
      <protection locked="0"/>
    </xf>
    <xf numFmtId="0" fontId="7" fillId="8" borderId="4" xfId="0" applyFont="1" applyFill="1" applyBorder="1" applyProtection="1">
      <protection locked="0"/>
    </xf>
    <xf numFmtId="0" fontId="7" fillId="8" borderId="0" xfId="0" applyFont="1" applyFill="1" applyBorder="1" applyAlignment="1">
      <alignment horizontal="center"/>
    </xf>
    <xf numFmtId="0" fontId="0" fillId="8" borderId="6" xfId="0" applyFill="1" applyBorder="1" applyAlignment="1" applyProtection="1">
      <alignment horizontal="center"/>
      <protection locked="0"/>
    </xf>
    <xf numFmtId="165" fontId="0" fillId="8" borderId="6" xfId="0" applyNumberFormat="1" applyFill="1" applyBorder="1" applyAlignment="1" applyProtection="1">
      <alignment horizontal="center"/>
      <protection locked="0"/>
    </xf>
    <xf numFmtId="0" fontId="7" fillId="8" borderId="6" xfId="0" applyFont="1" applyFill="1" applyBorder="1" applyAlignment="1">
      <alignment horizontal="center"/>
    </xf>
    <xf numFmtId="0" fontId="0" fillId="7" borderId="0" xfId="0" quotePrefix="1" applyFill="1"/>
    <xf numFmtId="164" fontId="0" fillId="7" borderId="0" xfId="71" applyNumberFormat="1" applyFont="1" applyFill="1"/>
    <xf numFmtId="164" fontId="0" fillId="7" borderId="0" xfId="0" applyNumberFormat="1" applyFill="1"/>
    <xf numFmtId="0" fontId="19" fillId="7" borderId="0" xfId="0" applyFont="1" applyFill="1" applyAlignment="1">
      <alignment vertical="center"/>
    </xf>
    <xf numFmtId="0" fontId="0" fillId="7" borderId="0" xfId="0" applyFill="1"/>
    <xf numFmtId="0" fontId="7" fillId="9" borderId="0" xfId="0" applyFont="1" applyFill="1"/>
    <xf numFmtId="0" fontId="0" fillId="7" borderId="0" xfId="0" applyNumberFormat="1" applyFill="1" applyAlignment="1">
      <alignment horizontal="center"/>
    </xf>
    <xf numFmtId="44" fontId="7" fillId="9" borderId="0" xfId="0" applyNumberFormat="1" applyFont="1" applyFill="1"/>
    <xf numFmtId="7" fontId="0" fillId="7" borderId="0" xfId="0" applyNumberFormat="1" applyFill="1"/>
    <xf numFmtId="2" fontId="0" fillId="7" borderId="0" xfId="0" applyNumberFormat="1" applyFill="1"/>
    <xf numFmtId="0" fontId="7" fillId="7" borderId="0" xfId="0" applyFont="1" applyFill="1" applyAlignment="1">
      <alignment horizontal="center"/>
    </xf>
    <xf numFmtId="0" fontId="7" fillId="7" borderId="5" xfId="0" applyFont="1" applyFill="1" applyBorder="1" applyAlignment="1">
      <alignment horizontal="center"/>
    </xf>
    <xf numFmtId="0" fontId="7" fillId="7" borderId="6" xfId="0" applyFont="1" applyFill="1" applyBorder="1" applyAlignment="1">
      <alignment horizontal="center"/>
    </xf>
    <xf numFmtId="0" fontId="7" fillId="7" borderId="7" xfId="0" applyFont="1" applyFill="1" applyBorder="1" applyAlignment="1">
      <alignment horizontal="center"/>
    </xf>
    <xf numFmtId="0" fontId="7" fillId="7" borderId="8" xfId="0" applyFont="1" applyFill="1" applyBorder="1" applyAlignment="1">
      <alignment horizontal="center"/>
    </xf>
    <xf numFmtId="0" fontId="7" fillId="7" borderId="9" xfId="0" applyFont="1" applyFill="1" applyBorder="1" applyAlignment="1">
      <alignment horizontal="center"/>
    </xf>
    <xf numFmtId="0" fontId="7" fillId="7" borderId="10" xfId="0" applyFont="1" applyFill="1" applyBorder="1" applyAlignment="1">
      <alignment horizontal="center"/>
    </xf>
    <xf numFmtId="0" fontId="7" fillId="7" borderId="3" xfId="0" applyFont="1" applyFill="1" applyBorder="1" applyAlignment="1">
      <alignment horizontal="center"/>
    </xf>
    <xf numFmtId="1" fontId="7" fillId="7" borderId="0" xfId="0" applyNumberFormat="1" applyFont="1" applyFill="1" applyAlignment="1">
      <alignment horizontal="center"/>
    </xf>
    <xf numFmtId="0" fontId="7" fillId="7" borderId="4" xfId="0" applyFont="1" applyFill="1" applyBorder="1" applyAlignment="1">
      <alignment horizontal="center"/>
    </xf>
    <xf numFmtId="166" fontId="7" fillId="7" borderId="3" xfId="0" applyNumberFormat="1" applyFont="1" applyFill="1" applyBorder="1" applyAlignment="1">
      <alignment horizontal="center"/>
    </xf>
    <xf numFmtId="166" fontId="7" fillId="7" borderId="0" xfId="0" applyNumberFormat="1" applyFont="1" applyFill="1" applyAlignment="1">
      <alignment horizontal="center"/>
    </xf>
    <xf numFmtId="166" fontId="7" fillId="7" borderId="0" xfId="0" applyNumberFormat="1" applyFont="1" applyFill="1" applyBorder="1" applyAlignment="1">
      <alignment horizontal="center"/>
    </xf>
    <xf numFmtId="166" fontId="7" fillId="7" borderId="4" xfId="0" applyNumberFormat="1" applyFont="1" applyFill="1" applyBorder="1" applyAlignment="1">
      <alignment horizontal="center"/>
    </xf>
    <xf numFmtId="168" fontId="7" fillId="7" borderId="0" xfId="0" applyNumberFormat="1" applyFont="1" applyFill="1" applyAlignment="1">
      <alignment horizontal="center"/>
    </xf>
    <xf numFmtId="168" fontId="7" fillId="7" borderId="4" xfId="0" applyNumberFormat="1" applyFont="1" applyFill="1" applyBorder="1" applyAlignment="1">
      <alignment horizontal="center"/>
    </xf>
    <xf numFmtId="166" fontId="7" fillId="7" borderId="0" xfId="0" applyNumberFormat="1" applyFont="1" applyFill="1"/>
    <xf numFmtId="168" fontId="7" fillId="7" borderId="6" xfId="0" applyNumberFormat="1" applyFont="1" applyFill="1" applyBorder="1" applyAlignment="1">
      <alignment horizontal="center"/>
    </xf>
    <xf numFmtId="1" fontId="7" fillId="7" borderId="6" xfId="0" applyNumberFormat="1" applyFont="1" applyFill="1" applyBorder="1" applyAlignment="1">
      <alignment horizontal="center"/>
    </xf>
    <xf numFmtId="168" fontId="7" fillId="7" borderId="7" xfId="0" applyNumberFormat="1" applyFont="1" applyFill="1" applyBorder="1" applyAlignment="1">
      <alignment horizontal="center"/>
    </xf>
    <xf numFmtId="166" fontId="7" fillId="7" borderId="5" xfId="0" applyNumberFormat="1" applyFont="1" applyFill="1" applyBorder="1" applyAlignment="1">
      <alignment horizontal="center"/>
    </xf>
    <xf numFmtId="166" fontId="7" fillId="7" borderId="6" xfId="0" applyNumberFormat="1" applyFont="1" applyFill="1" applyBorder="1" applyAlignment="1">
      <alignment horizontal="center"/>
    </xf>
    <xf numFmtId="166" fontId="7" fillId="7" borderId="7" xfId="0" applyNumberFormat="1" applyFont="1" applyFill="1" applyBorder="1" applyAlignment="1">
      <alignment horizontal="center"/>
    </xf>
    <xf numFmtId="164" fontId="7" fillId="7" borderId="5" xfId="0" applyNumberFormat="1" applyFont="1" applyFill="1" applyBorder="1" applyAlignment="1">
      <alignment horizontal="center"/>
    </xf>
    <xf numFmtId="164" fontId="7" fillId="7" borderId="7" xfId="0" applyNumberFormat="1" applyFont="1" applyFill="1" applyBorder="1" applyAlignment="1">
      <alignment horizontal="center"/>
    </xf>
    <xf numFmtId="167" fontId="0" fillId="7" borderId="0" xfId="0" applyNumberFormat="1" applyFill="1" applyBorder="1"/>
    <xf numFmtId="10" fontId="0" fillId="7" borderId="0" xfId="8494" applyNumberFormat="1" applyFont="1" applyFill="1" applyAlignment="1">
      <alignment horizontal="center"/>
    </xf>
    <xf numFmtId="2" fontId="0" fillId="7" borderId="0" xfId="0" quotePrefix="1" applyNumberFormat="1" applyFill="1" applyAlignment="1">
      <alignment horizontal="center"/>
    </xf>
    <xf numFmtId="44" fontId="0" fillId="7" borderId="0" xfId="0" quotePrefix="1" applyNumberFormat="1" applyFill="1" applyAlignment="1">
      <alignment horizontal="center"/>
    </xf>
    <xf numFmtId="170" fontId="6" fillId="7" borderId="0" xfId="0" applyNumberFormat="1" applyFont="1" applyFill="1" applyAlignment="1">
      <alignment horizontal="center"/>
    </xf>
    <xf numFmtId="164" fontId="0" fillId="5" borderId="0" xfId="0" applyNumberFormat="1" applyFill="1" applyAlignment="1">
      <alignment horizontal="center"/>
    </xf>
    <xf numFmtId="0" fontId="0" fillId="8" borderId="11" xfId="0" applyFill="1" applyBorder="1" applyAlignment="1">
      <alignment horizontal="center"/>
    </xf>
    <xf numFmtId="0" fontId="0" fillId="8" borderId="2" xfId="0" applyFill="1" applyBorder="1" applyAlignment="1">
      <alignment horizontal="center"/>
    </xf>
    <xf numFmtId="0" fontId="0" fillId="2" borderId="0" xfId="0" applyFill="1" applyBorder="1" applyAlignment="1" applyProtection="1">
      <alignment horizontal="center"/>
    </xf>
    <xf numFmtId="0" fontId="0" fillId="2" borderId="4" xfId="0" applyFill="1" applyBorder="1" applyAlignment="1" applyProtection="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5" fillId="7" borderId="0" xfId="0" applyFont="1" applyFill="1" applyAlignment="1">
      <alignment horizontal="center"/>
    </xf>
    <xf numFmtId="164" fontId="9" fillId="5" borderId="0" xfId="0" applyNumberFormat="1" applyFont="1" applyFill="1" applyAlignment="1">
      <alignment horizontal="center" vertical="center"/>
    </xf>
    <xf numFmtId="0" fontId="9" fillId="5" borderId="0" xfId="0" applyFont="1" applyFill="1" applyAlignment="1">
      <alignment horizontal="center" vertical="center"/>
    </xf>
    <xf numFmtId="0" fontId="5" fillId="4" borderId="0" xfId="0" applyFont="1" applyFill="1" applyAlignment="1">
      <alignment horizontal="center" vertical="center"/>
    </xf>
    <xf numFmtId="0" fontId="5" fillId="4" borderId="0" xfId="0" applyFont="1" applyFill="1" applyAlignment="1">
      <alignment horizontal="left" vertical="center"/>
    </xf>
    <xf numFmtId="0" fontId="5" fillId="5" borderId="0" xfId="0" applyFont="1" applyFill="1" applyAlignment="1">
      <alignment horizontal="left" vertical="center"/>
    </xf>
    <xf numFmtId="0" fontId="9" fillId="5" borderId="0" xfId="0" applyFont="1" applyFill="1" applyAlignment="1">
      <alignment horizontal="left" vertical="center"/>
    </xf>
    <xf numFmtId="0" fontId="15" fillId="5" borderId="0" xfId="0" applyFont="1" applyFill="1" applyAlignment="1">
      <alignment horizontal="center" vertical="center"/>
    </xf>
    <xf numFmtId="164" fontId="15" fillId="5" borderId="0" xfId="0" applyNumberFormat="1" applyFont="1" applyFill="1" applyAlignment="1">
      <alignment horizontal="center" vertical="center"/>
    </xf>
    <xf numFmtId="0" fontId="7" fillId="9" borderId="0" xfId="0" applyFont="1" applyFill="1"/>
    <xf numFmtId="0" fontId="0" fillId="7" borderId="0" xfId="0" applyFill="1"/>
    <xf numFmtId="0" fontId="0" fillId="7" borderId="0" xfId="0" applyFill="1" applyAlignment="1">
      <alignment horizontal="left"/>
    </xf>
    <xf numFmtId="0" fontId="7" fillId="7" borderId="8" xfId="0" applyFont="1" applyFill="1" applyBorder="1" applyAlignment="1">
      <alignment horizontal="center"/>
    </xf>
    <xf numFmtId="0" fontId="7" fillId="7" borderId="9" xfId="0" applyFont="1" applyFill="1" applyBorder="1" applyAlignment="1">
      <alignment horizontal="center"/>
    </xf>
    <xf numFmtId="0" fontId="7" fillId="7" borderId="12" xfId="0" applyFont="1" applyFill="1" applyBorder="1" applyAlignment="1">
      <alignment horizontal="center"/>
    </xf>
    <xf numFmtId="0" fontId="7" fillId="7" borderId="10" xfId="0" applyFont="1" applyFill="1" applyBorder="1" applyAlignment="1">
      <alignment horizontal="center"/>
    </xf>
    <xf numFmtId="44" fontId="0" fillId="4" borderId="0" xfId="0" applyNumberFormat="1" applyFill="1" applyAlignment="1">
      <alignment horizontal="center"/>
    </xf>
    <xf numFmtId="44" fontId="0" fillId="5" borderId="0" xfId="0" quotePrefix="1" applyNumberFormat="1" applyFill="1" applyAlignment="1">
      <alignment horizontal="center"/>
    </xf>
    <xf numFmtId="44" fontId="0" fillId="5" borderId="0" xfId="0" applyNumberFormat="1" applyFill="1" applyAlignment="1">
      <alignment horizontal="center"/>
    </xf>
  </cellXfs>
  <cellStyles count="8712">
    <cellStyle name="Currency" xfId="71" builtinId="4"/>
    <cellStyle name="Data" xfId="868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75" builtinId="9" hidden="1"/>
    <cellStyle name="Followed Hyperlink" xfId="677" builtinId="9" hidden="1"/>
    <cellStyle name="Followed Hyperlink" xfId="679" builtinId="9" hidden="1"/>
    <cellStyle name="Followed Hyperlink" xfId="681" builtinId="9" hidden="1"/>
    <cellStyle name="Followed Hyperlink" xfId="68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1" builtinId="9" hidden="1"/>
    <cellStyle name="Followed Hyperlink" xfId="733" builtinId="9" hidden="1"/>
    <cellStyle name="Followed Hyperlink" xfId="735" builtinId="9" hidden="1"/>
    <cellStyle name="Followed Hyperlink" xfId="737" builtinId="9" hidden="1"/>
    <cellStyle name="Followed Hyperlink" xfId="739" builtinId="9" hidden="1"/>
    <cellStyle name="Followed Hyperlink" xfId="741" builtinId="9" hidden="1"/>
    <cellStyle name="Followed Hyperlink" xfId="743" builtinId="9" hidden="1"/>
    <cellStyle name="Followed Hyperlink" xfId="745" builtinId="9" hidden="1"/>
    <cellStyle name="Followed Hyperlink" xfId="747" builtinId="9" hidden="1"/>
    <cellStyle name="Followed Hyperlink" xfId="749" builtinId="9" hidden="1"/>
    <cellStyle name="Followed Hyperlink" xfId="751" builtinId="9" hidden="1"/>
    <cellStyle name="Followed Hyperlink" xfId="753" builtinId="9" hidden="1"/>
    <cellStyle name="Followed Hyperlink" xfId="755" builtinId="9" hidden="1"/>
    <cellStyle name="Followed Hyperlink" xfId="757" builtinId="9" hidden="1"/>
    <cellStyle name="Followed Hyperlink" xfId="759" builtinId="9" hidden="1"/>
    <cellStyle name="Followed Hyperlink" xfId="761" builtinId="9" hidden="1"/>
    <cellStyle name="Followed Hyperlink" xfId="763" builtinId="9" hidden="1"/>
    <cellStyle name="Followed Hyperlink" xfId="765" builtinId="9" hidden="1"/>
    <cellStyle name="Followed Hyperlink" xfId="767" builtinId="9" hidden="1"/>
    <cellStyle name="Followed Hyperlink" xfId="769" builtinId="9" hidden="1"/>
    <cellStyle name="Followed Hyperlink" xfId="771" builtinId="9" hidden="1"/>
    <cellStyle name="Followed Hyperlink" xfId="773" builtinId="9" hidden="1"/>
    <cellStyle name="Followed Hyperlink" xfId="775" builtinId="9" hidden="1"/>
    <cellStyle name="Followed Hyperlink" xfId="777" builtinId="9" hidden="1"/>
    <cellStyle name="Followed Hyperlink" xfId="779" builtinId="9" hidden="1"/>
    <cellStyle name="Followed Hyperlink" xfId="781" builtinId="9" hidden="1"/>
    <cellStyle name="Followed Hyperlink" xfId="783" builtinId="9" hidden="1"/>
    <cellStyle name="Followed Hyperlink" xfId="785" builtinId="9" hidden="1"/>
    <cellStyle name="Followed Hyperlink" xfId="787" builtinId="9" hidden="1"/>
    <cellStyle name="Followed Hyperlink" xfId="789" builtinId="9" hidden="1"/>
    <cellStyle name="Followed Hyperlink" xfId="791" builtinId="9" hidden="1"/>
    <cellStyle name="Followed Hyperlink" xfId="793" builtinId="9" hidden="1"/>
    <cellStyle name="Followed Hyperlink" xfId="795" builtinId="9" hidden="1"/>
    <cellStyle name="Followed Hyperlink" xfId="797" builtinId="9" hidden="1"/>
    <cellStyle name="Followed Hyperlink" xfId="799" builtinId="9" hidden="1"/>
    <cellStyle name="Followed Hyperlink" xfId="801" builtinId="9" hidden="1"/>
    <cellStyle name="Followed Hyperlink" xfId="803" builtinId="9" hidden="1"/>
    <cellStyle name="Followed Hyperlink" xfId="805" builtinId="9" hidden="1"/>
    <cellStyle name="Followed Hyperlink" xfId="807" builtinId="9" hidden="1"/>
    <cellStyle name="Followed Hyperlink" xfId="809" builtinId="9" hidden="1"/>
    <cellStyle name="Followed Hyperlink" xfId="811" builtinId="9" hidden="1"/>
    <cellStyle name="Followed Hyperlink" xfId="813" builtinId="9" hidden="1"/>
    <cellStyle name="Followed Hyperlink" xfId="815" builtinId="9" hidden="1"/>
    <cellStyle name="Followed Hyperlink" xfId="817" builtinId="9" hidden="1"/>
    <cellStyle name="Followed Hyperlink" xfId="819" builtinId="9" hidden="1"/>
    <cellStyle name="Followed Hyperlink" xfId="821" builtinId="9" hidden="1"/>
    <cellStyle name="Followed Hyperlink" xfId="823" builtinId="9" hidden="1"/>
    <cellStyle name="Followed Hyperlink" xfId="825" builtinId="9" hidden="1"/>
    <cellStyle name="Followed Hyperlink" xfId="827" builtinId="9" hidden="1"/>
    <cellStyle name="Followed Hyperlink" xfId="829" builtinId="9" hidden="1"/>
    <cellStyle name="Followed Hyperlink" xfId="831" builtinId="9" hidden="1"/>
    <cellStyle name="Followed Hyperlink" xfId="833" builtinId="9" hidden="1"/>
    <cellStyle name="Followed Hyperlink" xfId="835" builtinId="9" hidden="1"/>
    <cellStyle name="Followed Hyperlink" xfId="837" builtinId="9" hidden="1"/>
    <cellStyle name="Followed Hyperlink" xfId="839" builtinId="9" hidden="1"/>
    <cellStyle name="Followed Hyperlink" xfId="841" builtinId="9" hidden="1"/>
    <cellStyle name="Followed Hyperlink" xfId="843" builtinId="9" hidden="1"/>
    <cellStyle name="Followed Hyperlink" xfId="845" builtinId="9" hidden="1"/>
    <cellStyle name="Followed Hyperlink" xfId="847" builtinId="9" hidden="1"/>
    <cellStyle name="Followed Hyperlink" xfId="849" builtinId="9" hidden="1"/>
    <cellStyle name="Followed Hyperlink" xfId="851" builtinId="9" hidden="1"/>
    <cellStyle name="Followed Hyperlink" xfId="853" builtinId="9" hidden="1"/>
    <cellStyle name="Followed Hyperlink" xfId="855" builtinId="9" hidden="1"/>
    <cellStyle name="Followed Hyperlink" xfId="857" builtinId="9" hidden="1"/>
    <cellStyle name="Followed Hyperlink" xfId="859" builtinId="9" hidden="1"/>
    <cellStyle name="Followed Hyperlink" xfId="861" builtinId="9" hidden="1"/>
    <cellStyle name="Followed Hyperlink" xfId="863" builtinId="9" hidden="1"/>
    <cellStyle name="Followed Hyperlink" xfId="865" builtinId="9" hidden="1"/>
    <cellStyle name="Followed Hyperlink" xfId="867" builtinId="9" hidden="1"/>
    <cellStyle name="Followed Hyperlink" xfId="869" builtinId="9" hidden="1"/>
    <cellStyle name="Followed Hyperlink" xfId="871" builtinId="9" hidden="1"/>
    <cellStyle name="Followed Hyperlink" xfId="873" builtinId="9" hidden="1"/>
    <cellStyle name="Followed Hyperlink" xfId="875" builtinId="9" hidden="1"/>
    <cellStyle name="Followed Hyperlink" xfId="877" builtinId="9" hidden="1"/>
    <cellStyle name="Followed Hyperlink" xfId="879" builtinId="9" hidden="1"/>
    <cellStyle name="Followed Hyperlink" xfId="881" builtinId="9" hidden="1"/>
    <cellStyle name="Followed Hyperlink" xfId="883" builtinId="9" hidden="1"/>
    <cellStyle name="Followed Hyperlink" xfId="885" builtinId="9" hidden="1"/>
    <cellStyle name="Followed Hyperlink" xfId="887" builtinId="9" hidden="1"/>
    <cellStyle name="Followed Hyperlink" xfId="889" builtinId="9" hidden="1"/>
    <cellStyle name="Followed Hyperlink" xfId="891" builtinId="9" hidden="1"/>
    <cellStyle name="Followed Hyperlink" xfId="893" builtinId="9" hidden="1"/>
    <cellStyle name="Followed Hyperlink" xfId="895" builtinId="9" hidden="1"/>
    <cellStyle name="Followed Hyperlink" xfId="897" builtinId="9" hidden="1"/>
    <cellStyle name="Followed Hyperlink" xfId="899" builtinId="9" hidden="1"/>
    <cellStyle name="Followed Hyperlink" xfId="901" builtinId="9" hidden="1"/>
    <cellStyle name="Followed Hyperlink" xfId="903" builtinId="9" hidden="1"/>
    <cellStyle name="Followed Hyperlink" xfId="905" builtinId="9" hidden="1"/>
    <cellStyle name="Followed Hyperlink" xfId="907" builtinId="9" hidden="1"/>
    <cellStyle name="Followed Hyperlink" xfId="909" builtinId="9" hidden="1"/>
    <cellStyle name="Followed Hyperlink" xfId="911" builtinId="9" hidden="1"/>
    <cellStyle name="Followed Hyperlink" xfId="913" builtinId="9" hidden="1"/>
    <cellStyle name="Followed Hyperlink" xfId="915" builtinId="9" hidden="1"/>
    <cellStyle name="Followed Hyperlink" xfId="917" builtinId="9" hidden="1"/>
    <cellStyle name="Followed Hyperlink" xfId="919" builtinId="9" hidden="1"/>
    <cellStyle name="Followed Hyperlink" xfId="921" builtinId="9" hidden="1"/>
    <cellStyle name="Followed Hyperlink" xfId="923" builtinId="9" hidden="1"/>
    <cellStyle name="Followed Hyperlink" xfId="925" builtinId="9" hidden="1"/>
    <cellStyle name="Followed Hyperlink" xfId="927" builtinId="9" hidden="1"/>
    <cellStyle name="Followed Hyperlink" xfId="929" builtinId="9" hidden="1"/>
    <cellStyle name="Followed Hyperlink" xfId="931" builtinId="9" hidden="1"/>
    <cellStyle name="Followed Hyperlink" xfId="933" builtinId="9" hidden="1"/>
    <cellStyle name="Followed Hyperlink" xfId="935" builtinId="9" hidden="1"/>
    <cellStyle name="Followed Hyperlink" xfId="937" builtinId="9" hidden="1"/>
    <cellStyle name="Followed Hyperlink" xfId="939" builtinId="9" hidden="1"/>
    <cellStyle name="Followed Hyperlink" xfId="941" builtinId="9" hidden="1"/>
    <cellStyle name="Followed Hyperlink" xfId="943" builtinId="9" hidden="1"/>
    <cellStyle name="Followed Hyperlink" xfId="945" builtinId="9" hidden="1"/>
    <cellStyle name="Followed Hyperlink" xfId="947" builtinId="9" hidden="1"/>
    <cellStyle name="Followed Hyperlink" xfId="949" builtinId="9" hidden="1"/>
    <cellStyle name="Followed Hyperlink" xfId="951" builtinId="9" hidden="1"/>
    <cellStyle name="Followed Hyperlink" xfId="953" builtinId="9" hidden="1"/>
    <cellStyle name="Followed Hyperlink" xfId="955" builtinId="9" hidden="1"/>
    <cellStyle name="Followed Hyperlink" xfId="957" builtinId="9" hidden="1"/>
    <cellStyle name="Followed Hyperlink" xfId="959" builtinId="9" hidden="1"/>
    <cellStyle name="Followed Hyperlink" xfId="961" builtinId="9" hidden="1"/>
    <cellStyle name="Followed Hyperlink" xfId="963" builtinId="9" hidden="1"/>
    <cellStyle name="Followed Hyperlink" xfId="965" builtinId="9" hidden="1"/>
    <cellStyle name="Followed Hyperlink" xfId="967" builtinId="9" hidden="1"/>
    <cellStyle name="Followed Hyperlink" xfId="969" builtinId="9" hidden="1"/>
    <cellStyle name="Followed Hyperlink" xfId="971" builtinId="9" hidden="1"/>
    <cellStyle name="Followed Hyperlink" xfId="973" builtinId="9" hidden="1"/>
    <cellStyle name="Followed Hyperlink" xfId="975" builtinId="9" hidden="1"/>
    <cellStyle name="Followed Hyperlink" xfId="977" builtinId="9" hidden="1"/>
    <cellStyle name="Followed Hyperlink" xfId="979" builtinId="9" hidden="1"/>
    <cellStyle name="Followed Hyperlink" xfId="981" builtinId="9" hidden="1"/>
    <cellStyle name="Followed Hyperlink" xfId="983" builtinId="9" hidden="1"/>
    <cellStyle name="Followed Hyperlink" xfId="985" builtinId="9" hidden="1"/>
    <cellStyle name="Followed Hyperlink" xfId="987" builtinId="9" hidden="1"/>
    <cellStyle name="Followed Hyperlink" xfId="989" builtinId="9" hidden="1"/>
    <cellStyle name="Followed Hyperlink" xfId="991" builtinId="9" hidden="1"/>
    <cellStyle name="Followed Hyperlink" xfId="993" builtinId="9" hidden="1"/>
    <cellStyle name="Followed Hyperlink" xfId="995" builtinId="9" hidden="1"/>
    <cellStyle name="Followed Hyperlink" xfId="997" builtinId="9" hidden="1"/>
    <cellStyle name="Followed Hyperlink" xfId="999" builtinId="9" hidden="1"/>
    <cellStyle name="Followed Hyperlink" xfId="1001" builtinId="9" hidden="1"/>
    <cellStyle name="Followed Hyperlink" xfId="1003" builtinId="9" hidden="1"/>
    <cellStyle name="Followed Hyperlink" xfId="1005" builtinId="9" hidden="1"/>
    <cellStyle name="Followed Hyperlink" xfId="1007" builtinId="9" hidden="1"/>
    <cellStyle name="Followed Hyperlink" xfId="1009" builtinId="9" hidden="1"/>
    <cellStyle name="Followed Hyperlink" xfId="1011" builtinId="9" hidden="1"/>
    <cellStyle name="Followed Hyperlink" xfId="1013" builtinId="9" hidden="1"/>
    <cellStyle name="Followed Hyperlink" xfId="1015" builtinId="9" hidden="1"/>
    <cellStyle name="Followed Hyperlink" xfId="1017" builtinId="9" hidden="1"/>
    <cellStyle name="Followed Hyperlink" xfId="1019" builtinId="9" hidden="1"/>
    <cellStyle name="Followed Hyperlink" xfId="1021" builtinId="9" hidden="1"/>
    <cellStyle name="Followed Hyperlink" xfId="1023" builtinId="9" hidden="1"/>
    <cellStyle name="Followed Hyperlink" xfId="1025" builtinId="9" hidden="1"/>
    <cellStyle name="Followed Hyperlink" xfId="1027" builtinId="9" hidden="1"/>
    <cellStyle name="Followed Hyperlink" xfId="1029" builtinId="9" hidden="1"/>
    <cellStyle name="Followed Hyperlink" xfId="1031" builtinId="9" hidden="1"/>
    <cellStyle name="Followed Hyperlink" xfId="1033" builtinId="9" hidden="1"/>
    <cellStyle name="Followed Hyperlink" xfId="1035" builtinId="9" hidden="1"/>
    <cellStyle name="Followed Hyperlink" xfId="1037" builtinId="9" hidden="1"/>
    <cellStyle name="Followed Hyperlink" xfId="1039" builtinId="9" hidden="1"/>
    <cellStyle name="Followed Hyperlink" xfId="1041" builtinId="9" hidden="1"/>
    <cellStyle name="Followed Hyperlink" xfId="1043" builtinId="9" hidden="1"/>
    <cellStyle name="Followed Hyperlink" xfId="1045" builtinId="9" hidden="1"/>
    <cellStyle name="Followed Hyperlink" xfId="1047" builtinId="9" hidden="1"/>
    <cellStyle name="Followed Hyperlink" xfId="1049" builtinId="9" hidden="1"/>
    <cellStyle name="Followed Hyperlink" xfId="1051" builtinId="9" hidden="1"/>
    <cellStyle name="Followed Hyperlink" xfId="1053" builtinId="9" hidden="1"/>
    <cellStyle name="Followed Hyperlink" xfId="1055" builtinId="9" hidden="1"/>
    <cellStyle name="Followed Hyperlink" xfId="1057" builtinId="9" hidden="1"/>
    <cellStyle name="Followed Hyperlink" xfId="1059" builtinId="9" hidden="1"/>
    <cellStyle name="Followed Hyperlink" xfId="1061" builtinId="9" hidden="1"/>
    <cellStyle name="Followed Hyperlink" xfId="1063" builtinId="9" hidden="1"/>
    <cellStyle name="Followed Hyperlink" xfId="1065" builtinId="9" hidden="1"/>
    <cellStyle name="Followed Hyperlink" xfId="1067" builtinId="9" hidden="1"/>
    <cellStyle name="Followed Hyperlink" xfId="1069" builtinId="9" hidden="1"/>
    <cellStyle name="Followed Hyperlink" xfId="1071" builtinId="9" hidden="1"/>
    <cellStyle name="Followed Hyperlink" xfId="1073" builtinId="9" hidden="1"/>
    <cellStyle name="Followed Hyperlink" xfId="1075" builtinId="9" hidden="1"/>
    <cellStyle name="Followed Hyperlink" xfId="1077" builtinId="9" hidden="1"/>
    <cellStyle name="Followed Hyperlink" xfId="1079" builtinId="9" hidden="1"/>
    <cellStyle name="Followed Hyperlink" xfId="1081" builtinId="9" hidden="1"/>
    <cellStyle name="Followed Hyperlink" xfId="1083" builtinId="9" hidden="1"/>
    <cellStyle name="Followed Hyperlink" xfId="1085" builtinId="9" hidden="1"/>
    <cellStyle name="Followed Hyperlink" xfId="1087" builtinId="9" hidden="1"/>
    <cellStyle name="Followed Hyperlink" xfId="1089" builtinId="9" hidden="1"/>
    <cellStyle name="Followed Hyperlink" xfId="1091" builtinId="9" hidden="1"/>
    <cellStyle name="Followed Hyperlink" xfId="1093" builtinId="9" hidden="1"/>
    <cellStyle name="Followed Hyperlink" xfId="1095" builtinId="9" hidden="1"/>
    <cellStyle name="Followed Hyperlink" xfId="1097" builtinId="9" hidden="1"/>
    <cellStyle name="Followed Hyperlink" xfId="1099" builtinId="9" hidden="1"/>
    <cellStyle name="Followed Hyperlink" xfId="1101" builtinId="9" hidden="1"/>
    <cellStyle name="Followed Hyperlink" xfId="1103" builtinId="9" hidden="1"/>
    <cellStyle name="Followed Hyperlink" xfId="1105" builtinId="9" hidden="1"/>
    <cellStyle name="Followed Hyperlink" xfId="1107" builtinId="9" hidden="1"/>
    <cellStyle name="Followed Hyperlink" xfId="1109" builtinId="9" hidden="1"/>
    <cellStyle name="Followed Hyperlink" xfId="1111" builtinId="9" hidden="1"/>
    <cellStyle name="Followed Hyperlink" xfId="1113" builtinId="9" hidden="1"/>
    <cellStyle name="Followed Hyperlink" xfId="1115" builtinId="9" hidden="1"/>
    <cellStyle name="Followed Hyperlink" xfId="1117" builtinId="9" hidden="1"/>
    <cellStyle name="Followed Hyperlink" xfId="1119" builtinId="9" hidden="1"/>
    <cellStyle name="Followed Hyperlink" xfId="1121" builtinId="9" hidden="1"/>
    <cellStyle name="Followed Hyperlink" xfId="1123" builtinId="9" hidden="1"/>
    <cellStyle name="Followed Hyperlink" xfId="1125" builtinId="9" hidden="1"/>
    <cellStyle name="Followed Hyperlink" xfId="1127" builtinId="9" hidden="1"/>
    <cellStyle name="Followed Hyperlink" xfId="1129" builtinId="9" hidden="1"/>
    <cellStyle name="Followed Hyperlink" xfId="1131" builtinId="9" hidden="1"/>
    <cellStyle name="Followed Hyperlink" xfId="1133" builtinId="9" hidden="1"/>
    <cellStyle name="Followed Hyperlink" xfId="1135" builtinId="9" hidden="1"/>
    <cellStyle name="Followed Hyperlink" xfId="1137" builtinId="9" hidden="1"/>
    <cellStyle name="Followed Hyperlink" xfId="1139" builtinId="9" hidden="1"/>
    <cellStyle name="Followed Hyperlink" xfId="1141" builtinId="9" hidden="1"/>
    <cellStyle name="Followed Hyperlink" xfId="1143" builtinId="9" hidden="1"/>
    <cellStyle name="Followed Hyperlink" xfId="1145" builtinId="9" hidden="1"/>
    <cellStyle name="Followed Hyperlink" xfId="1147" builtinId="9" hidden="1"/>
    <cellStyle name="Followed Hyperlink" xfId="1149" builtinId="9" hidden="1"/>
    <cellStyle name="Followed Hyperlink" xfId="1151" builtinId="9" hidden="1"/>
    <cellStyle name="Followed Hyperlink" xfId="1153" builtinId="9" hidden="1"/>
    <cellStyle name="Followed Hyperlink" xfId="1155" builtinId="9" hidden="1"/>
    <cellStyle name="Followed Hyperlink" xfId="1157" builtinId="9" hidden="1"/>
    <cellStyle name="Followed Hyperlink" xfId="1159" builtinId="9" hidden="1"/>
    <cellStyle name="Followed Hyperlink" xfId="1161" builtinId="9" hidden="1"/>
    <cellStyle name="Followed Hyperlink" xfId="1163" builtinId="9" hidden="1"/>
    <cellStyle name="Followed Hyperlink" xfId="1165" builtinId="9" hidden="1"/>
    <cellStyle name="Followed Hyperlink" xfId="1167" builtinId="9" hidden="1"/>
    <cellStyle name="Followed Hyperlink" xfId="1169" builtinId="9" hidden="1"/>
    <cellStyle name="Followed Hyperlink" xfId="1171" builtinId="9" hidden="1"/>
    <cellStyle name="Followed Hyperlink" xfId="1173" builtinId="9" hidden="1"/>
    <cellStyle name="Followed Hyperlink" xfId="1175" builtinId="9" hidden="1"/>
    <cellStyle name="Followed Hyperlink" xfId="1177" builtinId="9" hidden="1"/>
    <cellStyle name="Followed Hyperlink" xfId="1179" builtinId="9" hidden="1"/>
    <cellStyle name="Followed Hyperlink" xfId="1181" builtinId="9" hidden="1"/>
    <cellStyle name="Followed Hyperlink" xfId="1183" builtinId="9" hidden="1"/>
    <cellStyle name="Followed Hyperlink" xfId="1185" builtinId="9" hidden="1"/>
    <cellStyle name="Followed Hyperlink" xfId="1187" builtinId="9" hidden="1"/>
    <cellStyle name="Followed Hyperlink" xfId="1189" builtinId="9" hidden="1"/>
    <cellStyle name="Followed Hyperlink" xfId="1191" builtinId="9" hidden="1"/>
    <cellStyle name="Followed Hyperlink" xfId="1193" builtinId="9" hidden="1"/>
    <cellStyle name="Followed Hyperlink" xfId="1195" builtinId="9" hidden="1"/>
    <cellStyle name="Followed Hyperlink" xfId="1197" builtinId="9" hidden="1"/>
    <cellStyle name="Followed Hyperlink" xfId="1199" builtinId="9" hidden="1"/>
    <cellStyle name="Followed Hyperlink" xfId="1201" builtinId="9" hidden="1"/>
    <cellStyle name="Followed Hyperlink" xfId="1203" builtinId="9" hidden="1"/>
    <cellStyle name="Followed Hyperlink" xfId="1205" builtinId="9" hidden="1"/>
    <cellStyle name="Followed Hyperlink" xfId="1207" builtinId="9" hidden="1"/>
    <cellStyle name="Followed Hyperlink" xfId="1209" builtinId="9" hidden="1"/>
    <cellStyle name="Followed Hyperlink" xfId="1211" builtinId="9" hidden="1"/>
    <cellStyle name="Followed Hyperlink" xfId="1213" builtinId="9" hidden="1"/>
    <cellStyle name="Followed Hyperlink" xfId="1215" builtinId="9" hidden="1"/>
    <cellStyle name="Followed Hyperlink" xfId="1217" builtinId="9" hidden="1"/>
    <cellStyle name="Followed Hyperlink" xfId="1219" builtinId="9" hidden="1"/>
    <cellStyle name="Followed Hyperlink" xfId="1221" builtinId="9" hidden="1"/>
    <cellStyle name="Followed Hyperlink" xfId="1223" builtinId="9" hidden="1"/>
    <cellStyle name="Followed Hyperlink" xfId="1225" builtinId="9" hidden="1"/>
    <cellStyle name="Followed Hyperlink" xfId="1227" builtinId="9" hidden="1"/>
    <cellStyle name="Followed Hyperlink" xfId="1229" builtinId="9" hidden="1"/>
    <cellStyle name="Followed Hyperlink" xfId="1231" builtinId="9" hidden="1"/>
    <cellStyle name="Followed Hyperlink" xfId="1233" builtinId="9" hidden="1"/>
    <cellStyle name="Followed Hyperlink" xfId="1235" builtinId="9" hidden="1"/>
    <cellStyle name="Followed Hyperlink" xfId="1237" builtinId="9" hidden="1"/>
    <cellStyle name="Followed Hyperlink" xfId="1239" builtinId="9" hidden="1"/>
    <cellStyle name="Followed Hyperlink" xfId="1241" builtinId="9" hidden="1"/>
    <cellStyle name="Followed Hyperlink" xfId="1243" builtinId="9" hidden="1"/>
    <cellStyle name="Followed Hyperlink" xfId="1245" builtinId="9" hidden="1"/>
    <cellStyle name="Followed Hyperlink" xfId="1247" builtinId="9" hidden="1"/>
    <cellStyle name="Followed Hyperlink" xfId="1249" builtinId="9" hidden="1"/>
    <cellStyle name="Followed Hyperlink" xfId="1251" builtinId="9" hidden="1"/>
    <cellStyle name="Followed Hyperlink" xfId="1253" builtinId="9" hidden="1"/>
    <cellStyle name="Followed Hyperlink" xfId="1255" builtinId="9" hidden="1"/>
    <cellStyle name="Followed Hyperlink" xfId="1257" builtinId="9" hidden="1"/>
    <cellStyle name="Followed Hyperlink" xfId="1259" builtinId="9" hidden="1"/>
    <cellStyle name="Followed Hyperlink" xfId="1261" builtinId="9" hidden="1"/>
    <cellStyle name="Followed Hyperlink" xfId="1263" builtinId="9" hidden="1"/>
    <cellStyle name="Followed Hyperlink" xfId="1265" builtinId="9" hidden="1"/>
    <cellStyle name="Followed Hyperlink" xfId="1267" builtinId="9" hidden="1"/>
    <cellStyle name="Followed Hyperlink" xfId="1269" builtinId="9" hidden="1"/>
    <cellStyle name="Followed Hyperlink" xfId="1271" builtinId="9" hidden="1"/>
    <cellStyle name="Followed Hyperlink" xfId="1273" builtinId="9" hidden="1"/>
    <cellStyle name="Followed Hyperlink" xfId="1275" builtinId="9" hidden="1"/>
    <cellStyle name="Followed Hyperlink" xfId="1277" builtinId="9" hidden="1"/>
    <cellStyle name="Followed Hyperlink" xfId="1279" builtinId="9" hidden="1"/>
    <cellStyle name="Followed Hyperlink" xfId="1281" builtinId="9" hidden="1"/>
    <cellStyle name="Followed Hyperlink" xfId="1283" builtinId="9" hidden="1"/>
    <cellStyle name="Followed Hyperlink" xfId="1285" builtinId="9" hidden="1"/>
    <cellStyle name="Followed Hyperlink" xfId="1287" builtinId="9" hidden="1"/>
    <cellStyle name="Followed Hyperlink" xfId="1289" builtinId="9" hidden="1"/>
    <cellStyle name="Followed Hyperlink" xfId="1291" builtinId="9" hidden="1"/>
    <cellStyle name="Followed Hyperlink" xfId="1293" builtinId="9" hidden="1"/>
    <cellStyle name="Followed Hyperlink" xfId="1295" builtinId="9" hidden="1"/>
    <cellStyle name="Followed Hyperlink" xfId="1297" builtinId="9" hidden="1"/>
    <cellStyle name="Followed Hyperlink" xfId="1299" builtinId="9" hidden="1"/>
    <cellStyle name="Followed Hyperlink" xfId="1301" builtinId="9" hidden="1"/>
    <cellStyle name="Followed Hyperlink" xfId="1303" builtinId="9" hidden="1"/>
    <cellStyle name="Followed Hyperlink" xfId="1305" builtinId="9" hidden="1"/>
    <cellStyle name="Followed Hyperlink" xfId="1307" builtinId="9" hidden="1"/>
    <cellStyle name="Followed Hyperlink" xfId="1309" builtinId="9" hidden="1"/>
    <cellStyle name="Followed Hyperlink" xfId="1311" builtinId="9" hidden="1"/>
    <cellStyle name="Followed Hyperlink" xfId="1313" builtinId="9" hidden="1"/>
    <cellStyle name="Followed Hyperlink" xfId="1315" builtinId="9" hidden="1"/>
    <cellStyle name="Followed Hyperlink" xfId="1317" builtinId="9" hidden="1"/>
    <cellStyle name="Followed Hyperlink" xfId="1319" builtinId="9" hidden="1"/>
    <cellStyle name="Followed Hyperlink" xfId="1321" builtinId="9" hidden="1"/>
    <cellStyle name="Followed Hyperlink" xfId="1323" builtinId="9" hidden="1"/>
    <cellStyle name="Followed Hyperlink" xfId="1325" builtinId="9" hidden="1"/>
    <cellStyle name="Followed Hyperlink" xfId="1327" builtinId="9" hidden="1"/>
    <cellStyle name="Followed Hyperlink" xfId="1329" builtinId="9" hidden="1"/>
    <cellStyle name="Followed Hyperlink" xfId="1331" builtinId="9" hidden="1"/>
    <cellStyle name="Followed Hyperlink" xfId="1333" builtinId="9" hidden="1"/>
    <cellStyle name="Followed Hyperlink" xfId="1335" builtinId="9" hidden="1"/>
    <cellStyle name="Followed Hyperlink" xfId="1337" builtinId="9" hidden="1"/>
    <cellStyle name="Followed Hyperlink" xfId="1339" builtinId="9" hidden="1"/>
    <cellStyle name="Followed Hyperlink" xfId="1341" builtinId="9" hidden="1"/>
    <cellStyle name="Followed Hyperlink" xfId="1343" builtinId="9" hidden="1"/>
    <cellStyle name="Followed Hyperlink" xfId="1345" builtinId="9" hidden="1"/>
    <cellStyle name="Followed Hyperlink" xfId="1347" builtinId="9" hidden="1"/>
    <cellStyle name="Followed Hyperlink" xfId="1349" builtinId="9" hidden="1"/>
    <cellStyle name="Followed Hyperlink" xfId="1351" builtinId="9" hidden="1"/>
    <cellStyle name="Followed Hyperlink" xfId="1353" builtinId="9" hidden="1"/>
    <cellStyle name="Followed Hyperlink" xfId="1355" builtinId="9" hidden="1"/>
    <cellStyle name="Followed Hyperlink" xfId="1357" builtinId="9" hidden="1"/>
    <cellStyle name="Followed Hyperlink" xfId="1359" builtinId="9" hidden="1"/>
    <cellStyle name="Followed Hyperlink" xfId="1361" builtinId="9" hidden="1"/>
    <cellStyle name="Followed Hyperlink" xfId="1363" builtinId="9" hidden="1"/>
    <cellStyle name="Followed Hyperlink" xfId="1365" builtinId="9" hidden="1"/>
    <cellStyle name="Followed Hyperlink" xfId="1367" builtinId="9" hidden="1"/>
    <cellStyle name="Followed Hyperlink" xfId="1369" builtinId="9" hidden="1"/>
    <cellStyle name="Followed Hyperlink" xfId="1371" builtinId="9" hidden="1"/>
    <cellStyle name="Followed Hyperlink" xfId="1373" builtinId="9" hidden="1"/>
    <cellStyle name="Followed Hyperlink" xfId="1375" builtinId="9" hidden="1"/>
    <cellStyle name="Followed Hyperlink" xfId="1377" builtinId="9" hidden="1"/>
    <cellStyle name="Followed Hyperlink" xfId="1379" builtinId="9" hidden="1"/>
    <cellStyle name="Followed Hyperlink" xfId="1381" builtinId="9" hidden="1"/>
    <cellStyle name="Followed Hyperlink" xfId="1383" builtinId="9" hidden="1"/>
    <cellStyle name="Followed Hyperlink" xfId="1385" builtinId="9" hidden="1"/>
    <cellStyle name="Followed Hyperlink" xfId="1387" builtinId="9" hidden="1"/>
    <cellStyle name="Followed Hyperlink" xfId="1389" builtinId="9" hidden="1"/>
    <cellStyle name="Followed Hyperlink" xfId="1391" builtinId="9" hidden="1"/>
    <cellStyle name="Followed Hyperlink" xfId="1393" builtinId="9" hidden="1"/>
    <cellStyle name="Followed Hyperlink" xfId="1395" builtinId="9" hidden="1"/>
    <cellStyle name="Followed Hyperlink" xfId="1397" builtinId="9" hidden="1"/>
    <cellStyle name="Followed Hyperlink" xfId="1399" builtinId="9" hidden="1"/>
    <cellStyle name="Followed Hyperlink" xfId="1401" builtinId="9" hidden="1"/>
    <cellStyle name="Followed Hyperlink" xfId="1403" builtinId="9" hidden="1"/>
    <cellStyle name="Followed Hyperlink" xfId="1405" builtinId="9" hidden="1"/>
    <cellStyle name="Followed Hyperlink" xfId="1407" builtinId="9" hidden="1"/>
    <cellStyle name="Followed Hyperlink" xfId="1409" builtinId="9" hidden="1"/>
    <cellStyle name="Followed Hyperlink" xfId="1411" builtinId="9" hidden="1"/>
    <cellStyle name="Followed Hyperlink" xfId="1413" builtinId="9" hidden="1"/>
    <cellStyle name="Followed Hyperlink" xfId="1415" builtinId="9" hidden="1"/>
    <cellStyle name="Followed Hyperlink" xfId="1417" builtinId="9" hidden="1"/>
    <cellStyle name="Followed Hyperlink" xfId="1419" builtinId="9" hidden="1"/>
    <cellStyle name="Followed Hyperlink" xfId="1421" builtinId="9" hidden="1"/>
    <cellStyle name="Followed Hyperlink" xfId="1423" builtinId="9" hidden="1"/>
    <cellStyle name="Followed Hyperlink" xfId="1425" builtinId="9" hidden="1"/>
    <cellStyle name="Followed Hyperlink" xfId="1427" builtinId="9" hidden="1"/>
    <cellStyle name="Followed Hyperlink" xfId="1429" builtinId="9" hidden="1"/>
    <cellStyle name="Followed Hyperlink" xfId="1431" builtinId="9" hidden="1"/>
    <cellStyle name="Followed Hyperlink" xfId="1433" builtinId="9" hidden="1"/>
    <cellStyle name="Followed Hyperlink" xfId="1435" builtinId="9" hidden="1"/>
    <cellStyle name="Followed Hyperlink" xfId="1437" builtinId="9" hidden="1"/>
    <cellStyle name="Followed Hyperlink" xfId="1439" builtinId="9" hidden="1"/>
    <cellStyle name="Followed Hyperlink" xfId="1441" builtinId="9" hidden="1"/>
    <cellStyle name="Followed Hyperlink" xfId="1443" builtinId="9" hidden="1"/>
    <cellStyle name="Followed Hyperlink" xfId="1445" builtinId="9" hidden="1"/>
    <cellStyle name="Followed Hyperlink" xfId="1447" builtinId="9" hidden="1"/>
    <cellStyle name="Followed Hyperlink" xfId="1449" builtinId="9" hidden="1"/>
    <cellStyle name="Followed Hyperlink" xfId="1451" builtinId="9" hidden="1"/>
    <cellStyle name="Followed Hyperlink" xfId="1453" builtinId="9" hidden="1"/>
    <cellStyle name="Followed Hyperlink" xfId="1455" builtinId="9" hidden="1"/>
    <cellStyle name="Followed Hyperlink" xfId="1457" builtinId="9" hidden="1"/>
    <cellStyle name="Followed Hyperlink" xfId="1459" builtinId="9" hidden="1"/>
    <cellStyle name="Followed Hyperlink" xfId="1461" builtinId="9" hidden="1"/>
    <cellStyle name="Followed Hyperlink" xfId="1463" builtinId="9" hidden="1"/>
    <cellStyle name="Followed Hyperlink" xfId="1465" builtinId="9" hidden="1"/>
    <cellStyle name="Followed Hyperlink" xfId="1467" builtinId="9" hidden="1"/>
    <cellStyle name="Followed Hyperlink" xfId="1469" builtinId="9" hidden="1"/>
    <cellStyle name="Followed Hyperlink" xfId="1471" builtinId="9" hidden="1"/>
    <cellStyle name="Followed Hyperlink" xfId="1473" builtinId="9" hidden="1"/>
    <cellStyle name="Followed Hyperlink" xfId="1475" builtinId="9" hidden="1"/>
    <cellStyle name="Followed Hyperlink" xfId="1477" builtinId="9" hidden="1"/>
    <cellStyle name="Followed Hyperlink" xfId="1479" builtinId="9" hidden="1"/>
    <cellStyle name="Followed Hyperlink" xfId="1481" builtinId="9" hidden="1"/>
    <cellStyle name="Followed Hyperlink" xfId="1483" builtinId="9" hidden="1"/>
    <cellStyle name="Followed Hyperlink" xfId="1485" builtinId="9" hidden="1"/>
    <cellStyle name="Followed Hyperlink" xfId="1487" builtinId="9" hidden="1"/>
    <cellStyle name="Followed Hyperlink" xfId="1489" builtinId="9" hidden="1"/>
    <cellStyle name="Followed Hyperlink" xfId="1491" builtinId="9" hidden="1"/>
    <cellStyle name="Followed Hyperlink" xfId="1493" builtinId="9" hidden="1"/>
    <cellStyle name="Followed Hyperlink" xfId="1495" builtinId="9" hidden="1"/>
    <cellStyle name="Followed Hyperlink" xfId="1497" builtinId="9" hidden="1"/>
    <cellStyle name="Followed Hyperlink" xfId="1499" builtinId="9" hidden="1"/>
    <cellStyle name="Followed Hyperlink" xfId="1501" builtinId="9" hidden="1"/>
    <cellStyle name="Followed Hyperlink" xfId="1503" builtinId="9" hidden="1"/>
    <cellStyle name="Followed Hyperlink" xfId="1505" builtinId="9" hidden="1"/>
    <cellStyle name="Followed Hyperlink" xfId="1507" builtinId="9" hidden="1"/>
    <cellStyle name="Followed Hyperlink" xfId="1509" builtinId="9" hidden="1"/>
    <cellStyle name="Followed Hyperlink" xfId="1511" builtinId="9" hidden="1"/>
    <cellStyle name="Followed Hyperlink" xfId="1513" builtinId="9" hidden="1"/>
    <cellStyle name="Followed Hyperlink" xfId="1515" builtinId="9" hidden="1"/>
    <cellStyle name="Followed Hyperlink" xfId="1517" builtinId="9" hidden="1"/>
    <cellStyle name="Followed Hyperlink" xfId="1519" builtinId="9" hidden="1"/>
    <cellStyle name="Followed Hyperlink" xfId="1521" builtinId="9" hidden="1"/>
    <cellStyle name="Followed Hyperlink" xfId="1523" builtinId="9" hidden="1"/>
    <cellStyle name="Followed Hyperlink" xfId="1525" builtinId="9" hidden="1"/>
    <cellStyle name="Followed Hyperlink" xfId="1527" builtinId="9" hidden="1"/>
    <cellStyle name="Followed Hyperlink" xfId="1529" builtinId="9" hidden="1"/>
    <cellStyle name="Followed Hyperlink" xfId="1531" builtinId="9" hidden="1"/>
    <cellStyle name="Followed Hyperlink" xfId="1533" builtinId="9" hidden="1"/>
    <cellStyle name="Followed Hyperlink" xfId="1535" builtinId="9" hidden="1"/>
    <cellStyle name="Followed Hyperlink" xfId="1537" builtinId="9" hidden="1"/>
    <cellStyle name="Followed Hyperlink" xfId="1539" builtinId="9" hidden="1"/>
    <cellStyle name="Followed Hyperlink" xfId="1541" builtinId="9" hidden="1"/>
    <cellStyle name="Followed Hyperlink" xfId="1543" builtinId="9" hidden="1"/>
    <cellStyle name="Followed Hyperlink" xfId="1545" builtinId="9" hidden="1"/>
    <cellStyle name="Followed Hyperlink" xfId="1547" builtinId="9" hidden="1"/>
    <cellStyle name="Followed Hyperlink" xfId="1549" builtinId="9" hidden="1"/>
    <cellStyle name="Followed Hyperlink" xfId="1551" builtinId="9" hidden="1"/>
    <cellStyle name="Followed Hyperlink" xfId="1553" builtinId="9" hidden="1"/>
    <cellStyle name="Followed Hyperlink" xfId="1555" builtinId="9" hidden="1"/>
    <cellStyle name="Followed Hyperlink" xfId="1557" builtinId="9" hidden="1"/>
    <cellStyle name="Followed Hyperlink" xfId="1559" builtinId="9" hidden="1"/>
    <cellStyle name="Followed Hyperlink" xfId="1561" builtinId="9" hidden="1"/>
    <cellStyle name="Followed Hyperlink" xfId="1563" builtinId="9" hidden="1"/>
    <cellStyle name="Followed Hyperlink" xfId="1565" builtinId="9" hidden="1"/>
    <cellStyle name="Followed Hyperlink" xfId="1567" builtinId="9" hidden="1"/>
    <cellStyle name="Followed Hyperlink" xfId="1569" builtinId="9" hidden="1"/>
    <cellStyle name="Followed Hyperlink" xfId="1571" builtinId="9" hidden="1"/>
    <cellStyle name="Followed Hyperlink" xfId="1573" builtinId="9" hidden="1"/>
    <cellStyle name="Followed Hyperlink" xfId="1575" builtinId="9" hidden="1"/>
    <cellStyle name="Followed Hyperlink" xfId="1577" builtinId="9" hidden="1"/>
    <cellStyle name="Followed Hyperlink" xfId="1579" builtinId="9" hidden="1"/>
    <cellStyle name="Followed Hyperlink" xfId="1581" builtinId="9" hidden="1"/>
    <cellStyle name="Followed Hyperlink" xfId="1583" builtinId="9" hidden="1"/>
    <cellStyle name="Followed Hyperlink" xfId="1585" builtinId="9" hidden="1"/>
    <cellStyle name="Followed Hyperlink" xfId="1587" builtinId="9" hidden="1"/>
    <cellStyle name="Followed Hyperlink" xfId="1589" builtinId="9" hidden="1"/>
    <cellStyle name="Followed Hyperlink" xfId="1591" builtinId="9" hidden="1"/>
    <cellStyle name="Followed Hyperlink" xfId="1593" builtinId="9" hidden="1"/>
    <cellStyle name="Followed Hyperlink" xfId="1595" builtinId="9" hidden="1"/>
    <cellStyle name="Followed Hyperlink" xfId="1597" builtinId="9" hidden="1"/>
    <cellStyle name="Followed Hyperlink" xfId="1599" builtinId="9" hidden="1"/>
    <cellStyle name="Followed Hyperlink" xfId="1601" builtinId="9" hidden="1"/>
    <cellStyle name="Followed Hyperlink" xfId="1603" builtinId="9" hidden="1"/>
    <cellStyle name="Followed Hyperlink" xfId="1605" builtinId="9" hidden="1"/>
    <cellStyle name="Followed Hyperlink" xfId="1607" builtinId="9" hidden="1"/>
    <cellStyle name="Followed Hyperlink" xfId="1609" builtinId="9" hidden="1"/>
    <cellStyle name="Followed Hyperlink" xfId="1611" builtinId="9" hidden="1"/>
    <cellStyle name="Followed Hyperlink" xfId="1613" builtinId="9" hidden="1"/>
    <cellStyle name="Followed Hyperlink" xfId="1615" builtinId="9" hidden="1"/>
    <cellStyle name="Followed Hyperlink" xfId="1617" builtinId="9" hidden="1"/>
    <cellStyle name="Followed Hyperlink" xfId="1619" builtinId="9" hidden="1"/>
    <cellStyle name="Followed Hyperlink" xfId="1621" builtinId="9" hidden="1"/>
    <cellStyle name="Followed Hyperlink" xfId="1623" builtinId="9" hidden="1"/>
    <cellStyle name="Followed Hyperlink" xfId="1625" builtinId="9" hidden="1"/>
    <cellStyle name="Followed Hyperlink" xfId="1627" builtinId="9" hidden="1"/>
    <cellStyle name="Followed Hyperlink" xfId="1629" builtinId="9" hidden="1"/>
    <cellStyle name="Followed Hyperlink" xfId="1631" builtinId="9" hidden="1"/>
    <cellStyle name="Followed Hyperlink" xfId="1633" builtinId="9" hidden="1"/>
    <cellStyle name="Followed Hyperlink" xfId="1635" builtinId="9" hidden="1"/>
    <cellStyle name="Followed Hyperlink" xfId="1637" builtinId="9" hidden="1"/>
    <cellStyle name="Followed Hyperlink" xfId="1639" builtinId="9" hidden="1"/>
    <cellStyle name="Followed Hyperlink" xfId="1641" builtinId="9" hidden="1"/>
    <cellStyle name="Followed Hyperlink" xfId="1643" builtinId="9" hidden="1"/>
    <cellStyle name="Followed Hyperlink" xfId="1645" builtinId="9" hidden="1"/>
    <cellStyle name="Followed Hyperlink" xfId="1647" builtinId="9" hidden="1"/>
    <cellStyle name="Followed Hyperlink" xfId="1649" builtinId="9" hidden="1"/>
    <cellStyle name="Followed Hyperlink" xfId="1651" builtinId="9" hidden="1"/>
    <cellStyle name="Followed Hyperlink" xfId="1653" builtinId="9" hidden="1"/>
    <cellStyle name="Followed Hyperlink" xfId="1655" builtinId="9" hidden="1"/>
    <cellStyle name="Followed Hyperlink" xfId="1657" builtinId="9" hidden="1"/>
    <cellStyle name="Followed Hyperlink" xfId="1659" builtinId="9" hidden="1"/>
    <cellStyle name="Followed Hyperlink" xfId="1661" builtinId="9" hidden="1"/>
    <cellStyle name="Followed Hyperlink" xfId="1663" builtinId="9" hidden="1"/>
    <cellStyle name="Followed Hyperlink" xfId="1665" builtinId="9" hidden="1"/>
    <cellStyle name="Followed Hyperlink" xfId="1667" builtinId="9" hidden="1"/>
    <cellStyle name="Followed Hyperlink" xfId="1669" builtinId="9" hidden="1"/>
    <cellStyle name="Followed Hyperlink" xfId="1671" builtinId="9" hidden="1"/>
    <cellStyle name="Followed Hyperlink" xfId="1673" builtinId="9" hidden="1"/>
    <cellStyle name="Followed Hyperlink" xfId="1675" builtinId="9" hidden="1"/>
    <cellStyle name="Followed Hyperlink" xfId="1677" builtinId="9" hidden="1"/>
    <cellStyle name="Followed Hyperlink" xfId="1679" builtinId="9" hidden="1"/>
    <cellStyle name="Followed Hyperlink" xfId="1681" builtinId="9" hidden="1"/>
    <cellStyle name="Followed Hyperlink" xfId="1683" builtinId="9" hidden="1"/>
    <cellStyle name="Followed Hyperlink" xfId="1685" builtinId="9" hidden="1"/>
    <cellStyle name="Followed Hyperlink" xfId="1687" builtinId="9" hidden="1"/>
    <cellStyle name="Followed Hyperlink" xfId="1689" builtinId="9" hidden="1"/>
    <cellStyle name="Followed Hyperlink" xfId="1691" builtinId="9" hidden="1"/>
    <cellStyle name="Followed Hyperlink" xfId="1693" builtinId="9" hidden="1"/>
    <cellStyle name="Followed Hyperlink" xfId="1695" builtinId="9" hidden="1"/>
    <cellStyle name="Followed Hyperlink" xfId="1697" builtinId="9" hidden="1"/>
    <cellStyle name="Followed Hyperlink" xfId="1699" builtinId="9" hidden="1"/>
    <cellStyle name="Followed Hyperlink" xfId="1701" builtinId="9" hidden="1"/>
    <cellStyle name="Followed Hyperlink" xfId="1703" builtinId="9" hidden="1"/>
    <cellStyle name="Followed Hyperlink" xfId="1705" builtinId="9" hidden="1"/>
    <cellStyle name="Followed Hyperlink" xfId="1707" builtinId="9" hidden="1"/>
    <cellStyle name="Followed Hyperlink" xfId="1709" builtinId="9" hidden="1"/>
    <cellStyle name="Followed Hyperlink" xfId="1711" builtinId="9" hidden="1"/>
    <cellStyle name="Followed Hyperlink" xfId="1713" builtinId="9" hidden="1"/>
    <cellStyle name="Followed Hyperlink" xfId="1715" builtinId="9" hidden="1"/>
    <cellStyle name="Followed Hyperlink" xfId="1717" builtinId="9" hidden="1"/>
    <cellStyle name="Followed Hyperlink" xfId="1719" builtinId="9" hidden="1"/>
    <cellStyle name="Followed Hyperlink" xfId="1721" builtinId="9" hidden="1"/>
    <cellStyle name="Followed Hyperlink" xfId="1723" builtinId="9" hidden="1"/>
    <cellStyle name="Followed Hyperlink" xfId="1725" builtinId="9" hidden="1"/>
    <cellStyle name="Followed Hyperlink" xfId="1727" builtinId="9" hidden="1"/>
    <cellStyle name="Followed Hyperlink" xfId="1729" builtinId="9" hidden="1"/>
    <cellStyle name="Followed Hyperlink" xfId="1731" builtinId="9" hidden="1"/>
    <cellStyle name="Followed Hyperlink" xfId="1733" builtinId="9" hidden="1"/>
    <cellStyle name="Followed Hyperlink" xfId="1735" builtinId="9" hidden="1"/>
    <cellStyle name="Followed Hyperlink" xfId="1737" builtinId="9" hidden="1"/>
    <cellStyle name="Followed Hyperlink" xfId="1739" builtinId="9" hidden="1"/>
    <cellStyle name="Followed Hyperlink" xfId="1741" builtinId="9" hidden="1"/>
    <cellStyle name="Followed Hyperlink" xfId="1743" builtinId="9" hidden="1"/>
    <cellStyle name="Followed Hyperlink" xfId="1745" builtinId="9" hidden="1"/>
    <cellStyle name="Followed Hyperlink" xfId="1747" builtinId="9" hidden="1"/>
    <cellStyle name="Followed Hyperlink" xfId="1749" builtinId="9" hidden="1"/>
    <cellStyle name="Followed Hyperlink" xfId="1751" builtinId="9" hidden="1"/>
    <cellStyle name="Followed Hyperlink" xfId="1753" builtinId="9" hidden="1"/>
    <cellStyle name="Followed Hyperlink" xfId="1755" builtinId="9" hidden="1"/>
    <cellStyle name="Followed Hyperlink" xfId="1757" builtinId="9" hidden="1"/>
    <cellStyle name="Followed Hyperlink" xfId="1759" builtinId="9" hidden="1"/>
    <cellStyle name="Followed Hyperlink" xfId="1761" builtinId="9" hidden="1"/>
    <cellStyle name="Followed Hyperlink" xfId="1763" builtinId="9" hidden="1"/>
    <cellStyle name="Followed Hyperlink" xfId="1765" builtinId="9" hidden="1"/>
    <cellStyle name="Followed Hyperlink" xfId="1767" builtinId="9" hidden="1"/>
    <cellStyle name="Followed Hyperlink" xfId="1769" builtinId="9" hidden="1"/>
    <cellStyle name="Followed Hyperlink" xfId="1771" builtinId="9" hidden="1"/>
    <cellStyle name="Followed Hyperlink" xfId="1773" builtinId="9" hidden="1"/>
    <cellStyle name="Followed Hyperlink" xfId="1775" builtinId="9" hidden="1"/>
    <cellStyle name="Followed Hyperlink" xfId="1777" builtinId="9" hidden="1"/>
    <cellStyle name="Followed Hyperlink" xfId="1779" builtinId="9" hidden="1"/>
    <cellStyle name="Followed Hyperlink" xfId="1781" builtinId="9" hidden="1"/>
    <cellStyle name="Followed Hyperlink" xfId="1783" builtinId="9" hidden="1"/>
    <cellStyle name="Followed Hyperlink" xfId="1785" builtinId="9" hidden="1"/>
    <cellStyle name="Followed Hyperlink" xfId="1787" builtinId="9" hidden="1"/>
    <cellStyle name="Followed Hyperlink" xfId="1789" builtinId="9" hidden="1"/>
    <cellStyle name="Followed Hyperlink" xfId="1791" builtinId="9" hidden="1"/>
    <cellStyle name="Followed Hyperlink" xfId="1793" builtinId="9" hidden="1"/>
    <cellStyle name="Followed Hyperlink" xfId="1795" builtinId="9" hidden="1"/>
    <cellStyle name="Followed Hyperlink" xfId="1797" builtinId="9" hidden="1"/>
    <cellStyle name="Followed Hyperlink" xfId="1799" builtinId="9" hidden="1"/>
    <cellStyle name="Followed Hyperlink" xfId="1801" builtinId="9" hidden="1"/>
    <cellStyle name="Followed Hyperlink" xfId="1803" builtinId="9" hidden="1"/>
    <cellStyle name="Followed Hyperlink" xfId="1805" builtinId="9" hidden="1"/>
    <cellStyle name="Followed Hyperlink" xfId="1807" builtinId="9" hidden="1"/>
    <cellStyle name="Followed Hyperlink" xfId="1809" builtinId="9" hidden="1"/>
    <cellStyle name="Followed Hyperlink" xfId="1811" builtinId="9" hidden="1"/>
    <cellStyle name="Followed Hyperlink" xfId="1813" builtinId="9" hidden="1"/>
    <cellStyle name="Followed Hyperlink" xfId="1815" builtinId="9" hidden="1"/>
    <cellStyle name="Followed Hyperlink" xfId="1817" builtinId="9" hidden="1"/>
    <cellStyle name="Followed Hyperlink" xfId="1819" builtinId="9" hidden="1"/>
    <cellStyle name="Followed Hyperlink" xfId="1821" builtinId="9" hidden="1"/>
    <cellStyle name="Followed Hyperlink" xfId="1823" builtinId="9" hidden="1"/>
    <cellStyle name="Followed Hyperlink" xfId="1825" builtinId="9" hidden="1"/>
    <cellStyle name="Followed Hyperlink" xfId="1827" builtinId="9" hidden="1"/>
    <cellStyle name="Followed Hyperlink" xfId="1829" builtinId="9" hidden="1"/>
    <cellStyle name="Followed Hyperlink" xfId="1831" builtinId="9" hidden="1"/>
    <cellStyle name="Followed Hyperlink" xfId="1833" builtinId="9" hidden="1"/>
    <cellStyle name="Followed Hyperlink" xfId="1835" builtinId="9" hidden="1"/>
    <cellStyle name="Followed Hyperlink" xfId="1837" builtinId="9" hidden="1"/>
    <cellStyle name="Followed Hyperlink" xfId="1839" builtinId="9" hidden="1"/>
    <cellStyle name="Followed Hyperlink" xfId="1841" builtinId="9" hidden="1"/>
    <cellStyle name="Followed Hyperlink" xfId="1843" builtinId="9" hidden="1"/>
    <cellStyle name="Followed Hyperlink" xfId="1845" builtinId="9" hidden="1"/>
    <cellStyle name="Followed Hyperlink" xfId="1847" builtinId="9" hidden="1"/>
    <cellStyle name="Followed Hyperlink" xfId="1849" builtinId="9" hidden="1"/>
    <cellStyle name="Followed Hyperlink" xfId="1851" builtinId="9" hidden="1"/>
    <cellStyle name="Followed Hyperlink" xfId="1853" builtinId="9" hidden="1"/>
    <cellStyle name="Followed Hyperlink" xfId="1855" builtinId="9" hidden="1"/>
    <cellStyle name="Followed Hyperlink" xfId="1857" builtinId="9" hidden="1"/>
    <cellStyle name="Followed Hyperlink" xfId="1859" builtinId="9" hidden="1"/>
    <cellStyle name="Followed Hyperlink" xfId="1861" builtinId="9" hidden="1"/>
    <cellStyle name="Followed Hyperlink" xfId="1863" builtinId="9" hidden="1"/>
    <cellStyle name="Followed Hyperlink" xfId="1865" builtinId="9" hidden="1"/>
    <cellStyle name="Followed Hyperlink" xfId="1867" builtinId="9" hidden="1"/>
    <cellStyle name="Followed Hyperlink" xfId="1869" builtinId="9" hidden="1"/>
    <cellStyle name="Followed Hyperlink" xfId="1871" builtinId="9" hidden="1"/>
    <cellStyle name="Followed Hyperlink" xfId="1873" builtinId="9" hidden="1"/>
    <cellStyle name="Followed Hyperlink" xfId="1875" builtinId="9" hidden="1"/>
    <cellStyle name="Followed Hyperlink" xfId="1877" builtinId="9" hidden="1"/>
    <cellStyle name="Followed Hyperlink" xfId="1879" builtinId="9" hidden="1"/>
    <cellStyle name="Followed Hyperlink" xfId="1881" builtinId="9" hidden="1"/>
    <cellStyle name="Followed Hyperlink" xfId="1883" builtinId="9" hidden="1"/>
    <cellStyle name="Followed Hyperlink" xfId="1885" builtinId="9" hidden="1"/>
    <cellStyle name="Followed Hyperlink" xfId="1887" builtinId="9" hidden="1"/>
    <cellStyle name="Followed Hyperlink" xfId="1889" builtinId="9" hidden="1"/>
    <cellStyle name="Followed Hyperlink" xfId="1891" builtinId="9" hidden="1"/>
    <cellStyle name="Followed Hyperlink" xfId="1893" builtinId="9" hidden="1"/>
    <cellStyle name="Followed Hyperlink" xfId="1895" builtinId="9" hidden="1"/>
    <cellStyle name="Followed Hyperlink" xfId="1897" builtinId="9" hidden="1"/>
    <cellStyle name="Followed Hyperlink" xfId="1899" builtinId="9" hidden="1"/>
    <cellStyle name="Followed Hyperlink" xfId="1901" builtinId="9" hidden="1"/>
    <cellStyle name="Followed Hyperlink" xfId="1903" builtinId="9" hidden="1"/>
    <cellStyle name="Followed Hyperlink" xfId="1905" builtinId="9" hidden="1"/>
    <cellStyle name="Followed Hyperlink" xfId="1907" builtinId="9" hidden="1"/>
    <cellStyle name="Followed Hyperlink" xfId="1909" builtinId="9" hidden="1"/>
    <cellStyle name="Followed Hyperlink" xfId="1911" builtinId="9" hidden="1"/>
    <cellStyle name="Followed Hyperlink" xfId="1913" builtinId="9" hidden="1"/>
    <cellStyle name="Followed Hyperlink" xfId="1915" builtinId="9" hidden="1"/>
    <cellStyle name="Followed Hyperlink" xfId="1917" builtinId="9" hidden="1"/>
    <cellStyle name="Followed Hyperlink" xfId="1919" builtinId="9" hidden="1"/>
    <cellStyle name="Followed Hyperlink" xfId="1921" builtinId="9" hidden="1"/>
    <cellStyle name="Followed Hyperlink" xfId="1923" builtinId="9" hidden="1"/>
    <cellStyle name="Followed Hyperlink" xfId="1925" builtinId="9" hidden="1"/>
    <cellStyle name="Followed Hyperlink" xfId="1927" builtinId="9" hidden="1"/>
    <cellStyle name="Followed Hyperlink" xfId="1929" builtinId="9" hidden="1"/>
    <cellStyle name="Followed Hyperlink" xfId="1931" builtinId="9" hidden="1"/>
    <cellStyle name="Followed Hyperlink" xfId="1933" builtinId="9" hidden="1"/>
    <cellStyle name="Followed Hyperlink" xfId="1935" builtinId="9" hidden="1"/>
    <cellStyle name="Followed Hyperlink" xfId="1937" builtinId="9" hidden="1"/>
    <cellStyle name="Followed Hyperlink" xfId="1939" builtinId="9" hidden="1"/>
    <cellStyle name="Followed Hyperlink" xfId="1941" builtinId="9" hidden="1"/>
    <cellStyle name="Followed Hyperlink" xfId="1943" builtinId="9" hidden="1"/>
    <cellStyle name="Followed Hyperlink" xfId="1945" builtinId="9" hidden="1"/>
    <cellStyle name="Followed Hyperlink" xfId="1947" builtinId="9" hidden="1"/>
    <cellStyle name="Followed Hyperlink" xfId="1949" builtinId="9" hidden="1"/>
    <cellStyle name="Followed Hyperlink" xfId="1951" builtinId="9" hidden="1"/>
    <cellStyle name="Followed Hyperlink" xfId="1953" builtinId="9" hidden="1"/>
    <cellStyle name="Followed Hyperlink" xfId="1955" builtinId="9" hidden="1"/>
    <cellStyle name="Followed Hyperlink" xfId="1957" builtinId="9" hidden="1"/>
    <cellStyle name="Followed Hyperlink" xfId="1959" builtinId="9" hidden="1"/>
    <cellStyle name="Followed Hyperlink" xfId="1961" builtinId="9" hidden="1"/>
    <cellStyle name="Followed Hyperlink" xfId="1963" builtinId="9" hidden="1"/>
    <cellStyle name="Followed Hyperlink" xfId="1965" builtinId="9" hidden="1"/>
    <cellStyle name="Followed Hyperlink" xfId="1967" builtinId="9" hidden="1"/>
    <cellStyle name="Followed Hyperlink" xfId="1969" builtinId="9" hidden="1"/>
    <cellStyle name="Followed Hyperlink" xfId="1971" builtinId="9" hidden="1"/>
    <cellStyle name="Followed Hyperlink" xfId="1973" builtinId="9" hidden="1"/>
    <cellStyle name="Followed Hyperlink" xfId="1975" builtinId="9" hidden="1"/>
    <cellStyle name="Followed Hyperlink" xfId="1977" builtinId="9" hidden="1"/>
    <cellStyle name="Followed Hyperlink" xfId="1979" builtinId="9" hidden="1"/>
    <cellStyle name="Followed Hyperlink" xfId="1981" builtinId="9" hidden="1"/>
    <cellStyle name="Followed Hyperlink" xfId="1983" builtinId="9" hidden="1"/>
    <cellStyle name="Followed Hyperlink" xfId="1985" builtinId="9" hidden="1"/>
    <cellStyle name="Followed Hyperlink" xfId="1987" builtinId="9" hidden="1"/>
    <cellStyle name="Followed Hyperlink" xfId="1989" builtinId="9" hidden="1"/>
    <cellStyle name="Followed Hyperlink" xfId="1991" builtinId="9" hidden="1"/>
    <cellStyle name="Followed Hyperlink" xfId="1993" builtinId="9" hidden="1"/>
    <cellStyle name="Followed Hyperlink" xfId="1995" builtinId="9" hidden="1"/>
    <cellStyle name="Followed Hyperlink" xfId="1997" builtinId="9" hidden="1"/>
    <cellStyle name="Followed Hyperlink" xfId="1999" builtinId="9" hidden="1"/>
    <cellStyle name="Followed Hyperlink" xfId="2001" builtinId="9" hidden="1"/>
    <cellStyle name="Followed Hyperlink" xfId="2003" builtinId="9" hidden="1"/>
    <cellStyle name="Followed Hyperlink" xfId="2005" builtinId="9" hidden="1"/>
    <cellStyle name="Followed Hyperlink" xfId="2007" builtinId="9" hidden="1"/>
    <cellStyle name="Followed Hyperlink" xfId="2009" builtinId="9" hidden="1"/>
    <cellStyle name="Followed Hyperlink" xfId="2011" builtinId="9" hidden="1"/>
    <cellStyle name="Followed Hyperlink" xfId="2013" builtinId="9" hidden="1"/>
    <cellStyle name="Followed Hyperlink" xfId="2015" builtinId="9" hidden="1"/>
    <cellStyle name="Followed Hyperlink" xfId="2017" builtinId="9" hidden="1"/>
    <cellStyle name="Followed Hyperlink" xfId="2019" builtinId="9" hidden="1"/>
    <cellStyle name="Followed Hyperlink" xfId="2021" builtinId="9" hidden="1"/>
    <cellStyle name="Followed Hyperlink" xfId="2023" builtinId="9" hidden="1"/>
    <cellStyle name="Followed Hyperlink" xfId="2025" builtinId="9" hidden="1"/>
    <cellStyle name="Followed Hyperlink" xfId="2027" builtinId="9" hidden="1"/>
    <cellStyle name="Followed Hyperlink" xfId="2029" builtinId="9" hidden="1"/>
    <cellStyle name="Followed Hyperlink" xfId="2031" builtinId="9" hidden="1"/>
    <cellStyle name="Followed Hyperlink" xfId="2033" builtinId="9" hidden="1"/>
    <cellStyle name="Followed Hyperlink" xfId="2035" builtinId="9" hidden="1"/>
    <cellStyle name="Followed Hyperlink" xfId="2037" builtinId="9" hidden="1"/>
    <cellStyle name="Followed Hyperlink" xfId="2039" builtinId="9" hidden="1"/>
    <cellStyle name="Followed Hyperlink" xfId="2041" builtinId="9" hidden="1"/>
    <cellStyle name="Followed Hyperlink" xfId="2043" builtinId="9" hidden="1"/>
    <cellStyle name="Followed Hyperlink" xfId="2045" builtinId="9" hidden="1"/>
    <cellStyle name="Followed Hyperlink" xfId="2047" builtinId="9" hidden="1"/>
    <cellStyle name="Followed Hyperlink" xfId="2049" builtinId="9" hidden="1"/>
    <cellStyle name="Followed Hyperlink" xfId="2051" builtinId="9" hidden="1"/>
    <cellStyle name="Followed Hyperlink" xfId="2053" builtinId="9" hidden="1"/>
    <cellStyle name="Followed Hyperlink" xfId="2055" builtinId="9" hidden="1"/>
    <cellStyle name="Followed Hyperlink" xfId="2057" builtinId="9" hidden="1"/>
    <cellStyle name="Followed Hyperlink" xfId="2059" builtinId="9" hidden="1"/>
    <cellStyle name="Followed Hyperlink" xfId="2061" builtinId="9" hidden="1"/>
    <cellStyle name="Followed Hyperlink" xfId="2063" builtinId="9" hidden="1"/>
    <cellStyle name="Followed Hyperlink" xfId="2065" builtinId="9" hidden="1"/>
    <cellStyle name="Followed Hyperlink" xfId="2067" builtinId="9" hidden="1"/>
    <cellStyle name="Followed Hyperlink" xfId="2069" builtinId="9" hidden="1"/>
    <cellStyle name="Followed Hyperlink" xfId="2071" builtinId="9" hidden="1"/>
    <cellStyle name="Followed Hyperlink" xfId="2073" builtinId="9" hidden="1"/>
    <cellStyle name="Followed Hyperlink" xfId="2075" builtinId="9" hidden="1"/>
    <cellStyle name="Followed Hyperlink" xfId="2077" builtinId="9" hidden="1"/>
    <cellStyle name="Followed Hyperlink" xfId="2079" builtinId="9" hidden="1"/>
    <cellStyle name="Followed Hyperlink" xfId="2081" builtinId="9" hidden="1"/>
    <cellStyle name="Followed Hyperlink" xfId="2083" builtinId="9" hidden="1"/>
    <cellStyle name="Followed Hyperlink" xfId="2085" builtinId="9" hidden="1"/>
    <cellStyle name="Followed Hyperlink" xfId="2087" builtinId="9" hidden="1"/>
    <cellStyle name="Followed Hyperlink" xfId="2089" builtinId="9" hidden="1"/>
    <cellStyle name="Followed Hyperlink" xfId="2091" builtinId="9" hidden="1"/>
    <cellStyle name="Followed Hyperlink" xfId="2093" builtinId="9" hidden="1"/>
    <cellStyle name="Followed Hyperlink" xfId="2095" builtinId="9" hidden="1"/>
    <cellStyle name="Followed Hyperlink" xfId="2097" builtinId="9" hidden="1"/>
    <cellStyle name="Followed Hyperlink" xfId="2099" builtinId="9" hidden="1"/>
    <cellStyle name="Followed Hyperlink" xfId="2101" builtinId="9" hidden="1"/>
    <cellStyle name="Followed Hyperlink" xfId="2103" builtinId="9" hidden="1"/>
    <cellStyle name="Followed Hyperlink" xfId="2105" builtinId="9" hidden="1"/>
    <cellStyle name="Followed Hyperlink" xfId="2107" builtinId="9" hidden="1"/>
    <cellStyle name="Followed Hyperlink" xfId="2109" builtinId="9" hidden="1"/>
    <cellStyle name="Followed Hyperlink" xfId="2111" builtinId="9" hidden="1"/>
    <cellStyle name="Followed Hyperlink" xfId="2113" builtinId="9" hidden="1"/>
    <cellStyle name="Followed Hyperlink" xfId="2115" builtinId="9" hidden="1"/>
    <cellStyle name="Followed Hyperlink" xfId="2117" builtinId="9" hidden="1"/>
    <cellStyle name="Followed Hyperlink" xfId="2119" builtinId="9" hidden="1"/>
    <cellStyle name="Followed Hyperlink" xfId="2121" builtinId="9" hidden="1"/>
    <cellStyle name="Followed Hyperlink" xfId="2123" builtinId="9" hidden="1"/>
    <cellStyle name="Followed Hyperlink" xfId="2125" builtinId="9" hidden="1"/>
    <cellStyle name="Followed Hyperlink" xfId="2127" builtinId="9" hidden="1"/>
    <cellStyle name="Followed Hyperlink" xfId="2129" builtinId="9" hidden="1"/>
    <cellStyle name="Followed Hyperlink" xfId="2131" builtinId="9" hidden="1"/>
    <cellStyle name="Followed Hyperlink" xfId="2133" builtinId="9" hidden="1"/>
    <cellStyle name="Followed Hyperlink" xfId="2135" builtinId="9" hidden="1"/>
    <cellStyle name="Followed Hyperlink" xfId="2137" builtinId="9" hidden="1"/>
    <cellStyle name="Followed Hyperlink" xfId="2139" builtinId="9" hidden="1"/>
    <cellStyle name="Followed Hyperlink" xfId="2141" builtinId="9" hidden="1"/>
    <cellStyle name="Followed Hyperlink" xfId="2143" builtinId="9" hidden="1"/>
    <cellStyle name="Followed Hyperlink" xfId="2145" builtinId="9" hidden="1"/>
    <cellStyle name="Followed Hyperlink" xfId="2147" builtinId="9" hidden="1"/>
    <cellStyle name="Followed Hyperlink" xfId="2149" builtinId="9" hidden="1"/>
    <cellStyle name="Followed Hyperlink" xfId="2151" builtinId="9" hidden="1"/>
    <cellStyle name="Followed Hyperlink" xfId="2153" builtinId="9" hidden="1"/>
    <cellStyle name="Followed Hyperlink" xfId="2155" builtinId="9" hidden="1"/>
    <cellStyle name="Followed Hyperlink" xfId="2157" builtinId="9" hidden="1"/>
    <cellStyle name="Followed Hyperlink" xfId="2159" builtinId="9" hidden="1"/>
    <cellStyle name="Followed Hyperlink" xfId="2161" builtinId="9" hidden="1"/>
    <cellStyle name="Followed Hyperlink" xfId="2163" builtinId="9" hidden="1"/>
    <cellStyle name="Followed Hyperlink" xfId="2165" builtinId="9" hidden="1"/>
    <cellStyle name="Followed Hyperlink" xfId="2167" builtinId="9" hidden="1"/>
    <cellStyle name="Followed Hyperlink" xfId="2169" builtinId="9" hidden="1"/>
    <cellStyle name="Followed Hyperlink" xfId="2171" builtinId="9" hidden="1"/>
    <cellStyle name="Followed Hyperlink" xfId="2173" builtinId="9" hidden="1"/>
    <cellStyle name="Followed Hyperlink" xfId="2175" builtinId="9" hidden="1"/>
    <cellStyle name="Followed Hyperlink" xfId="2177" builtinId="9" hidden="1"/>
    <cellStyle name="Followed Hyperlink" xfId="2179" builtinId="9" hidden="1"/>
    <cellStyle name="Followed Hyperlink" xfId="2181" builtinId="9" hidden="1"/>
    <cellStyle name="Followed Hyperlink" xfId="2183" builtinId="9" hidden="1"/>
    <cellStyle name="Followed Hyperlink" xfId="2185" builtinId="9" hidden="1"/>
    <cellStyle name="Followed Hyperlink" xfId="2187" builtinId="9" hidden="1"/>
    <cellStyle name="Followed Hyperlink" xfId="2189" builtinId="9" hidden="1"/>
    <cellStyle name="Followed Hyperlink" xfId="2191" builtinId="9" hidden="1"/>
    <cellStyle name="Followed Hyperlink" xfId="2193" builtinId="9" hidden="1"/>
    <cellStyle name="Followed Hyperlink" xfId="2195" builtinId="9" hidden="1"/>
    <cellStyle name="Followed Hyperlink" xfId="2197" builtinId="9" hidden="1"/>
    <cellStyle name="Followed Hyperlink" xfId="2199" builtinId="9" hidden="1"/>
    <cellStyle name="Followed Hyperlink" xfId="2201" builtinId="9" hidden="1"/>
    <cellStyle name="Followed Hyperlink" xfId="2203" builtinId="9" hidden="1"/>
    <cellStyle name="Followed Hyperlink" xfId="2205" builtinId="9" hidden="1"/>
    <cellStyle name="Followed Hyperlink" xfId="2207" builtinId="9" hidden="1"/>
    <cellStyle name="Followed Hyperlink" xfId="2209" builtinId="9" hidden="1"/>
    <cellStyle name="Followed Hyperlink" xfId="2211" builtinId="9" hidden="1"/>
    <cellStyle name="Followed Hyperlink" xfId="2213" builtinId="9" hidden="1"/>
    <cellStyle name="Followed Hyperlink" xfId="2215" builtinId="9" hidden="1"/>
    <cellStyle name="Followed Hyperlink" xfId="2217" builtinId="9" hidden="1"/>
    <cellStyle name="Followed Hyperlink" xfId="2219" builtinId="9" hidden="1"/>
    <cellStyle name="Followed Hyperlink" xfId="2221" builtinId="9" hidden="1"/>
    <cellStyle name="Followed Hyperlink" xfId="2223" builtinId="9" hidden="1"/>
    <cellStyle name="Followed Hyperlink" xfId="2225" builtinId="9" hidden="1"/>
    <cellStyle name="Followed Hyperlink" xfId="2227" builtinId="9" hidden="1"/>
    <cellStyle name="Followed Hyperlink" xfId="2229" builtinId="9" hidden="1"/>
    <cellStyle name="Followed Hyperlink" xfId="2231" builtinId="9" hidden="1"/>
    <cellStyle name="Followed Hyperlink" xfId="2233" builtinId="9" hidden="1"/>
    <cellStyle name="Followed Hyperlink" xfId="2235" builtinId="9" hidden="1"/>
    <cellStyle name="Followed Hyperlink" xfId="2237" builtinId="9" hidden="1"/>
    <cellStyle name="Followed Hyperlink" xfId="2239" builtinId="9" hidden="1"/>
    <cellStyle name="Followed Hyperlink" xfId="2241" builtinId="9" hidden="1"/>
    <cellStyle name="Followed Hyperlink" xfId="2243" builtinId="9" hidden="1"/>
    <cellStyle name="Followed Hyperlink" xfId="2245" builtinId="9" hidden="1"/>
    <cellStyle name="Followed Hyperlink" xfId="2247" builtinId="9" hidden="1"/>
    <cellStyle name="Followed Hyperlink" xfId="2249" builtinId="9" hidden="1"/>
    <cellStyle name="Followed Hyperlink" xfId="2251" builtinId="9" hidden="1"/>
    <cellStyle name="Followed Hyperlink" xfId="2253" builtinId="9" hidden="1"/>
    <cellStyle name="Followed Hyperlink" xfId="2255" builtinId="9" hidden="1"/>
    <cellStyle name="Followed Hyperlink" xfId="2257" builtinId="9" hidden="1"/>
    <cellStyle name="Followed Hyperlink" xfId="2259" builtinId="9" hidden="1"/>
    <cellStyle name="Followed Hyperlink" xfId="2261" builtinId="9" hidden="1"/>
    <cellStyle name="Followed Hyperlink" xfId="2263" builtinId="9" hidden="1"/>
    <cellStyle name="Followed Hyperlink" xfId="2265" builtinId="9" hidden="1"/>
    <cellStyle name="Followed Hyperlink" xfId="2267" builtinId="9" hidden="1"/>
    <cellStyle name="Followed Hyperlink" xfId="2269" builtinId="9" hidden="1"/>
    <cellStyle name="Followed Hyperlink" xfId="2271" builtinId="9" hidden="1"/>
    <cellStyle name="Followed Hyperlink" xfId="2273" builtinId="9" hidden="1"/>
    <cellStyle name="Followed Hyperlink" xfId="2275" builtinId="9" hidden="1"/>
    <cellStyle name="Followed Hyperlink" xfId="2277" builtinId="9" hidden="1"/>
    <cellStyle name="Followed Hyperlink" xfId="2279" builtinId="9" hidden="1"/>
    <cellStyle name="Followed Hyperlink" xfId="2281" builtinId="9" hidden="1"/>
    <cellStyle name="Followed Hyperlink" xfId="2283" builtinId="9" hidden="1"/>
    <cellStyle name="Followed Hyperlink" xfId="2285" builtinId="9" hidden="1"/>
    <cellStyle name="Followed Hyperlink" xfId="2287" builtinId="9" hidden="1"/>
    <cellStyle name="Followed Hyperlink" xfId="2289" builtinId="9" hidden="1"/>
    <cellStyle name="Followed Hyperlink" xfId="2291" builtinId="9" hidden="1"/>
    <cellStyle name="Followed Hyperlink" xfId="2293" builtinId="9" hidden="1"/>
    <cellStyle name="Followed Hyperlink" xfId="2295" builtinId="9" hidden="1"/>
    <cellStyle name="Followed Hyperlink" xfId="2297" builtinId="9" hidden="1"/>
    <cellStyle name="Followed Hyperlink" xfId="2299" builtinId="9" hidden="1"/>
    <cellStyle name="Followed Hyperlink" xfId="2301" builtinId="9" hidden="1"/>
    <cellStyle name="Followed Hyperlink" xfId="2303" builtinId="9" hidden="1"/>
    <cellStyle name="Followed Hyperlink" xfId="2305" builtinId="9" hidden="1"/>
    <cellStyle name="Followed Hyperlink" xfId="2307" builtinId="9" hidden="1"/>
    <cellStyle name="Followed Hyperlink" xfId="2309" builtinId="9" hidden="1"/>
    <cellStyle name="Followed Hyperlink" xfId="2311" builtinId="9" hidden="1"/>
    <cellStyle name="Followed Hyperlink" xfId="2313" builtinId="9" hidden="1"/>
    <cellStyle name="Followed Hyperlink" xfId="2315" builtinId="9" hidden="1"/>
    <cellStyle name="Followed Hyperlink" xfId="2317" builtinId="9" hidden="1"/>
    <cellStyle name="Followed Hyperlink" xfId="2319" builtinId="9" hidden="1"/>
    <cellStyle name="Followed Hyperlink" xfId="2321" builtinId="9" hidden="1"/>
    <cellStyle name="Followed Hyperlink" xfId="2323" builtinId="9" hidden="1"/>
    <cellStyle name="Followed Hyperlink" xfId="2325" builtinId="9" hidden="1"/>
    <cellStyle name="Followed Hyperlink" xfId="2327" builtinId="9" hidden="1"/>
    <cellStyle name="Followed Hyperlink" xfId="2329" builtinId="9" hidden="1"/>
    <cellStyle name="Followed Hyperlink" xfId="2331" builtinId="9" hidden="1"/>
    <cellStyle name="Followed Hyperlink" xfId="2333" builtinId="9" hidden="1"/>
    <cellStyle name="Followed Hyperlink" xfId="2335" builtinId="9" hidden="1"/>
    <cellStyle name="Followed Hyperlink" xfId="2337" builtinId="9" hidden="1"/>
    <cellStyle name="Followed Hyperlink" xfId="2339" builtinId="9" hidden="1"/>
    <cellStyle name="Followed Hyperlink" xfId="2341" builtinId="9" hidden="1"/>
    <cellStyle name="Followed Hyperlink" xfId="2343" builtinId="9" hidden="1"/>
    <cellStyle name="Followed Hyperlink" xfId="2345" builtinId="9" hidden="1"/>
    <cellStyle name="Followed Hyperlink" xfId="2347" builtinId="9" hidden="1"/>
    <cellStyle name="Followed Hyperlink" xfId="2349" builtinId="9" hidden="1"/>
    <cellStyle name="Followed Hyperlink" xfId="2351" builtinId="9" hidden="1"/>
    <cellStyle name="Followed Hyperlink" xfId="2353" builtinId="9" hidden="1"/>
    <cellStyle name="Followed Hyperlink" xfId="2355" builtinId="9" hidden="1"/>
    <cellStyle name="Followed Hyperlink" xfId="2357" builtinId="9" hidden="1"/>
    <cellStyle name="Followed Hyperlink" xfId="2359" builtinId="9" hidden="1"/>
    <cellStyle name="Followed Hyperlink" xfId="2361" builtinId="9" hidden="1"/>
    <cellStyle name="Followed Hyperlink" xfId="2363" builtinId="9" hidden="1"/>
    <cellStyle name="Followed Hyperlink" xfId="2365" builtinId="9" hidden="1"/>
    <cellStyle name="Followed Hyperlink" xfId="2367" builtinId="9" hidden="1"/>
    <cellStyle name="Followed Hyperlink" xfId="2369" builtinId="9" hidden="1"/>
    <cellStyle name="Followed Hyperlink" xfId="2371" builtinId="9" hidden="1"/>
    <cellStyle name="Followed Hyperlink" xfId="2373" builtinId="9" hidden="1"/>
    <cellStyle name="Followed Hyperlink" xfId="2375" builtinId="9" hidden="1"/>
    <cellStyle name="Followed Hyperlink" xfId="2377" builtinId="9" hidden="1"/>
    <cellStyle name="Followed Hyperlink" xfId="2379" builtinId="9" hidden="1"/>
    <cellStyle name="Followed Hyperlink" xfId="2381" builtinId="9" hidden="1"/>
    <cellStyle name="Followed Hyperlink" xfId="2383" builtinId="9" hidden="1"/>
    <cellStyle name="Followed Hyperlink" xfId="2385" builtinId="9" hidden="1"/>
    <cellStyle name="Followed Hyperlink" xfId="2387" builtinId="9" hidden="1"/>
    <cellStyle name="Followed Hyperlink" xfId="2389" builtinId="9" hidden="1"/>
    <cellStyle name="Followed Hyperlink" xfId="2391" builtinId="9" hidden="1"/>
    <cellStyle name="Followed Hyperlink" xfId="2393" builtinId="9" hidden="1"/>
    <cellStyle name="Followed Hyperlink" xfId="2395" builtinId="9" hidden="1"/>
    <cellStyle name="Followed Hyperlink" xfId="2397" builtinId="9" hidden="1"/>
    <cellStyle name="Followed Hyperlink" xfId="2399" builtinId="9" hidden="1"/>
    <cellStyle name="Followed Hyperlink" xfId="2401" builtinId="9" hidden="1"/>
    <cellStyle name="Followed Hyperlink" xfId="2403" builtinId="9" hidden="1"/>
    <cellStyle name="Followed Hyperlink" xfId="2405" builtinId="9" hidden="1"/>
    <cellStyle name="Followed Hyperlink" xfId="2407" builtinId="9" hidden="1"/>
    <cellStyle name="Followed Hyperlink" xfId="2409" builtinId="9" hidden="1"/>
    <cellStyle name="Followed Hyperlink" xfId="2411" builtinId="9" hidden="1"/>
    <cellStyle name="Followed Hyperlink" xfId="2413" builtinId="9" hidden="1"/>
    <cellStyle name="Followed Hyperlink" xfId="2415" builtinId="9" hidden="1"/>
    <cellStyle name="Followed Hyperlink" xfId="2417" builtinId="9" hidden="1"/>
    <cellStyle name="Followed Hyperlink" xfId="2419" builtinId="9" hidden="1"/>
    <cellStyle name="Followed Hyperlink" xfId="2421" builtinId="9" hidden="1"/>
    <cellStyle name="Followed Hyperlink" xfId="2423" builtinId="9" hidden="1"/>
    <cellStyle name="Followed Hyperlink" xfId="2425" builtinId="9" hidden="1"/>
    <cellStyle name="Followed Hyperlink" xfId="2427" builtinId="9" hidden="1"/>
    <cellStyle name="Followed Hyperlink" xfId="2429" builtinId="9" hidden="1"/>
    <cellStyle name="Followed Hyperlink" xfId="2431" builtinId="9" hidden="1"/>
    <cellStyle name="Followed Hyperlink" xfId="2433" builtinId="9" hidden="1"/>
    <cellStyle name="Followed Hyperlink" xfId="2435" builtinId="9" hidden="1"/>
    <cellStyle name="Followed Hyperlink" xfId="2437" builtinId="9" hidden="1"/>
    <cellStyle name="Followed Hyperlink" xfId="2439" builtinId="9" hidden="1"/>
    <cellStyle name="Followed Hyperlink" xfId="2441" builtinId="9" hidden="1"/>
    <cellStyle name="Followed Hyperlink" xfId="2443" builtinId="9" hidden="1"/>
    <cellStyle name="Followed Hyperlink" xfId="2445" builtinId="9" hidden="1"/>
    <cellStyle name="Followed Hyperlink" xfId="2447" builtinId="9" hidden="1"/>
    <cellStyle name="Followed Hyperlink" xfId="2449" builtinId="9" hidden="1"/>
    <cellStyle name="Followed Hyperlink" xfId="2451" builtinId="9" hidden="1"/>
    <cellStyle name="Followed Hyperlink" xfId="2453" builtinId="9" hidden="1"/>
    <cellStyle name="Followed Hyperlink" xfId="2455" builtinId="9" hidden="1"/>
    <cellStyle name="Followed Hyperlink" xfId="2457" builtinId="9" hidden="1"/>
    <cellStyle name="Followed Hyperlink" xfId="2459" builtinId="9" hidden="1"/>
    <cellStyle name="Followed Hyperlink" xfId="2461" builtinId="9" hidden="1"/>
    <cellStyle name="Followed Hyperlink" xfId="2463" builtinId="9" hidden="1"/>
    <cellStyle name="Followed Hyperlink" xfId="2465" builtinId="9" hidden="1"/>
    <cellStyle name="Followed Hyperlink" xfId="2467" builtinId="9" hidden="1"/>
    <cellStyle name="Followed Hyperlink" xfId="2469" builtinId="9" hidden="1"/>
    <cellStyle name="Followed Hyperlink" xfId="2471" builtinId="9" hidden="1"/>
    <cellStyle name="Followed Hyperlink" xfId="2473" builtinId="9" hidden="1"/>
    <cellStyle name="Followed Hyperlink" xfId="2475" builtinId="9" hidden="1"/>
    <cellStyle name="Followed Hyperlink" xfId="2477" builtinId="9" hidden="1"/>
    <cellStyle name="Followed Hyperlink" xfId="2479" builtinId="9" hidden="1"/>
    <cellStyle name="Followed Hyperlink" xfId="2481" builtinId="9" hidden="1"/>
    <cellStyle name="Followed Hyperlink" xfId="2483" builtinId="9" hidden="1"/>
    <cellStyle name="Followed Hyperlink" xfId="2485" builtinId="9" hidden="1"/>
    <cellStyle name="Followed Hyperlink" xfId="2487" builtinId="9" hidden="1"/>
    <cellStyle name="Followed Hyperlink" xfId="2489" builtinId="9" hidden="1"/>
    <cellStyle name="Followed Hyperlink" xfId="2491" builtinId="9" hidden="1"/>
    <cellStyle name="Followed Hyperlink" xfId="2493" builtinId="9" hidden="1"/>
    <cellStyle name="Followed Hyperlink" xfId="2495" builtinId="9" hidden="1"/>
    <cellStyle name="Followed Hyperlink" xfId="2497" builtinId="9" hidden="1"/>
    <cellStyle name="Followed Hyperlink" xfId="2499" builtinId="9" hidden="1"/>
    <cellStyle name="Followed Hyperlink" xfId="2501" builtinId="9" hidden="1"/>
    <cellStyle name="Followed Hyperlink" xfId="2503" builtinId="9" hidden="1"/>
    <cellStyle name="Followed Hyperlink" xfId="2505" builtinId="9" hidden="1"/>
    <cellStyle name="Followed Hyperlink" xfId="2507" builtinId="9" hidden="1"/>
    <cellStyle name="Followed Hyperlink" xfId="2509" builtinId="9" hidden="1"/>
    <cellStyle name="Followed Hyperlink" xfId="2511" builtinId="9" hidden="1"/>
    <cellStyle name="Followed Hyperlink" xfId="2513" builtinId="9" hidden="1"/>
    <cellStyle name="Followed Hyperlink" xfId="2515" builtinId="9" hidden="1"/>
    <cellStyle name="Followed Hyperlink" xfId="2517" builtinId="9" hidden="1"/>
    <cellStyle name="Followed Hyperlink" xfId="2519" builtinId="9" hidden="1"/>
    <cellStyle name="Followed Hyperlink" xfId="2521" builtinId="9" hidden="1"/>
    <cellStyle name="Followed Hyperlink" xfId="2523" builtinId="9" hidden="1"/>
    <cellStyle name="Followed Hyperlink" xfId="2525" builtinId="9" hidden="1"/>
    <cellStyle name="Followed Hyperlink" xfId="2527" builtinId="9" hidden="1"/>
    <cellStyle name="Followed Hyperlink" xfId="2529" builtinId="9" hidden="1"/>
    <cellStyle name="Followed Hyperlink" xfId="2531" builtinId="9" hidden="1"/>
    <cellStyle name="Followed Hyperlink" xfId="2533" builtinId="9" hidden="1"/>
    <cellStyle name="Followed Hyperlink" xfId="2535" builtinId="9" hidden="1"/>
    <cellStyle name="Followed Hyperlink" xfId="2537" builtinId="9" hidden="1"/>
    <cellStyle name="Followed Hyperlink" xfId="2539" builtinId="9" hidden="1"/>
    <cellStyle name="Followed Hyperlink" xfId="2541" builtinId="9" hidden="1"/>
    <cellStyle name="Followed Hyperlink" xfId="2543" builtinId="9" hidden="1"/>
    <cellStyle name="Followed Hyperlink" xfId="2545" builtinId="9" hidden="1"/>
    <cellStyle name="Followed Hyperlink" xfId="2547" builtinId="9" hidden="1"/>
    <cellStyle name="Followed Hyperlink" xfId="2549" builtinId="9" hidden="1"/>
    <cellStyle name="Followed Hyperlink" xfId="2551" builtinId="9" hidden="1"/>
    <cellStyle name="Followed Hyperlink" xfId="2553" builtinId="9" hidden="1"/>
    <cellStyle name="Followed Hyperlink" xfId="2555" builtinId="9" hidden="1"/>
    <cellStyle name="Followed Hyperlink" xfId="2557" builtinId="9" hidden="1"/>
    <cellStyle name="Followed Hyperlink" xfId="2559" builtinId="9" hidden="1"/>
    <cellStyle name="Followed Hyperlink" xfId="2561" builtinId="9" hidden="1"/>
    <cellStyle name="Followed Hyperlink" xfId="2563" builtinId="9" hidden="1"/>
    <cellStyle name="Followed Hyperlink" xfId="2565" builtinId="9" hidden="1"/>
    <cellStyle name="Followed Hyperlink" xfId="2567" builtinId="9" hidden="1"/>
    <cellStyle name="Followed Hyperlink" xfId="2569" builtinId="9" hidden="1"/>
    <cellStyle name="Followed Hyperlink" xfId="2571" builtinId="9" hidden="1"/>
    <cellStyle name="Followed Hyperlink" xfId="2573" builtinId="9" hidden="1"/>
    <cellStyle name="Followed Hyperlink" xfId="2575" builtinId="9" hidden="1"/>
    <cellStyle name="Followed Hyperlink" xfId="2577" builtinId="9" hidden="1"/>
    <cellStyle name="Followed Hyperlink" xfId="2579" builtinId="9" hidden="1"/>
    <cellStyle name="Followed Hyperlink" xfId="2581" builtinId="9" hidden="1"/>
    <cellStyle name="Followed Hyperlink" xfId="2583" builtinId="9" hidden="1"/>
    <cellStyle name="Followed Hyperlink" xfId="2585" builtinId="9" hidden="1"/>
    <cellStyle name="Followed Hyperlink" xfId="2587" builtinId="9" hidden="1"/>
    <cellStyle name="Followed Hyperlink" xfId="2589" builtinId="9" hidden="1"/>
    <cellStyle name="Followed Hyperlink" xfId="2591" builtinId="9" hidden="1"/>
    <cellStyle name="Followed Hyperlink" xfId="2593" builtinId="9" hidden="1"/>
    <cellStyle name="Followed Hyperlink" xfId="2595" builtinId="9" hidden="1"/>
    <cellStyle name="Followed Hyperlink" xfId="2597" builtinId="9" hidden="1"/>
    <cellStyle name="Followed Hyperlink" xfId="2599" builtinId="9" hidden="1"/>
    <cellStyle name="Followed Hyperlink" xfId="2601" builtinId="9" hidden="1"/>
    <cellStyle name="Followed Hyperlink" xfId="2603" builtinId="9" hidden="1"/>
    <cellStyle name="Followed Hyperlink" xfId="2605" builtinId="9" hidden="1"/>
    <cellStyle name="Followed Hyperlink" xfId="2607" builtinId="9" hidden="1"/>
    <cellStyle name="Followed Hyperlink" xfId="2609" builtinId="9" hidden="1"/>
    <cellStyle name="Followed Hyperlink" xfId="2611" builtinId="9" hidden="1"/>
    <cellStyle name="Followed Hyperlink" xfId="2613" builtinId="9" hidden="1"/>
    <cellStyle name="Followed Hyperlink" xfId="2615" builtinId="9" hidden="1"/>
    <cellStyle name="Followed Hyperlink" xfId="2617" builtinId="9" hidden="1"/>
    <cellStyle name="Followed Hyperlink" xfId="2619" builtinId="9" hidden="1"/>
    <cellStyle name="Followed Hyperlink" xfId="2621" builtinId="9" hidden="1"/>
    <cellStyle name="Followed Hyperlink" xfId="2623" builtinId="9" hidden="1"/>
    <cellStyle name="Followed Hyperlink" xfId="2625" builtinId="9" hidden="1"/>
    <cellStyle name="Followed Hyperlink" xfId="2627" builtinId="9" hidden="1"/>
    <cellStyle name="Followed Hyperlink" xfId="2629" builtinId="9" hidden="1"/>
    <cellStyle name="Followed Hyperlink" xfId="2631" builtinId="9" hidden="1"/>
    <cellStyle name="Followed Hyperlink" xfId="2633" builtinId="9" hidden="1"/>
    <cellStyle name="Followed Hyperlink" xfId="2635" builtinId="9" hidden="1"/>
    <cellStyle name="Followed Hyperlink" xfId="2637" builtinId="9" hidden="1"/>
    <cellStyle name="Followed Hyperlink" xfId="2639" builtinId="9" hidden="1"/>
    <cellStyle name="Followed Hyperlink" xfId="2641" builtinId="9" hidden="1"/>
    <cellStyle name="Followed Hyperlink" xfId="2643" builtinId="9" hidden="1"/>
    <cellStyle name="Followed Hyperlink" xfId="2645" builtinId="9" hidden="1"/>
    <cellStyle name="Followed Hyperlink" xfId="2647" builtinId="9" hidden="1"/>
    <cellStyle name="Followed Hyperlink" xfId="2649" builtinId="9" hidden="1"/>
    <cellStyle name="Followed Hyperlink" xfId="2651" builtinId="9" hidden="1"/>
    <cellStyle name="Followed Hyperlink" xfId="2653" builtinId="9" hidden="1"/>
    <cellStyle name="Followed Hyperlink" xfId="2655" builtinId="9" hidden="1"/>
    <cellStyle name="Followed Hyperlink" xfId="2657" builtinId="9" hidden="1"/>
    <cellStyle name="Followed Hyperlink" xfId="2659" builtinId="9" hidden="1"/>
    <cellStyle name="Followed Hyperlink" xfId="2661" builtinId="9" hidden="1"/>
    <cellStyle name="Followed Hyperlink" xfId="2663" builtinId="9" hidden="1"/>
    <cellStyle name="Followed Hyperlink" xfId="2665" builtinId="9" hidden="1"/>
    <cellStyle name="Followed Hyperlink" xfId="2667" builtinId="9" hidden="1"/>
    <cellStyle name="Followed Hyperlink" xfId="2669" builtinId="9" hidden="1"/>
    <cellStyle name="Followed Hyperlink" xfId="2671" builtinId="9" hidden="1"/>
    <cellStyle name="Followed Hyperlink" xfId="2673" builtinId="9" hidden="1"/>
    <cellStyle name="Followed Hyperlink" xfId="2675" builtinId="9" hidden="1"/>
    <cellStyle name="Followed Hyperlink" xfId="2677" builtinId="9" hidden="1"/>
    <cellStyle name="Followed Hyperlink" xfId="2679" builtinId="9" hidden="1"/>
    <cellStyle name="Followed Hyperlink" xfId="2681" builtinId="9" hidden="1"/>
    <cellStyle name="Followed Hyperlink" xfId="2683" builtinId="9" hidden="1"/>
    <cellStyle name="Followed Hyperlink" xfId="2685" builtinId="9" hidden="1"/>
    <cellStyle name="Followed Hyperlink" xfId="2687" builtinId="9" hidden="1"/>
    <cellStyle name="Followed Hyperlink" xfId="2689" builtinId="9" hidden="1"/>
    <cellStyle name="Followed Hyperlink" xfId="2691" builtinId="9" hidden="1"/>
    <cellStyle name="Followed Hyperlink" xfId="2693" builtinId="9" hidden="1"/>
    <cellStyle name="Followed Hyperlink" xfId="2695" builtinId="9" hidden="1"/>
    <cellStyle name="Followed Hyperlink" xfId="2697" builtinId="9" hidden="1"/>
    <cellStyle name="Followed Hyperlink" xfId="2699" builtinId="9" hidden="1"/>
    <cellStyle name="Followed Hyperlink" xfId="2701" builtinId="9" hidden="1"/>
    <cellStyle name="Followed Hyperlink" xfId="2703" builtinId="9" hidden="1"/>
    <cellStyle name="Followed Hyperlink" xfId="2705" builtinId="9" hidden="1"/>
    <cellStyle name="Followed Hyperlink" xfId="2707" builtinId="9" hidden="1"/>
    <cellStyle name="Followed Hyperlink" xfId="2709" builtinId="9" hidden="1"/>
    <cellStyle name="Followed Hyperlink" xfId="2711" builtinId="9" hidden="1"/>
    <cellStyle name="Followed Hyperlink" xfId="2713" builtinId="9" hidden="1"/>
    <cellStyle name="Followed Hyperlink" xfId="2715" builtinId="9" hidden="1"/>
    <cellStyle name="Followed Hyperlink" xfId="2717" builtinId="9" hidden="1"/>
    <cellStyle name="Followed Hyperlink" xfId="2719" builtinId="9" hidden="1"/>
    <cellStyle name="Followed Hyperlink" xfId="2721" builtinId="9" hidden="1"/>
    <cellStyle name="Followed Hyperlink" xfId="2723" builtinId="9" hidden="1"/>
    <cellStyle name="Followed Hyperlink" xfId="2725" builtinId="9" hidden="1"/>
    <cellStyle name="Followed Hyperlink" xfId="2727" builtinId="9" hidden="1"/>
    <cellStyle name="Followed Hyperlink" xfId="2729" builtinId="9" hidden="1"/>
    <cellStyle name="Followed Hyperlink" xfId="2731" builtinId="9" hidden="1"/>
    <cellStyle name="Followed Hyperlink" xfId="2733" builtinId="9" hidden="1"/>
    <cellStyle name="Followed Hyperlink" xfId="2735" builtinId="9" hidden="1"/>
    <cellStyle name="Followed Hyperlink" xfId="2737" builtinId="9" hidden="1"/>
    <cellStyle name="Followed Hyperlink" xfId="2739" builtinId="9" hidden="1"/>
    <cellStyle name="Followed Hyperlink" xfId="2741" builtinId="9" hidden="1"/>
    <cellStyle name="Followed Hyperlink" xfId="2743" builtinId="9" hidden="1"/>
    <cellStyle name="Followed Hyperlink" xfId="2745" builtinId="9" hidden="1"/>
    <cellStyle name="Followed Hyperlink" xfId="2747" builtinId="9" hidden="1"/>
    <cellStyle name="Followed Hyperlink" xfId="2749" builtinId="9" hidden="1"/>
    <cellStyle name="Followed Hyperlink" xfId="2751" builtinId="9" hidden="1"/>
    <cellStyle name="Followed Hyperlink" xfId="2753" builtinId="9" hidden="1"/>
    <cellStyle name="Followed Hyperlink" xfId="2755" builtinId="9" hidden="1"/>
    <cellStyle name="Followed Hyperlink" xfId="2757" builtinId="9" hidden="1"/>
    <cellStyle name="Followed Hyperlink" xfId="2759" builtinId="9" hidden="1"/>
    <cellStyle name="Followed Hyperlink" xfId="2761" builtinId="9" hidden="1"/>
    <cellStyle name="Followed Hyperlink" xfId="2763" builtinId="9" hidden="1"/>
    <cellStyle name="Followed Hyperlink" xfId="2765" builtinId="9" hidden="1"/>
    <cellStyle name="Followed Hyperlink" xfId="2767" builtinId="9" hidden="1"/>
    <cellStyle name="Followed Hyperlink" xfId="2769" builtinId="9" hidden="1"/>
    <cellStyle name="Followed Hyperlink" xfId="2771" builtinId="9" hidden="1"/>
    <cellStyle name="Followed Hyperlink" xfId="2773" builtinId="9" hidden="1"/>
    <cellStyle name="Followed Hyperlink" xfId="2775" builtinId="9" hidden="1"/>
    <cellStyle name="Followed Hyperlink" xfId="2777" builtinId="9" hidden="1"/>
    <cellStyle name="Followed Hyperlink" xfId="2779" builtinId="9" hidden="1"/>
    <cellStyle name="Followed Hyperlink" xfId="2781" builtinId="9" hidden="1"/>
    <cellStyle name="Followed Hyperlink" xfId="2783" builtinId="9" hidden="1"/>
    <cellStyle name="Followed Hyperlink" xfId="2785" builtinId="9" hidden="1"/>
    <cellStyle name="Followed Hyperlink" xfId="2787" builtinId="9" hidden="1"/>
    <cellStyle name="Followed Hyperlink" xfId="2789" builtinId="9" hidden="1"/>
    <cellStyle name="Followed Hyperlink" xfId="2791" builtinId="9" hidden="1"/>
    <cellStyle name="Followed Hyperlink" xfId="2793" builtinId="9" hidden="1"/>
    <cellStyle name="Followed Hyperlink" xfId="2795" builtinId="9" hidden="1"/>
    <cellStyle name="Followed Hyperlink" xfId="2797" builtinId="9" hidden="1"/>
    <cellStyle name="Followed Hyperlink" xfId="2799" builtinId="9" hidden="1"/>
    <cellStyle name="Followed Hyperlink" xfId="2801" builtinId="9" hidden="1"/>
    <cellStyle name="Followed Hyperlink" xfId="2803" builtinId="9" hidden="1"/>
    <cellStyle name="Followed Hyperlink" xfId="2805" builtinId="9" hidden="1"/>
    <cellStyle name="Followed Hyperlink" xfId="2807" builtinId="9" hidden="1"/>
    <cellStyle name="Followed Hyperlink" xfId="2809" builtinId="9" hidden="1"/>
    <cellStyle name="Followed Hyperlink" xfId="2811" builtinId="9" hidden="1"/>
    <cellStyle name="Followed Hyperlink" xfId="2813" builtinId="9" hidden="1"/>
    <cellStyle name="Followed Hyperlink" xfId="2815" builtinId="9" hidden="1"/>
    <cellStyle name="Followed Hyperlink" xfId="2817" builtinId="9" hidden="1"/>
    <cellStyle name="Followed Hyperlink" xfId="2819" builtinId="9" hidden="1"/>
    <cellStyle name="Followed Hyperlink" xfId="2821" builtinId="9" hidden="1"/>
    <cellStyle name="Followed Hyperlink" xfId="2823" builtinId="9" hidden="1"/>
    <cellStyle name="Followed Hyperlink" xfId="2825" builtinId="9" hidden="1"/>
    <cellStyle name="Followed Hyperlink" xfId="2827" builtinId="9" hidden="1"/>
    <cellStyle name="Followed Hyperlink" xfId="2829" builtinId="9" hidden="1"/>
    <cellStyle name="Followed Hyperlink" xfId="2831" builtinId="9" hidden="1"/>
    <cellStyle name="Followed Hyperlink" xfId="2833" builtinId="9" hidden="1"/>
    <cellStyle name="Followed Hyperlink" xfId="2835" builtinId="9" hidden="1"/>
    <cellStyle name="Followed Hyperlink" xfId="2837" builtinId="9" hidden="1"/>
    <cellStyle name="Followed Hyperlink" xfId="2839" builtinId="9" hidden="1"/>
    <cellStyle name="Followed Hyperlink" xfId="2841" builtinId="9" hidden="1"/>
    <cellStyle name="Followed Hyperlink" xfId="2843" builtinId="9" hidden="1"/>
    <cellStyle name="Followed Hyperlink" xfId="2845" builtinId="9" hidden="1"/>
    <cellStyle name="Followed Hyperlink" xfId="2847" builtinId="9" hidden="1"/>
    <cellStyle name="Followed Hyperlink" xfId="2849" builtinId="9" hidden="1"/>
    <cellStyle name="Followed Hyperlink" xfId="2851" builtinId="9" hidden="1"/>
    <cellStyle name="Followed Hyperlink" xfId="2853" builtinId="9" hidden="1"/>
    <cellStyle name="Followed Hyperlink" xfId="2855" builtinId="9" hidden="1"/>
    <cellStyle name="Followed Hyperlink" xfId="2857" builtinId="9" hidden="1"/>
    <cellStyle name="Followed Hyperlink" xfId="2859" builtinId="9" hidden="1"/>
    <cellStyle name="Followed Hyperlink" xfId="2861" builtinId="9" hidden="1"/>
    <cellStyle name="Followed Hyperlink" xfId="2863" builtinId="9" hidden="1"/>
    <cellStyle name="Followed Hyperlink" xfId="2865" builtinId="9" hidden="1"/>
    <cellStyle name="Followed Hyperlink" xfId="2867" builtinId="9" hidden="1"/>
    <cellStyle name="Followed Hyperlink" xfId="2869" builtinId="9" hidden="1"/>
    <cellStyle name="Followed Hyperlink" xfId="2871" builtinId="9" hidden="1"/>
    <cellStyle name="Followed Hyperlink" xfId="2873" builtinId="9" hidden="1"/>
    <cellStyle name="Followed Hyperlink" xfId="2875" builtinId="9" hidden="1"/>
    <cellStyle name="Followed Hyperlink" xfId="2877" builtinId="9" hidden="1"/>
    <cellStyle name="Followed Hyperlink" xfId="2879" builtinId="9" hidden="1"/>
    <cellStyle name="Followed Hyperlink" xfId="2881" builtinId="9" hidden="1"/>
    <cellStyle name="Followed Hyperlink" xfId="2883" builtinId="9" hidden="1"/>
    <cellStyle name="Followed Hyperlink" xfId="2885" builtinId="9" hidden="1"/>
    <cellStyle name="Followed Hyperlink" xfId="2887" builtinId="9" hidden="1"/>
    <cellStyle name="Followed Hyperlink" xfId="2889" builtinId="9" hidden="1"/>
    <cellStyle name="Followed Hyperlink" xfId="2891" builtinId="9" hidden="1"/>
    <cellStyle name="Followed Hyperlink" xfId="2893" builtinId="9" hidden="1"/>
    <cellStyle name="Followed Hyperlink" xfId="2895" builtinId="9" hidden="1"/>
    <cellStyle name="Followed Hyperlink" xfId="2897" builtinId="9" hidden="1"/>
    <cellStyle name="Followed Hyperlink" xfId="2899" builtinId="9" hidden="1"/>
    <cellStyle name="Followed Hyperlink" xfId="2901" builtinId="9" hidden="1"/>
    <cellStyle name="Followed Hyperlink" xfId="2903" builtinId="9" hidden="1"/>
    <cellStyle name="Followed Hyperlink" xfId="2905" builtinId="9" hidden="1"/>
    <cellStyle name="Followed Hyperlink" xfId="2907" builtinId="9" hidden="1"/>
    <cellStyle name="Followed Hyperlink" xfId="2909" builtinId="9" hidden="1"/>
    <cellStyle name="Followed Hyperlink" xfId="2911" builtinId="9" hidden="1"/>
    <cellStyle name="Followed Hyperlink" xfId="2913" builtinId="9" hidden="1"/>
    <cellStyle name="Followed Hyperlink" xfId="2915" builtinId="9" hidden="1"/>
    <cellStyle name="Followed Hyperlink" xfId="2917" builtinId="9" hidden="1"/>
    <cellStyle name="Followed Hyperlink" xfId="2919" builtinId="9" hidden="1"/>
    <cellStyle name="Followed Hyperlink" xfId="2921" builtinId="9" hidden="1"/>
    <cellStyle name="Followed Hyperlink" xfId="2923" builtinId="9" hidden="1"/>
    <cellStyle name="Followed Hyperlink" xfId="2925" builtinId="9" hidden="1"/>
    <cellStyle name="Followed Hyperlink" xfId="2927" builtinId="9" hidden="1"/>
    <cellStyle name="Followed Hyperlink" xfId="2929" builtinId="9" hidden="1"/>
    <cellStyle name="Followed Hyperlink" xfId="2931" builtinId="9" hidden="1"/>
    <cellStyle name="Followed Hyperlink" xfId="2933" builtinId="9" hidden="1"/>
    <cellStyle name="Followed Hyperlink" xfId="2935" builtinId="9" hidden="1"/>
    <cellStyle name="Followed Hyperlink" xfId="2937" builtinId="9" hidden="1"/>
    <cellStyle name="Followed Hyperlink" xfId="2939" builtinId="9" hidden="1"/>
    <cellStyle name="Followed Hyperlink" xfId="2941" builtinId="9" hidden="1"/>
    <cellStyle name="Followed Hyperlink" xfId="2943" builtinId="9" hidden="1"/>
    <cellStyle name="Followed Hyperlink" xfId="2945" builtinId="9" hidden="1"/>
    <cellStyle name="Followed Hyperlink" xfId="2947" builtinId="9" hidden="1"/>
    <cellStyle name="Followed Hyperlink" xfId="2949" builtinId="9" hidden="1"/>
    <cellStyle name="Followed Hyperlink" xfId="2951" builtinId="9" hidden="1"/>
    <cellStyle name="Followed Hyperlink" xfId="2953" builtinId="9" hidden="1"/>
    <cellStyle name="Followed Hyperlink" xfId="2955" builtinId="9" hidden="1"/>
    <cellStyle name="Followed Hyperlink" xfId="2957" builtinId="9" hidden="1"/>
    <cellStyle name="Followed Hyperlink" xfId="2959" builtinId="9" hidden="1"/>
    <cellStyle name="Followed Hyperlink" xfId="2961" builtinId="9" hidden="1"/>
    <cellStyle name="Followed Hyperlink" xfId="2963" builtinId="9" hidden="1"/>
    <cellStyle name="Followed Hyperlink" xfId="2965" builtinId="9" hidden="1"/>
    <cellStyle name="Followed Hyperlink" xfId="2967" builtinId="9" hidden="1"/>
    <cellStyle name="Followed Hyperlink" xfId="2969" builtinId="9" hidden="1"/>
    <cellStyle name="Followed Hyperlink" xfId="2971" builtinId="9" hidden="1"/>
    <cellStyle name="Followed Hyperlink" xfId="2973" builtinId="9" hidden="1"/>
    <cellStyle name="Followed Hyperlink" xfId="2975" builtinId="9" hidden="1"/>
    <cellStyle name="Followed Hyperlink" xfId="2977" builtinId="9" hidden="1"/>
    <cellStyle name="Followed Hyperlink" xfId="2979" builtinId="9" hidden="1"/>
    <cellStyle name="Followed Hyperlink" xfId="2981" builtinId="9" hidden="1"/>
    <cellStyle name="Followed Hyperlink" xfId="2983" builtinId="9" hidden="1"/>
    <cellStyle name="Followed Hyperlink" xfId="2985" builtinId="9" hidden="1"/>
    <cellStyle name="Followed Hyperlink" xfId="2987" builtinId="9" hidden="1"/>
    <cellStyle name="Followed Hyperlink" xfId="2989" builtinId="9" hidden="1"/>
    <cellStyle name="Followed Hyperlink" xfId="2991" builtinId="9" hidden="1"/>
    <cellStyle name="Followed Hyperlink" xfId="2993" builtinId="9" hidden="1"/>
    <cellStyle name="Followed Hyperlink" xfId="2995" builtinId="9" hidden="1"/>
    <cellStyle name="Followed Hyperlink" xfId="2997" builtinId="9" hidden="1"/>
    <cellStyle name="Followed Hyperlink" xfId="2999" builtinId="9" hidden="1"/>
    <cellStyle name="Followed Hyperlink" xfId="3001" builtinId="9" hidden="1"/>
    <cellStyle name="Followed Hyperlink" xfId="3003" builtinId="9" hidden="1"/>
    <cellStyle name="Followed Hyperlink" xfId="3005" builtinId="9" hidden="1"/>
    <cellStyle name="Followed Hyperlink" xfId="3007" builtinId="9" hidden="1"/>
    <cellStyle name="Followed Hyperlink" xfId="3009" builtinId="9" hidden="1"/>
    <cellStyle name="Followed Hyperlink" xfId="3011" builtinId="9" hidden="1"/>
    <cellStyle name="Followed Hyperlink" xfId="3013" builtinId="9" hidden="1"/>
    <cellStyle name="Followed Hyperlink" xfId="3015" builtinId="9" hidden="1"/>
    <cellStyle name="Followed Hyperlink" xfId="3017" builtinId="9" hidden="1"/>
    <cellStyle name="Followed Hyperlink" xfId="3019" builtinId="9" hidden="1"/>
    <cellStyle name="Followed Hyperlink" xfId="3021" builtinId="9" hidden="1"/>
    <cellStyle name="Followed Hyperlink" xfId="3023" builtinId="9" hidden="1"/>
    <cellStyle name="Followed Hyperlink" xfId="3025" builtinId="9" hidden="1"/>
    <cellStyle name="Followed Hyperlink" xfId="3027" builtinId="9" hidden="1"/>
    <cellStyle name="Followed Hyperlink" xfId="3029" builtinId="9" hidden="1"/>
    <cellStyle name="Followed Hyperlink" xfId="3031" builtinId="9" hidden="1"/>
    <cellStyle name="Followed Hyperlink" xfId="3033" builtinId="9" hidden="1"/>
    <cellStyle name="Followed Hyperlink" xfId="3035" builtinId="9" hidden="1"/>
    <cellStyle name="Followed Hyperlink" xfId="3037" builtinId="9" hidden="1"/>
    <cellStyle name="Followed Hyperlink" xfId="3039" builtinId="9" hidden="1"/>
    <cellStyle name="Followed Hyperlink" xfId="3041" builtinId="9" hidden="1"/>
    <cellStyle name="Followed Hyperlink" xfId="3043" builtinId="9" hidden="1"/>
    <cellStyle name="Followed Hyperlink" xfId="3045" builtinId="9" hidden="1"/>
    <cellStyle name="Followed Hyperlink" xfId="3047" builtinId="9" hidden="1"/>
    <cellStyle name="Followed Hyperlink" xfId="3049" builtinId="9" hidden="1"/>
    <cellStyle name="Followed Hyperlink" xfId="3051" builtinId="9" hidden="1"/>
    <cellStyle name="Followed Hyperlink" xfId="3053" builtinId="9" hidden="1"/>
    <cellStyle name="Followed Hyperlink" xfId="3055" builtinId="9" hidden="1"/>
    <cellStyle name="Followed Hyperlink" xfId="3057" builtinId="9" hidden="1"/>
    <cellStyle name="Followed Hyperlink" xfId="3059" builtinId="9" hidden="1"/>
    <cellStyle name="Followed Hyperlink" xfId="3061" builtinId="9" hidden="1"/>
    <cellStyle name="Followed Hyperlink" xfId="3063" builtinId="9" hidden="1"/>
    <cellStyle name="Followed Hyperlink" xfId="3065" builtinId="9" hidden="1"/>
    <cellStyle name="Followed Hyperlink" xfId="3067" builtinId="9" hidden="1"/>
    <cellStyle name="Followed Hyperlink" xfId="3069" builtinId="9" hidden="1"/>
    <cellStyle name="Followed Hyperlink" xfId="3071" builtinId="9" hidden="1"/>
    <cellStyle name="Followed Hyperlink" xfId="3073" builtinId="9" hidden="1"/>
    <cellStyle name="Followed Hyperlink" xfId="3075" builtinId="9" hidden="1"/>
    <cellStyle name="Followed Hyperlink" xfId="3077" builtinId="9" hidden="1"/>
    <cellStyle name="Followed Hyperlink" xfId="3079" builtinId="9" hidden="1"/>
    <cellStyle name="Followed Hyperlink" xfId="3081" builtinId="9" hidden="1"/>
    <cellStyle name="Followed Hyperlink" xfId="3083" builtinId="9" hidden="1"/>
    <cellStyle name="Followed Hyperlink" xfId="3085" builtinId="9" hidden="1"/>
    <cellStyle name="Followed Hyperlink" xfId="3087" builtinId="9" hidden="1"/>
    <cellStyle name="Followed Hyperlink" xfId="3089" builtinId="9" hidden="1"/>
    <cellStyle name="Followed Hyperlink" xfId="3091" builtinId="9" hidden="1"/>
    <cellStyle name="Followed Hyperlink" xfId="3093" builtinId="9" hidden="1"/>
    <cellStyle name="Followed Hyperlink" xfId="3095" builtinId="9" hidden="1"/>
    <cellStyle name="Followed Hyperlink" xfId="3097" builtinId="9" hidden="1"/>
    <cellStyle name="Followed Hyperlink" xfId="3099" builtinId="9" hidden="1"/>
    <cellStyle name="Followed Hyperlink" xfId="3101" builtinId="9" hidden="1"/>
    <cellStyle name="Followed Hyperlink" xfId="3103" builtinId="9" hidden="1"/>
    <cellStyle name="Followed Hyperlink" xfId="3105" builtinId="9" hidden="1"/>
    <cellStyle name="Followed Hyperlink" xfId="3107" builtinId="9" hidden="1"/>
    <cellStyle name="Followed Hyperlink" xfId="3109" builtinId="9" hidden="1"/>
    <cellStyle name="Followed Hyperlink" xfId="3111" builtinId="9" hidden="1"/>
    <cellStyle name="Followed Hyperlink" xfId="3113" builtinId="9" hidden="1"/>
    <cellStyle name="Followed Hyperlink" xfId="3115" builtinId="9" hidden="1"/>
    <cellStyle name="Followed Hyperlink" xfId="3117" builtinId="9" hidden="1"/>
    <cellStyle name="Followed Hyperlink" xfId="3119" builtinId="9" hidden="1"/>
    <cellStyle name="Followed Hyperlink" xfId="3121" builtinId="9" hidden="1"/>
    <cellStyle name="Followed Hyperlink" xfId="3123" builtinId="9" hidden="1"/>
    <cellStyle name="Followed Hyperlink" xfId="3125" builtinId="9" hidden="1"/>
    <cellStyle name="Followed Hyperlink" xfId="3127" builtinId="9" hidden="1"/>
    <cellStyle name="Followed Hyperlink" xfId="3129" builtinId="9" hidden="1"/>
    <cellStyle name="Followed Hyperlink" xfId="3131" builtinId="9" hidden="1"/>
    <cellStyle name="Followed Hyperlink" xfId="3133" builtinId="9" hidden="1"/>
    <cellStyle name="Followed Hyperlink" xfId="3135" builtinId="9" hidden="1"/>
    <cellStyle name="Followed Hyperlink" xfId="3137" builtinId="9" hidden="1"/>
    <cellStyle name="Followed Hyperlink" xfId="3139" builtinId="9" hidden="1"/>
    <cellStyle name="Followed Hyperlink" xfId="3141" builtinId="9" hidden="1"/>
    <cellStyle name="Followed Hyperlink" xfId="3143" builtinId="9" hidden="1"/>
    <cellStyle name="Followed Hyperlink" xfId="3145" builtinId="9" hidden="1"/>
    <cellStyle name="Followed Hyperlink" xfId="3147" builtinId="9" hidden="1"/>
    <cellStyle name="Followed Hyperlink" xfId="3149" builtinId="9" hidden="1"/>
    <cellStyle name="Followed Hyperlink" xfId="3151" builtinId="9" hidden="1"/>
    <cellStyle name="Followed Hyperlink" xfId="3153" builtinId="9" hidden="1"/>
    <cellStyle name="Followed Hyperlink" xfId="3155" builtinId="9" hidden="1"/>
    <cellStyle name="Followed Hyperlink" xfId="3157" builtinId="9" hidden="1"/>
    <cellStyle name="Followed Hyperlink" xfId="3159" builtinId="9" hidden="1"/>
    <cellStyle name="Followed Hyperlink" xfId="3161" builtinId="9" hidden="1"/>
    <cellStyle name="Followed Hyperlink" xfId="3163" builtinId="9" hidden="1"/>
    <cellStyle name="Followed Hyperlink" xfId="3165" builtinId="9" hidden="1"/>
    <cellStyle name="Followed Hyperlink" xfId="3167" builtinId="9" hidden="1"/>
    <cellStyle name="Followed Hyperlink" xfId="3169" builtinId="9" hidden="1"/>
    <cellStyle name="Followed Hyperlink" xfId="3171" builtinId="9" hidden="1"/>
    <cellStyle name="Followed Hyperlink" xfId="3173" builtinId="9" hidden="1"/>
    <cellStyle name="Followed Hyperlink" xfId="3175" builtinId="9" hidden="1"/>
    <cellStyle name="Followed Hyperlink" xfId="3177" builtinId="9" hidden="1"/>
    <cellStyle name="Followed Hyperlink" xfId="3179" builtinId="9" hidden="1"/>
    <cellStyle name="Followed Hyperlink" xfId="3181" builtinId="9" hidden="1"/>
    <cellStyle name="Followed Hyperlink" xfId="3183" builtinId="9" hidden="1"/>
    <cellStyle name="Followed Hyperlink" xfId="3185" builtinId="9" hidden="1"/>
    <cellStyle name="Followed Hyperlink" xfId="3187" builtinId="9" hidden="1"/>
    <cellStyle name="Followed Hyperlink" xfId="3189" builtinId="9" hidden="1"/>
    <cellStyle name="Followed Hyperlink" xfId="3191" builtinId="9" hidden="1"/>
    <cellStyle name="Followed Hyperlink" xfId="3193" builtinId="9" hidden="1"/>
    <cellStyle name="Followed Hyperlink" xfId="3195" builtinId="9" hidden="1"/>
    <cellStyle name="Followed Hyperlink" xfId="3197" builtinId="9" hidden="1"/>
    <cellStyle name="Followed Hyperlink" xfId="3199" builtinId="9" hidden="1"/>
    <cellStyle name="Followed Hyperlink" xfId="3201" builtinId="9" hidden="1"/>
    <cellStyle name="Followed Hyperlink" xfId="3203" builtinId="9" hidden="1"/>
    <cellStyle name="Followed Hyperlink" xfId="3205" builtinId="9" hidden="1"/>
    <cellStyle name="Followed Hyperlink" xfId="3207" builtinId="9" hidden="1"/>
    <cellStyle name="Followed Hyperlink" xfId="3209" builtinId="9" hidden="1"/>
    <cellStyle name="Followed Hyperlink" xfId="3211" builtinId="9" hidden="1"/>
    <cellStyle name="Followed Hyperlink" xfId="3213" builtinId="9" hidden="1"/>
    <cellStyle name="Followed Hyperlink" xfId="3215" builtinId="9" hidden="1"/>
    <cellStyle name="Followed Hyperlink" xfId="3217" builtinId="9" hidden="1"/>
    <cellStyle name="Followed Hyperlink" xfId="3219" builtinId="9" hidden="1"/>
    <cellStyle name="Followed Hyperlink" xfId="3221" builtinId="9" hidden="1"/>
    <cellStyle name="Followed Hyperlink" xfId="3223" builtinId="9" hidden="1"/>
    <cellStyle name="Followed Hyperlink" xfId="3225" builtinId="9" hidden="1"/>
    <cellStyle name="Followed Hyperlink" xfId="3227" builtinId="9" hidden="1"/>
    <cellStyle name="Followed Hyperlink" xfId="3229" builtinId="9" hidden="1"/>
    <cellStyle name="Followed Hyperlink" xfId="3231" builtinId="9" hidden="1"/>
    <cellStyle name="Followed Hyperlink" xfId="3233" builtinId="9" hidden="1"/>
    <cellStyle name="Followed Hyperlink" xfId="3235" builtinId="9" hidden="1"/>
    <cellStyle name="Followed Hyperlink" xfId="3237" builtinId="9" hidden="1"/>
    <cellStyle name="Followed Hyperlink" xfId="3239" builtinId="9" hidden="1"/>
    <cellStyle name="Followed Hyperlink" xfId="3241" builtinId="9" hidden="1"/>
    <cellStyle name="Followed Hyperlink" xfId="3243" builtinId="9" hidden="1"/>
    <cellStyle name="Followed Hyperlink" xfId="3245" builtinId="9" hidden="1"/>
    <cellStyle name="Followed Hyperlink" xfId="3247" builtinId="9" hidden="1"/>
    <cellStyle name="Followed Hyperlink" xfId="3249" builtinId="9" hidden="1"/>
    <cellStyle name="Followed Hyperlink" xfId="3251" builtinId="9" hidden="1"/>
    <cellStyle name="Followed Hyperlink" xfId="3253" builtinId="9" hidden="1"/>
    <cellStyle name="Followed Hyperlink" xfId="3255" builtinId="9" hidden="1"/>
    <cellStyle name="Followed Hyperlink" xfId="3257" builtinId="9" hidden="1"/>
    <cellStyle name="Followed Hyperlink" xfId="3259" builtinId="9" hidden="1"/>
    <cellStyle name="Followed Hyperlink" xfId="3261" builtinId="9" hidden="1"/>
    <cellStyle name="Followed Hyperlink" xfId="3263" builtinId="9" hidden="1"/>
    <cellStyle name="Followed Hyperlink" xfId="3265" builtinId="9" hidden="1"/>
    <cellStyle name="Followed Hyperlink" xfId="3267" builtinId="9" hidden="1"/>
    <cellStyle name="Followed Hyperlink" xfId="3269" builtinId="9" hidden="1"/>
    <cellStyle name="Followed Hyperlink" xfId="3271" builtinId="9" hidden="1"/>
    <cellStyle name="Followed Hyperlink" xfId="3273" builtinId="9" hidden="1"/>
    <cellStyle name="Followed Hyperlink" xfId="3275" builtinId="9" hidden="1"/>
    <cellStyle name="Followed Hyperlink" xfId="3277" builtinId="9" hidden="1"/>
    <cellStyle name="Followed Hyperlink" xfId="3279" builtinId="9" hidden="1"/>
    <cellStyle name="Followed Hyperlink" xfId="3281" builtinId="9" hidden="1"/>
    <cellStyle name="Followed Hyperlink" xfId="3283" builtinId="9" hidden="1"/>
    <cellStyle name="Followed Hyperlink" xfId="3285" builtinId="9" hidden="1"/>
    <cellStyle name="Followed Hyperlink" xfId="3287" builtinId="9" hidden="1"/>
    <cellStyle name="Followed Hyperlink" xfId="3289" builtinId="9" hidden="1"/>
    <cellStyle name="Followed Hyperlink" xfId="3291" builtinId="9" hidden="1"/>
    <cellStyle name="Followed Hyperlink" xfId="3293" builtinId="9" hidden="1"/>
    <cellStyle name="Followed Hyperlink" xfId="3295" builtinId="9" hidden="1"/>
    <cellStyle name="Followed Hyperlink" xfId="3297" builtinId="9" hidden="1"/>
    <cellStyle name="Followed Hyperlink" xfId="3299" builtinId="9" hidden="1"/>
    <cellStyle name="Followed Hyperlink" xfId="3301" builtinId="9" hidden="1"/>
    <cellStyle name="Followed Hyperlink" xfId="3303" builtinId="9" hidden="1"/>
    <cellStyle name="Followed Hyperlink" xfId="3305" builtinId="9" hidden="1"/>
    <cellStyle name="Followed Hyperlink" xfId="3307" builtinId="9" hidden="1"/>
    <cellStyle name="Followed Hyperlink" xfId="3309" builtinId="9" hidden="1"/>
    <cellStyle name="Followed Hyperlink" xfId="3311" builtinId="9" hidden="1"/>
    <cellStyle name="Followed Hyperlink" xfId="3313" builtinId="9" hidden="1"/>
    <cellStyle name="Followed Hyperlink" xfId="3315" builtinId="9" hidden="1"/>
    <cellStyle name="Followed Hyperlink" xfId="3317" builtinId="9" hidden="1"/>
    <cellStyle name="Followed Hyperlink" xfId="3319" builtinId="9" hidden="1"/>
    <cellStyle name="Followed Hyperlink" xfId="3321" builtinId="9" hidden="1"/>
    <cellStyle name="Followed Hyperlink" xfId="3323" builtinId="9" hidden="1"/>
    <cellStyle name="Followed Hyperlink" xfId="3325" builtinId="9" hidden="1"/>
    <cellStyle name="Followed Hyperlink" xfId="3327" builtinId="9" hidden="1"/>
    <cellStyle name="Followed Hyperlink" xfId="3329" builtinId="9" hidden="1"/>
    <cellStyle name="Followed Hyperlink" xfId="3331" builtinId="9" hidden="1"/>
    <cellStyle name="Followed Hyperlink" xfId="3333" builtinId="9" hidden="1"/>
    <cellStyle name="Followed Hyperlink" xfId="3335" builtinId="9" hidden="1"/>
    <cellStyle name="Followed Hyperlink" xfId="3337" builtinId="9" hidden="1"/>
    <cellStyle name="Followed Hyperlink" xfId="3339" builtinId="9" hidden="1"/>
    <cellStyle name="Followed Hyperlink" xfId="3341" builtinId="9" hidden="1"/>
    <cellStyle name="Followed Hyperlink" xfId="3343" builtinId="9" hidden="1"/>
    <cellStyle name="Followed Hyperlink" xfId="3345" builtinId="9" hidden="1"/>
    <cellStyle name="Followed Hyperlink" xfId="3347" builtinId="9" hidden="1"/>
    <cellStyle name="Followed Hyperlink" xfId="3349" builtinId="9" hidden="1"/>
    <cellStyle name="Followed Hyperlink" xfId="3351" builtinId="9" hidden="1"/>
    <cellStyle name="Followed Hyperlink" xfId="3353" builtinId="9" hidden="1"/>
    <cellStyle name="Followed Hyperlink" xfId="3355" builtinId="9" hidden="1"/>
    <cellStyle name="Followed Hyperlink" xfId="3357" builtinId="9" hidden="1"/>
    <cellStyle name="Followed Hyperlink" xfId="3359" builtinId="9" hidden="1"/>
    <cellStyle name="Followed Hyperlink" xfId="3361" builtinId="9" hidden="1"/>
    <cellStyle name="Followed Hyperlink" xfId="3363" builtinId="9" hidden="1"/>
    <cellStyle name="Followed Hyperlink" xfId="3365" builtinId="9" hidden="1"/>
    <cellStyle name="Followed Hyperlink" xfId="3367" builtinId="9" hidden="1"/>
    <cellStyle name="Followed Hyperlink" xfId="3369" builtinId="9" hidden="1"/>
    <cellStyle name="Followed Hyperlink" xfId="3371" builtinId="9" hidden="1"/>
    <cellStyle name="Followed Hyperlink" xfId="3373" builtinId="9" hidden="1"/>
    <cellStyle name="Followed Hyperlink" xfId="3375" builtinId="9" hidden="1"/>
    <cellStyle name="Followed Hyperlink" xfId="3377" builtinId="9" hidden="1"/>
    <cellStyle name="Followed Hyperlink" xfId="3379" builtinId="9" hidden="1"/>
    <cellStyle name="Followed Hyperlink" xfId="3381" builtinId="9" hidden="1"/>
    <cellStyle name="Followed Hyperlink" xfId="3383" builtinId="9" hidden="1"/>
    <cellStyle name="Followed Hyperlink" xfId="3385" builtinId="9" hidden="1"/>
    <cellStyle name="Followed Hyperlink" xfId="3387" builtinId="9" hidden="1"/>
    <cellStyle name="Followed Hyperlink" xfId="3389" builtinId="9" hidden="1"/>
    <cellStyle name="Followed Hyperlink" xfId="3391" builtinId="9" hidden="1"/>
    <cellStyle name="Followed Hyperlink" xfId="3393" builtinId="9" hidden="1"/>
    <cellStyle name="Followed Hyperlink" xfId="3395" builtinId="9" hidden="1"/>
    <cellStyle name="Followed Hyperlink" xfId="3397" builtinId="9" hidden="1"/>
    <cellStyle name="Followed Hyperlink" xfId="3399" builtinId="9" hidden="1"/>
    <cellStyle name="Followed Hyperlink" xfId="3401" builtinId="9" hidden="1"/>
    <cellStyle name="Followed Hyperlink" xfId="3403" builtinId="9" hidden="1"/>
    <cellStyle name="Followed Hyperlink" xfId="3405" builtinId="9" hidden="1"/>
    <cellStyle name="Followed Hyperlink" xfId="3407" builtinId="9" hidden="1"/>
    <cellStyle name="Followed Hyperlink" xfId="3409" builtinId="9" hidden="1"/>
    <cellStyle name="Followed Hyperlink" xfId="3411" builtinId="9" hidden="1"/>
    <cellStyle name="Followed Hyperlink" xfId="3413" builtinId="9" hidden="1"/>
    <cellStyle name="Followed Hyperlink" xfId="3415" builtinId="9" hidden="1"/>
    <cellStyle name="Followed Hyperlink" xfId="3417" builtinId="9" hidden="1"/>
    <cellStyle name="Followed Hyperlink" xfId="3419" builtinId="9" hidden="1"/>
    <cellStyle name="Followed Hyperlink" xfId="3421" builtinId="9" hidden="1"/>
    <cellStyle name="Followed Hyperlink" xfId="3423" builtinId="9" hidden="1"/>
    <cellStyle name="Followed Hyperlink" xfId="3425" builtinId="9" hidden="1"/>
    <cellStyle name="Followed Hyperlink" xfId="3427" builtinId="9" hidden="1"/>
    <cellStyle name="Followed Hyperlink" xfId="3429" builtinId="9" hidden="1"/>
    <cellStyle name="Followed Hyperlink" xfId="3431" builtinId="9" hidden="1"/>
    <cellStyle name="Followed Hyperlink" xfId="3433" builtinId="9" hidden="1"/>
    <cellStyle name="Followed Hyperlink" xfId="3435" builtinId="9" hidden="1"/>
    <cellStyle name="Followed Hyperlink" xfId="3437" builtinId="9" hidden="1"/>
    <cellStyle name="Followed Hyperlink" xfId="3439" builtinId="9" hidden="1"/>
    <cellStyle name="Followed Hyperlink" xfId="3441" builtinId="9" hidden="1"/>
    <cellStyle name="Followed Hyperlink" xfId="3443" builtinId="9" hidden="1"/>
    <cellStyle name="Followed Hyperlink" xfId="3445" builtinId="9" hidden="1"/>
    <cellStyle name="Followed Hyperlink" xfId="3447" builtinId="9" hidden="1"/>
    <cellStyle name="Followed Hyperlink" xfId="3449" builtinId="9" hidden="1"/>
    <cellStyle name="Followed Hyperlink" xfId="3451" builtinId="9" hidden="1"/>
    <cellStyle name="Followed Hyperlink" xfId="3453" builtinId="9" hidden="1"/>
    <cellStyle name="Followed Hyperlink" xfId="3455" builtinId="9" hidden="1"/>
    <cellStyle name="Followed Hyperlink" xfId="3457" builtinId="9" hidden="1"/>
    <cellStyle name="Followed Hyperlink" xfId="3459" builtinId="9" hidden="1"/>
    <cellStyle name="Followed Hyperlink" xfId="3461" builtinId="9" hidden="1"/>
    <cellStyle name="Followed Hyperlink" xfId="3463" builtinId="9" hidden="1"/>
    <cellStyle name="Followed Hyperlink" xfId="3465" builtinId="9" hidden="1"/>
    <cellStyle name="Followed Hyperlink" xfId="3467" builtinId="9" hidden="1"/>
    <cellStyle name="Followed Hyperlink" xfId="3469" builtinId="9" hidden="1"/>
    <cellStyle name="Followed Hyperlink" xfId="3471" builtinId="9" hidden="1"/>
    <cellStyle name="Followed Hyperlink" xfId="3473" builtinId="9" hidden="1"/>
    <cellStyle name="Followed Hyperlink" xfId="3475" builtinId="9" hidden="1"/>
    <cellStyle name="Followed Hyperlink" xfId="3477" builtinId="9" hidden="1"/>
    <cellStyle name="Followed Hyperlink" xfId="3479" builtinId="9" hidden="1"/>
    <cellStyle name="Followed Hyperlink" xfId="3481" builtinId="9" hidden="1"/>
    <cellStyle name="Followed Hyperlink" xfId="3483" builtinId="9" hidden="1"/>
    <cellStyle name="Followed Hyperlink" xfId="3485" builtinId="9" hidden="1"/>
    <cellStyle name="Followed Hyperlink" xfId="3487" builtinId="9" hidden="1"/>
    <cellStyle name="Followed Hyperlink" xfId="3489" builtinId="9" hidden="1"/>
    <cellStyle name="Followed Hyperlink" xfId="3491" builtinId="9" hidden="1"/>
    <cellStyle name="Followed Hyperlink" xfId="3493" builtinId="9" hidden="1"/>
    <cellStyle name="Followed Hyperlink" xfId="3495" builtinId="9" hidden="1"/>
    <cellStyle name="Followed Hyperlink" xfId="3497" builtinId="9" hidden="1"/>
    <cellStyle name="Followed Hyperlink" xfId="3499" builtinId="9" hidden="1"/>
    <cellStyle name="Followed Hyperlink" xfId="3501" builtinId="9" hidden="1"/>
    <cellStyle name="Followed Hyperlink" xfId="3503" builtinId="9" hidden="1"/>
    <cellStyle name="Followed Hyperlink" xfId="3505" builtinId="9" hidden="1"/>
    <cellStyle name="Followed Hyperlink" xfId="3507" builtinId="9" hidden="1"/>
    <cellStyle name="Followed Hyperlink" xfId="3509" builtinId="9" hidden="1"/>
    <cellStyle name="Followed Hyperlink" xfId="3511" builtinId="9" hidden="1"/>
    <cellStyle name="Followed Hyperlink" xfId="3513" builtinId="9" hidden="1"/>
    <cellStyle name="Followed Hyperlink" xfId="3515" builtinId="9" hidden="1"/>
    <cellStyle name="Followed Hyperlink" xfId="3517" builtinId="9" hidden="1"/>
    <cellStyle name="Followed Hyperlink" xfId="3519" builtinId="9" hidden="1"/>
    <cellStyle name="Followed Hyperlink" xfId="3521" builtinId="9" hidden="1"/>
    <cellStyle name="Followed Hyperlink" xfId="3523" builtinId="9" hidden="1"/>
    <cellStyle name="Followed Hyperlink" xfId="3525" builtinId="9" hidden="1"/>
    <cellStyle name="Followed Hyperlink" xfId="3527" builtinId="9" hidden="1"/>
    <cellStyle name="Followed Hyperlink" xfId="3529" builtinId="9" hidden="1"/>
    <cellStyle name="Followed Hyperlink" xfId="3531" builtinId="9" hidden="1"/>
    <cellStyle name="Followed Hyperlink" xfId="3533" builtinId="9" hidden="1"/>
    <cellStyle name="Followed Hyperlink" xfId="3535" builtinId="9" hidden="1"/>
    <cellStyle name="Followed Hyperlink" xfId="3537" builtinId="9" hidden="1"/>
    <cellStyle name="Followed Hyperlink" xfId="3539" builtinId="9" hidden="1"/>
    <cellStyle name="Followed Hyperlink" xfId="3541" builtinId="9" hidden="1"/>
    <cellStyle name="Followed Hyperlink" xfId="3543" builtinId="9" hidden="1"/>
    <cellStyle name="Followed Hyperlink" xfId="3545" builtinId="9" hidden="1"/>
    <cellStyle name="Followed Hyperlink" xfId="3547" builtinId="9" hidden="1"/>
    <cellStyle name="Followed Hyperlink" xfId="3549" builtinId="9" hidden="1"/>
    <cellStyle name="Followed Hyperlink" xfId="3551" builtinId="9" hidden="1"/>
    <cellStyle name="Followed Hyperlink" xfId="3553" builtinId="9" hidden="1"/>
    <cellStyle name="Followed Hyperlink" xfId="3555" builtinId="9" hidden="1"/>
    <cellStyle name="Followed Hyperlink" xfId="3557" builtinId="9" hidden="1"/>
    <cellStyle name="Followed Hyperlink" xfId="3559" builtinId="9" hidden="1"/>
    <cellStyle name="Followed Hyperlink" xfId="3561" builtinId="9" hidden="1"/>
    <cellStyle name="Followed Hyperlink" xfId="3563" builtinId="9" hidden="1"/>
    <cellStyle name="Followed Hyperlink" xfId="3565" builtinId="9" hidden="1"/>
    <cellStyle name="Followed Hyperlink" xfId="3567" builtinId="9" hidden="1"/>
    <cellStyle name="Followed Hyperlink" xfId="3569" builtinId="9" hidden="1"/>
    <cellStyle name="Followed Hyperlink" xfId="3571" builtinId="9" hidden="1"/>
    <cellStyle name="Followed Hyperlink" xfId="3573" builtinId="9" hidden="1"/>
    <cellStyle name="Followed Hyperlink" xfId="3575" builtinId="9" hidden="1"/>
    <cellStyle name="Followed Hyperlink" xfId="3577" builtinId="9" hidden="1"/>
    <cellStyle name="Followed Hyperlink" xfId="3579" builtinId="9" hidden="1"/>
    <cellStyle name="Followed Hyperlink" xfId="3581" builtinId="9" hidden="1"/>
    <cellStyle name="Followed Hyperlink" xfId="3583" builtinId="9" hidden="1"/>
    <cellStyle name="Followed Hyperlink" xfId="3585" builtinId="9" hidden="1"/>
    <cellStyle name="Followed Hyperlink" xfId="3587" builtinId="9" hidden="1"/>
    <cellStyle name="Followed Hyperlink" xfId="3589" builtinId="9" hidden="1"/>
    <cellStyle name="Followed Hyperlink" xfId="3591" builtinId="9" hidden="1"/>
    <cellStyle name="Followed Hyperlink" xfId="3593" builtinId="9" hidden="1"/>
    <cellStyle name="Followed Hyperlink" xfId="3595" builtinId="9" hidden="1"/>
    <cellStyle name="Followed Hyperlink" xfId="3597" builtinId="9" hidden="1"/>
    <cellStyle name="Followed Hyperlink" xfId="3599" builtinId="9" hidden="1"/>
    <cellStyle name="Followed Hyperlink" xfId="3601" builtinId="9" hidden="1"/>
    <cellStyle name="Followed Hyperlink" xfId="3603" builtinId="9" hidden="1"/>
    <cellStyle name="Followed Hyperlink" xfId="3605" builtinId="9" hidden="1"/>
    <cellStyle name="Followed Hyperlink" xfId="3607" builtinId="9" hidden="1"/>
    <cellStyle name="Followed Hyperlink" xfId="3609" builtinId="9" hidden="1"/>
    <cellStyle name="Followed Hyperlink" xfId="3611" builtinId="9" hidden="1"/>
    <cellStyle name="Followed Hyperlink" xfId="3613" builtinId="9" hidden="1"/>
    <cellStyle name="Followed Hyperlink" xfId="3615" builtinId="9" hidden="1"/>
    <cellStyle name="Followed Hyperlink" xfId="3617" builtinId="9" hidden="1"/>
    <cellStyle name="Followed Hyperlink" xfId="3619" builtinId="9" hidden="1"/>
    <cellStyle name="Followed Hyperlink" xfId="3621" builtinId="9" hidden="1"/>
    <cellStyle name="Followed Hyperlink" xfId="3623" builtinId="9" hidden="1"/>
    <cellStyle name="Followed Hyperlink" xfId="3625" builtinId="9" hidden="1"/>
    <cellStyle name="Followed Hyperlink" xfId="3627" builtinId="9" hidden="1"/>
    <cellStyle name="Followed Hyperlink" xfId="3629" builtinId="9" hidden="1"/>
    <cellStyle name="Followed Hyperlink" xfId="3631" builtinId="9" hidden="1"/>
    <cellStyle name="Followed Hyperlink" xfId="3633" builtinId="9" hidden="1"/>
    <cellStyle name="Followed Hyperlink" xfId="3635" builtinId="9" hidden="1"/>
    <cellStyle name="Followed Hyperlink" xfId="3637" builtinId="9" hidden="1"/>
    <cellStyle name="Followed Hyperlink" xfId="3639" builtinId="9" hidden="1"/>
    <cellStyle name="Followed Hyperlink" xfId="3641" builtinId="9" hidden="1"/>
    <cellStyle name="Followed Hyperlink" xfId="3643" builtinId="9" hidden="1"/>
    <cellStyle name="Followed Hyperlink" xfId="3645" builtinId="9" hidden="1"/>
    <cellStyle name="Followed Hyperlink" xfId="3647" builtinId="9" hidden="1"/>
    <cellStyle name="Followed Hyperlink" xfId="3649" builtinId="9" hidden="1"/>
    <cellStyle name="Followed Hyperlink" xfId="3651" builtinId="9" hidden="1"/>
    <cellStyle name="Followed Hyperlink" xfId="3653" builtinId="9" hidden="1"/>
    <cellStyle name="Followed Hyperlink" xfId="3655" builtinId="9" hidden="1"/>
    <cellStyle name="Followed Hyperlink" xfId="3657" builtinId="9" hidden="1"/>
    <cellStyle name="Followed Hyperlink" xfId="3659" builtinId="9" hidden="1"/>
    <cellStyle name="Followed Hyperlink" xfId="3661" builtinId="9" hidden="1"/>
    <cellStyle name="Followed Hyperlink" xfId="3663" builtinId="9" hidden="1"/>
    <cellStyle name="Followed Hyperlink" xfId="3665" builtinId="9" hidden="1"/>
    <cellStyle name="Followed Hyperlink" xfId="3667" builtinId="9" hidden="1"/>
    <cellStyle name="Followed Hyperlink" xfId="3669" builtinId="9" hidden="1"/>
    <cellStyle name="Followed Hyperlink" xfId="3671" builtinId="9" hidden="1"/>
    <cellStyle name="Followed Hyperlink" xfId="3673" builtinId="9" hidden="1"/>
    <cellStyle name="Followed Hyperlink" xfId="3675" builtinId="9" hidden="1"/>
    <cellStyle name="Followed Hyperlink" xfId="3677" builtinId="9" hidden="1"/>
    <cellStyle name="Followed Hyperlink" xfId="3679" builtinId="9" hidden="1"/>
    <cellStyle name="Followed Hyperlink" xfId="3681" builtinId="9" hidden="1"/>
    <cellStyle name="Followed Hyperlink" xfId="3683" builtinId="9" hidden="1"/>
    <cellStyle name="Followed Hyperlink" xfId="3685" builtinId="9" hidden="1"/>
    <cellStyle name="Followed Hyperlink" xfId="3687" builtinId="9" hidden="1"/>
    <cellStyle name="Followed Hyperlink" xfId="3689" builtinId="9" hidden="1"/>
    <cellStyle name="Followed Hyperlink" xfId="3691" builtinId="9" hidden="1"/>
    <cellStyle name="Followed Hyperlink" xfId="3693" builtinId="9" hidden="1"/>
    <cellStyle name="Followed Hyperlink" xfId="3695" builtinId="9" hidden="1"/>
    <cellStyle name="Followed Hyperlink" xfId="3697" builtinId="9" hidden="1"/>
    <cellStyle name="Followed Hyperlink" xfId="3699" builtinId="9" hidden="1"/>
    <cellStyle name="Followed Hyperlink" xfId="3701" builtinId="9" hidden="1"/>
    <cellStyle name="Followed Hyperlink" xfId="3703" builtinId="9" hidden="1"/>
    <cellStyle name="Followed Hyperlink" xfId="3705" builtinId="9" hidden="1"/>
    <cellStyle name="Followed Hyperlink" xfId="3707" builtinId="9" hidden="1"/>
    <cellStyle name="Followed Hyperlink" xfId="3709" builtinId="9" hidden="1"/>
    <cellStyle name="Followed Hyperlink" xfId="3711" builtinId="9" hidden="1"/>
    <cellStyle name="Followed Hyperlink" xfId="3713" builtinId="9" hidden="1"/>
    <cellStyle name="Followed Hyperlink" xfId="3715" builtinId="9" hidden="1"/>
    <cellStyle name="Followed Hyperlink" xfId="3717" builtinId="9" hidden="1"/>
    <cellStyle name="Followed Hyperlink" xfId="3719" builtinId="9" hidden="1"/>
    <cellStyle name="Followed Hyperlink" xfId="3721" builtinId="9" hidden="1"/>
    <cellStyle name="Followed Hyperlink" xfId="3723" builtinId="9" hidden="1"/>
    <cellStyle name="Followed Hyperlink" xfId="3725" builtinId="9" hidden="1"/>
    <cellStyle name="Followed Hyperlink" xfId="3727" builtinId="9" hidden="1"/>
    <cellStyle name="Followed Hyperlink" xfId="3729" builtinId="9" hidden="1"/>
    <cellStyle name="Followed Hyperlink" xfId="3731" builtinId="9" hidden="1"/>
    <cellStyle name="Followed Hyperlink" xfId="3733" builtinId="9" hidden="1"/>
    <cellStyle name="Followed Hyperlink" xfId="3735" builtinId="9" hidden="1"/>
    <cellStyle name="Followed Hyperlink" xfId="3737" builtinId="9" hidden="1"/>
    <cellStyle name="Followed Hyperlink" xfId="3739" builtinId="9" hidden="1"/>
    <cellStyle name="Followed Hyperlink" xfId="3741" builtinId="9" hidden="1"/>
    <cellStyle name="Followed Hyperlink" xfId="3743" builtinId="9" hidden="1"/>
    <cellStyle name="Followed Hyperlink" xfId="3745" builtinId="9" hidden="1"/>
    <cellStyle name="Followed Hyperlink" xfId="3747" builtinId="9" hidden="1"/>
    <cellStyle name="Followed Hyperlink" xfId="3749" builtinId="9" hidden="1"/>
    <cellStyle name="Followed Hyperlink" xfId="3751" builtinId="9" hidden="1"/>
    <cellStyle name="Followed Hyperlink" xfId="3753" builtinId="9" hidden="1"/>
    <cellStyle name="Followed Hyperlink" xfId="3755" builtinId="9" hidden="1"/>
    <cellStyle name="Followed Hyperlink" xfId="3757" builtinId="9" hidden="1"/>
    <cellStyle name="Followed Hyperlink" xfId="3759" builtinId="9" hidden="1"/>
    <cellStyle name="Followed Hyperlink" xfId="3761" builtinId="9" hidden="1"/>
    <cellStyle name="Followed Hyperlink" xfId="3763" builtinId="9" hidden="1"/>
    <cellStyle name="Followed Hyperlink" xfId="3765" builtinId="9" hidden="1"/>
    <cellStyle name="Followed Hyperlink" xfId="3767" builtinId="9" hidden="1"/>
    <cellStyle name="Followed Hyperlink" xfId="3769" builtinId="9" hidden="1"/>
    <cellStyle name="Followed Hyperlink" xfId="3771" builtinId="9" hidden="1"/>
    <cellStyle name="Followed Hyperlink" xfId="3773" builtinId="9" hidden="1"/>
    <cellStyle name="Followed Hyperlink" xfId="3775" builtinId="9" hidden="1"/>
    <cellStyle name="Followed Hyperlink" xfId="3777" builtinId="9" hidden="1"/>
    <cellStyle name="Followed Hyperlink" xfId="3779" builtinId="9" hidden="1"/>
    <cellStyle name="Followed Hyperlink" xfId="3781" builtinId="9" hidden="1"/>
    <cellStyle name="Followed Hyperlink" xfId="3783" builtinId="9" hidden="1"/>
    <cellStyle name="Followed Hyperlink" xfId="3785" builtinId="9" hidden="1"/>
    <cellStyle name="Followed Hyperlink" xfId="3787" builtinId="9" hidden="1"/>
    <cellStyle name="Followed Hyperlink" xfId="3789" builtinId="9" hidden="1"/>
    <cellStyle name="Followed Hyperlink" xfId="3791" builtinId="9" hidden="1"/>
    <cellStyle name="Followed Hyperlink" xfId="3793" builtinId="9" hidden="1"/>
    <cellStyle name="Followed Hyperlink" xfId="3795" builtinId="9" hidden="1"/>
    <cellStyle name="Followed Hyperlink" xfId="3797" builtinId="9" hidden="1"/>
    <cellStyle name="Followed Hyperlink" xfId="3799" builtinId="9" hidden="1"/>
    <cellStyle name="Followed Hyperlink" xfId="3801" builtinId="9" hidden="1"/>
    <cellStyle name="Followed Hyperlink" xfId="3803" builtinId="9" hidden="1"/>
    <cellStyle name="Followed Hyperlink" xfId="3805" builtinId="9" hidden="1"/>
    <cellStyle name="Followed Hyperlink" xfId="3807" builtinId="9" hidden="1"/>
    <cellStyle name="Followed Hyperlink" xfId="3809" builtinId="9" hidden="1"/>
    <cellStyle name="Followed Hyperlink" xfId="3811" builtinId="9" hidden="1"/>
    <cellStyle name="Followed Hyperlink" xfId="3813" builtinId="9" hidden="1"/>
    <cellStyle name="Followed Hyperlink" xfId="3815" builtinId="9" hidden="1"/>
    <cellStyle name="Followed Hyperlink" xfId="3817" builtinId="9" hidden="1"/>
    <cellStyle name="Followed Hyperlink" xfId="3819" builtinId="9" hidden="1"/>
    <cellStyle name="Followed Hyperlink" xfId="3821" builtinId="9" hidden="1"/>
    <cellStyle name="Followed Hyperlink" xfId="3823" builtinId="9" hidden="1"/>
    <cellStyle name="Followed Hyperlink" xfId="3825" builtinId="9" hidden="1"/>
    <cellStyle name="Followed Hyperlink" xfId="3827" builtinId="9" hidden="1"/>
    <cellStyle name="Followed Hyperlink" xfId="3829" builtinId="9" hidden="1"/>
    <cellStyle name="Followed Hyperlink" xfId="3831" builtinId="9" hidden="1"/>
    <cellStyle name="Followed Hyperlink" xfId="3833" builtinId="9" hidden="1"/>
    <cellStyle name="Followed Hyperlink" xfId="3835" builtinId="9" hidden="1"/>
    <cellStyle name="Followed Hyperlink" xfId="3837" builtinId="9" hidden="1"/>
    <cellStyle name="Followed Hyperlink" xfId="3839" builtinId="9" hidden="1"/>
    <cellStyle name="Followed Hyperlink" xfId="3841" builtinId="9" hidden="1"/>
    <cellStyle name="Followed Hyperlink" xfId="3843" builtinId="9" hidden="1"/>
    <cellStyle name="Followed Hyperlink" xfId="3845" builtinId="9" hidden="1"/>
    <cellStyle name="Followed Hyperlink" xfId="3847" builtinId="9" hidden="1"/>
    <cellStyle name="Followed Hyperlink" xfId="3849" builtinId="9" hidden="1"/>
    <cellStyle name="Followed Hyperlink" xfId="3851" builtinId="9" hidden="1"/>
    <cellStyle name="Followed Hyperlink" xfId="3853" builtinId="9" hidden="1"/>
    <cellStyle name="Followed Hyperlink" xfId="3855" builtinId="9" hidden="1"/>
    <cellStyle name="Followed Hyperlink" xfId="3857" builtinId="9" hidden="1"/>
    <cellStyle name="Followed Hyperlink" xfId="3859" builtinId="9" hidden="1"/>
    <cellStyle name="Followed Hyperlink" xfId="3861" builtinId="9" hidden="1"/>
    <cellStyle name="Followed Hyperlink" xfId="3863" builtinId="9" hidden="1"/>
    <cellStyle name="Followed Hyperlink" xfId="3865" builtinId="9" hidden="1"/>
    <cellStyle name="Followed Hyperlink" xfId="3867" builtinId="9" hidden="1"/>
    <cellStyle name="Followed Hyperlink" xfId="3869" builtinId="9" hidden="1"/>
    <cellStyle name="Followed Hyperlink" xfId="3871" builtinId="9" hidden="1"/>
    <cellStyle name="Followed Hyperlink" xfId="3873" builtinId="9" hidden="1"/>
    <cellStyle name="Followed Hyperlink" xfId="3875" builtinId="9" hidden="1"/>
    <cellStyle name="Followed Hyperlink" xfId="3877" builtinId="9" hidden="1"/>
    <cellStyle name="Followed Hyperlink" xfId="3879" builtinId="9" hidden="1"/>
    <cellStyle name="Followed Hyperlink" xfId="3881" builtinId="9" hidden="1"/>
    <cellStyle name="Followed Hyperlink" xfId="3883" builtinId="9" hidden="1"/>
    <cellStyle name="Followed Hyperlink" xfId="3885" builtinId="9" hidden="1"/>
    <cellStyle name="Followed Hyperlink" xfId="3887" builtinId="9" hidden="1"/>
    <cellStyle name="Followed Hyperlink" xfId="3889" builtinId="9" hidden="1"/>
    <cellStyle name="Followed Hyperlink" xfId="3891" builtinId="9" hidden="1"/>
    <cellStyle name="Followed Hyperlink" xfId="3893" builtinId="9" hidden="1"/>
    <cellStyle name="Followed Hyperlink" xfId="3895" builtinId="9" hidden="1"/>
    <cellStyle name="Followed Hyperlink" xfId="3897" builtinId="9" hidden="1"/>
    <cellStyle name="Followed Hyperlink" xfId="3899" builtinId="9" hidden="1"/>
    <cellStyle name="Followed Hyperlink" xfId="3901" builtinId="9" hidden="1"/>
    <cellStyle name="Followed Hyperlink" xfId="3903" builtinId="9" hidden="1"/>
    <cellStyle name="Followed Hyperlink" xfId="3905" builtinId="9" hidden="1"/>
    <cellStyle name="Followed Hyperlink" xfId="3907" builtinId="9" hidden="1"/>
    <cellStyle name="Followed Hyperlink" xfId="3909" builtinId="9" hidden="1"/>
    <cellStyle name="Followed Hyperlink" xfId="3911" builtinId="9" hidden="1"/>
    <cellStyle name="Followed Hyperlink" xfId="3913" builtinId="9" hidden="1"/>
    <cellStyle name="Followed Hyperlink" xfId="3915" builtinId="9" hidden="1"/>
    <cellStyle name="Followed Hyperlink" xfId="3917" builtinId="9" hidden="1"/>
    <cellStyle name="Followed Hyperlink" xfId="3919" builtinId="9" hidden="1"/>
    <cellStyle name="Followed Hyperlink" xfId="3921" builtinId="9" hidden="1"/>
    <cellStyle name="Followed Hyperlink" xfId="3923" builtinId="9" hidden="1"/>
    <cellStyle name="Followed Hyperlink" xfId="3925" builtinId="9" hidden="1"/>
    <cellStyle name="Followed Hyperlink" xfId="3927" builtinId="9" hidden="1"/>
    <cellStyle name="Followed Hyperlink" xfId="3929" builtinId="9" hidden="1"/>
    <cellStyle name="Followed Hyperlink" xfId="3931" builtinId="9" hidden="1"/>
    <cellStyle name="Followed Hyperlink" xfId="3933" builtinId="9" hidden="1"/>
    <cellStyle name="Followed Hyperlink" xfId="3935" builtinId="9" hidden="1"/>
    <cellStyle name="Followed Hyperlink" xfId="3937" builtinId="9" hidden="1"/>
    <cellStyle name="Followed Hyperlink" xfId="3939" builtinId="9" hidden="1"/>
    <cellStyle name="Followed Hyperlink" xfId="3941" builtinId="9" hidden="1"/>
    <cellStyle name="Followed Hyperlink" xfId="3943" builtinId="9" hidden="1"/>
    <cellStyle name="Followed Hyperlink" xfId="3945" builtinId="9" hidden="1"/>
    <cellStyle name="Followed Hyperlink" xfId="3947" builtinId="9" hidden="1"/>
    <cellStyle name="Followed Hyperlink" xfId="3949" builtinId="9" hidden="1"/>
    <cellStyle name="Followed Hyperlink" xfId="3951" builtinId="9" hidden="1"/>
    <cellStyle name="Followed Hyperlink" xfId="3953" builtinId="9" hidden="1"/>
    <cellStyle name="Followed Hyperlink" xfId="3955" builtinId="9" hidden="1"/>
    <cellStyle name="Followed Hyperlink" xfId="3957" builtinId="9" hidden="1"/>
    <cellStyle name="Followed Hyperlink" xfId="3959" builtinId="9" hidden="1"/>
    <cellStyle name="Followed Hyperlink" xfId="3961" builtinId="9" hidden="1"/>
    <cellStyle name="Followed Hyperlink" xfId="3963" builtinId="9" hidden="1"/>
    <cellStyle name="Followed Hyperlink" xfId="3965" builtinId="9" hidden="1"/>
    <cellStyle name="Followed Hyperlink" xfId="3967" builtinId="9" hidden="1"/>
    <cellStyle name="Followed Hyperlink" xfId="3969" builtinId="9" hidden="1"/>
    <cellStyle name="Followed Hyperlink" xfId="3971" builtinId="9" hidden="1"/>
    <cellStyle name="Followed Hyperlink" xfId="3973" builtinId="9" hidden="1"/>
    <cellStyle name="Followed Hyperlink" xfId="3975" builtinId="9" hidden="1"/>
    <cellStyle name="Followed Hyperlink" xfId="3977" builtinId="9" hidden="1"/>
    <cellStyle name="Followed Hyperlink" xfId="3979" builtinId="9" hidden="1"/>
    <cellStyle name="Followed Hyperlink" xfId="3981" builtinId="9" hidden="1"/>
    <cellStyle name="Followed Hyperlink" xfId="3983" builtinId="9" hidden="1"/>
    <cellStyle name="Followed Hyperlink" xfId="3985" builtinId="9" hidden="1"/>
    <cellStyle name="Followed Hyperlink" xfId="3987" builtinId="9" hidden="1"/>
    <cellStyle name="Followed Hyperlink" xfId="3989" builtinId="9" hidden="1"/>
    <cellStyle name="Followed Hyperlink" xfId="3991" builtinId="9" hidden="1"/>
    <cellStyle name="Followed Hyperlink" xfId="3993" builtinId="9" hidden="1"/>
    <cellStyle name="Followed Hyperlink" xfId="3995" builtinId="9" hidden="1"/>
    <cellStyle name="Followed Hyperlink" xfId="3997" builtinId="9" hidden="1"/>
    <cellStyle name="Followed Hyperlink" xfId="3999" builtinId="9" hidden="1"/>
    <cellStyle name="Followed Hyperlink" xfId="4001" builtinId="9" hidden="1"/>
    <cellStyle name="Followed Hyperlink" xfId="4003" builtinId="9" hidden="1"/>
    <cellStyle name="Followed Hyperlink" xfId="4005" builtinId="9" hidden="1"/>
    <cellStyle name="Followed Hyperlink" xfId="4007" builtinId="9" hidden="1"/>
    <cellStyle name="Followed Hyperlink" xfId="4009" builtinId="9" hidden="1"/>
    <cellStyle name="Followed Hyperlink" xfId="4011" builtinId="9" hidden="1"/>
    <cellStyle name="Followed Hyperlink" xfId="4013" builtinId="9" hidden="1"/>
    <cellStyle name="Followed Hyperlink" xfId="4015" builtinId="9" hidden="1"/>
    <cellStyle name="Followed Hyperlink" xfId="4017" builtinId="9" hidden="1"/>
    <cellStyle name="Followed Hyperlink" xfId="4019" builtinId="9" hidden="1"/>
    <cellStyle name="Followed Hyperlink" xfId="4021" builtinId="9" hidden="1"/>
    <cellStyle name="Followed Hyperlink" xfId="4023" builtinId="9" hidden="1"/>
    <cellStyle name="Followed Hyperlink" xfId="4025" builtinId="9" hidden="1"/>
    <cellStyle name="Followed Hyperlink" xfId="4027" builtinId="9" hidden="1"/>
    <cellStyle name="Followed Hyperlink" xfId="4029" builtinId="9" hidden="1"/>
    <cellStyle name="Followed Hyperlink" xfId="4031" builtinId="9" hidden="1"/>
    <cellStyle name="Followed Hyperlink" xfId="4033" builtinId="9" hidden="1"/>
    <cellStyle name="Followed Hyperlink" xfId="4035" builtinId="9" hidden="1"/>
    <cellStyle name="Followed Hyperlink" xfId="4037" builtinId="9" hidden="1"/>
    <cellStyle name="Followed Hyperlink" xfId="4039" builtinId="9" hidden="1"/>
    <cellStyle name="Followed Hyperlink" xfId="4041" builtinId="9" hidden="1"/>
    <cellStyle name="Followed Hyperlink" xfId="4043" builtinId="9" hidden="1"/>
    <cellStyle name="Followed Hyperlink" xfId="4045" builtinId="9" hidden="1"/>
    <cellStyle name="Followed Hyperlink" xfId="4047" builtinId="9" hidden="1"/>
    <cellStyle name="Followed Hyperlink" xfId="4049" builtinId="9" hidden="1"/>
    <cellStyle name="Followed Hyperlink" xfId="4051" builtinId="9" hidden="1"/>
    <cellStyle name="Followed Hyperlink" xfId="4053" builtinId="9" hidden="1"/>
    <cellStyle name="Followed Hyperlink" xfId="4055" builtinId="9" hidden="1"/>
    <cellStyle name="Followed Hyperlink" xfId="4057" builtinId="9" hidden="1"/>
    <cellStyle name="Followed Hyperlink" xfId="4059" builtinId="9" hidden="1"/>
    <cellStyle name="Followed Hyperlink" xfId="4061" builtinId="9" hidden="1"/>
    <cellStyle name="Followed Hyperlink" xfId="4063" builtinId="9" hidden="1"/>
    <cellStyle name="Followed Hyperlink" xfId="4065" builtinId="9" hidden="1"/>
    <cellStyle name="Followed Hyperlink" xfId="4067" builtinId="9" hidden="1"/>
    <cellStyle name="Followed Hyperlink" xfId="4069" builtinId="9" hidden="1"/>
    <cellStyle name="Followed Hyperlink" xfId="4071" builtinId="9" hidden="1"/>
    <cellStyle name="Followed Hyperlink" xfId="4073" builtinId="9" hidden="1"/>
    <cellStyle name="Followed Hyperlink" xfId="4075" builtinId="9" hidden="1"/>
    <cellStyle name="Followed Hyperlink" xfId="4077" builtinId="9" hidden="1"/>
    <cellStyle name="Followed Hyperlink" xfId="4079" builtinId="9" hidden="1"/>
    <cellStyle name="Followed Hyperlink" xfId="4081" builtinId="9" hidden="1"/>
    <cellStyle name="Followed Hyperlink" xfId="4083" builtinId="9" hidden="1"/>
    <cellStyle name="Followed Hyperlink" xfId="4085" builtinId="9" hidden="1"/>
    <cellStyle name="Followed Hyperlink" xfId="4087" builtinId="9" hidden="1"/>
    <cellStyle name="Followed Hyperlink" xfId="4089" builtinId="9" hidden="1"/>
    <cellStyle name="Followed Hyperlink" xfId="4091" builtinId="9" hidden="1"/>
    <cellStyle name="Followed Hyperlink" xfId="4093" builtinId="9" hidden="1"/>
    <cellStyle name="Followed Hyperlink" xfId="4095" builtinId="9" hidden="1"/>
    <cellStyle name="Followed Hyperlink" xfId="4097" builtinId="9" hidden="1"/>
    <cellStyle name="Followed Hyperlink" xfId="4099" builtinId="9" hidden="1"/>
    <cellStyle name="Followed Hyperlink" xfId="4101" builtinId="9" hidden="1"/>
    <cellStyle name="Followed Hyperlink" xfId="4103" builtinId="9" hidden="1"/>
    <cellStyle name="Followed Hyperlink" xfId="4105" builtinId="9" hidden="1"/>
    <cellStyle name="Followed Hyperlink" xfId="4107" builtinId="9" hidden="1"/>
    <cellStyle name="Followed Hyperlink" xfId="4109" builtinId="9" hidden="1"/>
    <cellStyle name="Followed Hyperlink" xfId="4111" builtinId="9" hidden="1"/>
    <cellStyle name="Followed Hyperlink" xfId="4113" builtinId="9" hidden="1"/>
    <cellStyle name="Followed Hyperlink" xfId="4115" builtinId="9" hidden="1"/>
    <cellStyle name="Followed Hyperlink" xfId="4117" builtinId="9" hidden="1"/>
    <cellStyle name="Followed Hyperlink" xfId="4119" builtinId="9" hidden="1"/>
    <cellStyle name="Followed Hyperlink" xfId="4121" builtinId="9" hidden="1"/>
    <cellStyle name="Followed Hyperlink" xfId="4123" builtinId="9" hidden="1"/>
    <cellStyle name="Followed Hyperlink" xfId="4125" builtinId="9" hidden="1"/>
    <cellStyle name="Followed Hyperlink" xfId="4127" builtinId="9" hidden="1"/>
    <cellStyle name="Followed Hyperlink" xfId="4129" builtinId="9" hidden="1"/>
    <cellStyle name="Followed Hyperlink" xfId="4131" builtinId="9" hidden="1"/>
    <cellStyle name="Followed Hyperlink" xfId="4133" builtinId="9" hidden="1"/>
    <cellStyle name="Followed Hyperlink" xfId="4135" builtinId="9" hidden="1"/>
    <cellStyle name="Followed Hyperlink" xfId="4137" builtinId="9" hidden="1"/>
    <cellStyle name="Followed Hyperlink" xfId="4139" builtinId="9" hidden="1"/>
    <cellStyle name="Followed Hyperlink" xfId="4141" builtinId="9" hidden="1"/>
    <cellStyle name="Followed Hyperlink" xfId="4143" builtinId="9" hidden="1"/>
    <cellStyle name="Followed Hyperlink" xfId="4145" builtinId="9" hidden="1"/>
    <cellStyle name="Followed Hyperlink" xfId="4147" builtinId="9" hidden="1"/>
    <cellStyle name="Followed Hyperlink" xfId="4149" builtinId="9" hidden="1"/>
    <cellStyle name="Followed Hyperlink" xfId="4151" builtinId="9" hidden="1"/>
    <cellStyle name="Followed Hyperlink" xfId="4153" builtinId="9" hidden="1"/>
    <cellStyle name="Followed Hyperlink" xfId="4155" builtinId="9" hidden="1"/>
    <cellStyle name="Followed Hyperlink" xfId="4157" builtinId="9" hidden="1"/>
    <cellStyle name="Followed Hyperlink" xfId="4159" builtinId="9" hidden="1"/>
    <cellStyle name="Followed Hyperlink" xfId="4161" builtinId="9" hidden="1"/>
    <cellStyle name="Followed Hyperlink" xfId="4163" builtinId="9" hidden="1"/>
    <cellStyle name="Followed Hyperlink" xfId="4165" builtinId="9" hidden="1"/>
    <cellStyle name="Followed Hyperlink" xfId="4167" builtinId="9" hidden="1"/>
    <cellStyle name="Followed Hyperlink" xfId="4169" builtinId="9" hidden="1"/>
    <cellStyle name="Followed Hyperlink" xfId="4171" builtinId="9" hidden="1"/>
    <cellStyle name="Followed Hyperlink" xfId="4173" builtinId="9" hidden="1"/>
    <cellStyle name="Followed Hyperlink" xfId="4175" builtinId="9" hidden="1"/>
    <cellStyle name="Followed Hyperlink" xfId="4177" builtinId="9" hidden="1"/>
    <cellStyle name="Followed Hyperlink" xfId="4179" builtinId="9" hidden="1"/>
    <cellStyle name="Followed Hyperlink" xfId="4181" builtinId="9" hidden="1"/>
    <cellStyle name="Followed Hyperlink" xfId="4183" builtinId="9" hidden="1"/>
    <cellStyle name="Followed Hyperlink" xfId="4185" builtinId="9" hidden="1"/>
    <cellStyle name="Followed Hyperlink" xfId="4187" builtinId="9" hidden="1"/>
    <cellStyle name="Followed Hyperlink" xfId="4189" builtinId="9" hidden="1"/>
    <cellStyle name="Followed Hyperlink" xfId="4191" builtinId="9" hidden="1"/>
    <cellStyle name="Followed Hyperlink" xfId="4193" builtinId="9" hidden="1"/>
    <cellStyle name="Followed Hyperlink" xfId="4195" builtinId="9" hidden="1"/>
    <cellStyle name="Followed Hyperlink" xfId="4197" builtinId="9" hidden="1"/>
    <cellStyle name="Followed Hyperlink" xfId="4199" builtinId="9" hidden="1"/>
    <cellStyle name="Followed Hyperlink" xfId="4201" builtinId="9" hidden="1"/>
    <cellStyle name="Followed Hyperlink" xfId="4203" builtinId="9" hidden="1"/>
    <cellStyle name="Followed Hyperlink" xfId="4205" builtinId="9" hidden="1"/>
    <cellStyle name="Followed Hyperlink" xfId="4207" builtinId="9" hidden="1"/>
    <cellStyle name="Followed Hyperlink" xfId="4209" builtinId="9" hidden="1"/>
    <cellStyle name="Followed Hyperlink" xfId="4211" builtinId="9" hidden="1"/>
    <cellStyle name="Followed Hyperlink" xfId="4213" builtinId="9" hidden="1"/>
    <cellStyle name="Followed Hyperlink" xfId="4215" builtinId="9" hidden="1"/>
    <cellStyle name="Followed Hyperlink" xfId="4217" builtinId="9" hidden="1"/>
    <cellStyle name="Followed Hyperlink" xfId="4219" builtinId="9" hidden="1"/>
    <cellStyle name="Followed Hyperlink" xfId="4221" builtinId="9" hidden="1"/>
    <cellStyle name="Followed Hyperlink" xfId="4223" builtinId="9" hidden="1"/>
    <cellStyle name="Followed Hyperlink" xfId="4225" builtinId="9" hidden="1"/>
    <cellStyle name="Followed Hyperlink" xfId="4227" builtinId="9" hidden="1"/>
    <cellStyle name="Followed Hyperlink" xfId="4229" builtinId="9" hidden="1"/>
    <cellStyle name="Followed Hyperlink" xfId="4231" builtinId="9" hidden="1"/>
    <cellStyle name="Followed Hyperlink" xfId="4233" builtinId="9" hidden="1"/>
    <cellStyle name="Followed Hyperlink" xfId="4235" builtinId="9" hidden="1"/>
    <cellStyle name="Followed Hyperlink" xfId="4237" builtinId="9" hidden="1"/>
    <cellStyle name="Followed Hyperlink" xfId="4239" builtinId="9" hidden="1"/>
    <cellStyle name="Followed Hyperlink" xfId="4241" builtinId="9" hidden="1"/>
    <cellStyle name="Followed Hyperlink" xfId="4243" builtinId="9" hidden="1"/>
    <cellStyle name="Followed Hyperlink" xfId="4245" builtinId="9" hidden="1"/>
    <cellStyle name="Followed Hyperlink" xfId="4247" builtinId="9" hidden="1"/>
    <cellStyle name="Followed Hyperlink" xfId="4249" builtinId="9" hidden="1"/>
    <cellStyle name="Followed Hyperlink" xfId="4251" builtinId="9" hidden="1"/>
    <cellStyle name="Followed Hyperlink" xfId="4253" builtinId="9" hidden="1"/>
    <cellStyle name="Followed Hyperlink" xfId="4255" builtinId="9" hidden="1"/>
    <cellStyle name="Followed Hyperlink" xfId="4257" builtinId="9" hidden="1"/>
    <cellStyle name="Followed Hyperlink" xfId="4259" builtinId="9" hidden="1"/>
    <cellStyle name="Followed Hyperlink" xfId="4261" builtinId="9" hidden="1"/>
    <cellStyle name="Followed Hyperlink" xfId="4263" builtinId="9" hidden="1"/>
    <cellStyle name="Followed Hyperlink" xfId="4265" builtinId="9" hidden="1"/>
    <cellStyle name="Followed Hyperlink" xfId="4267" builtinId="9" hidden="1"/>
    <cellStyle name="Followed Hyperlink" xfId="4269" builtinId="9" hidden="1"/>
    <cellStyle name="Followed Hyperlink" xfId="4271" builtinId="9" hidden="1"/>
    <cellStyle name="Followed Hyperlink" xfId="4273" builtinId="9" hidden="1"/>
    <cellStyle name="Followed Hyperlink" xfId="4275" builtinId="9" hidden="1"/>
    <cellStyle name="Followed Hyperlink" xfId="4277" builtinId="9" hidden="1"/>
    <cellStyle name="Followed Hyperlink" xfId="4279" builtinId="9" hidden="1"/>
    <cellStyle name="Followed Hyperlink" xfId="4281" builtinId="9" hidden="1"/>
    <cellStyle name="Followed Hyperlink" xfId="4283" builtinId="9" hidden="1"/>
    <cellStyle name="Followed Hyperlink" xfId="4285" builtinId="9" hidden="1"/>
    <cellStyle name="Followed Hyperlink" xfId="4287" builtinId="9" hidden="1"/>
    <cellStyle name="Followed Hyperlink" xfId="4289" builtinId="9" hidden="1"/>
    <cellStyle name="Followed Hyperlink" xfId="4291" builtinId="9" hidden="1"/>
    <cellStyle name="Followed Hyperlink" xfId="4293" builtinId="9" hidden="1"/>
    <cellStyle name="Followed Hyperlink" xfId="4295" builtinId="9" hidden="1"/>
    <cellStyle name="Followed Hyperlink" xfId="4297" builtinId="9" hidden="1"/>
    <cellStyle name="Followed Hyperlink" xfId="4299" builtinId="9" hidden="1"/>
    <cellStyle name="Followed Hyperlink" xfId="4301" builtinId="9" hidden="1"/>
    <cellStyle name="Followed Hyperlink" xfId="4303" builtinId="9" hidden="1"/>
    <cellStyle name="Followed Hyperlink" xfId="4305" builtinId="9" hidden="1"/>
    <cellStyle name="Followed Hyperlink" xfId="4307" builtinId="9" hidden="1"/>
    <cellStyle name="Followed Hyperlink" xfId="4309" builtinId="9" hidden="1"/>
    <cellStyle name="Followed Hyperlink" xfId="4311" builtinId="9" hidden="1"/>
    <cellStyle name="Followed Hyperlink" xfId="4313" builtinId="9" hidden="1"/>
    <cellStyle name="Followed Hyperlink" xfId="4315" builtinId="9" hidden="1"/>
    <cellStyle name="Followed Hyperlink" xfId="4317" builtinId="9" hidden="1"/>
    <cellStyle name="Followed Hyperlink" xfId="4319" builtinId="9" hidden="1"/>
    <cellStyle name="Followed Hyperlink" xfId="4321" builtinId="9" hidden="1"/>
    <cellStyle name="Followed Hyperlink" xfId="4323" builtinId="9" hidden="1"/>
    <cellStyle name="Followed Hyperlink" xfId="4325" builtinId="9" hidden="1"/>
    <cellStyle name="Followed Hyperlink" xfId="4327" builtinId="9" hidden="1"/>
    <cellStyle name="Followed Hyperlink" xfId="4329" builtinId="9" hidden="1"/>
    <cellStyle name="Followed Hyperlink" xfId="4331" builtinId="9" hidden="1"/>
    <cellStyle name="Followed Hyperlink" xfId="4333" builtinId="9" hidden="1"/>
    <cellStyle name="Followed Hyperlink" xfId="4335" builtinId="9" hidden="1"/>
    <cellStyle name="Followed Hyperlink" xfId="4337" builtinId="9" hidden="1"/>
    <cellStyle name="Followed Hyperlink" xfId="4339" builtinId="9" hidden="1"/>
    <cellStyle name="Followed Hyperlink" xfId="4341" builtinId="9" hidden="1"/>
    <cellStyle name="Followed Hyperlink" xfId="4343" builtinId="9" hidden="1"/>
    <cellStyle name="Followed Hyperlink" xfId="4345" builtinId="9" hidden="1"/>
    <cellStyle name="Followed Hyperlink" xfId="4347" builtinId="9" hidden="1"/>
    <cellStyle name="Followed Hyperlink" xfId="4349" builtinId="9" hidden="1"/>
    <cellStyle name="Followed Hyperlink" xfId="4351" builtinId="9" hidden="1"/>
    <cellStyle name="Followed Hyperlink" xfId="4353" builtinId="9" hidden="1"/>
    <cellStyle name="Followed Hyperlink" xfId="4355" builtinId="9" hidden="1"/>
    <cellStyle name="Followed Hyperlink" xfId="4357" builtinId="9" hidden="1"/>
    <cellStyle name="Followed Hyperlink" xfId="4359" builtinId="9" hidden="1"/>
    <cellStyle name="Followed Hyperlink" xfId="4361" builtinId="9" hidden="1"/>
    <cellStyle name="Followed Hyperlink" xfId="4363" builtinId="9" hidden="1"/>
    <cellStyle name="Followed Hyperlink" xfId="4365" builtinId="9" hidden="1"/>
    <cellStyle name="Followed Hyperlink" xfId="4367" builtinId="9" hidden="1"/>
    <cellStyle name="Followed Hyperlink" xfId="4369" builtinId="9" hidden="1"/>
    <cellStyle name="Followed Hyperlink" xfId="4371" builtinId="9" hidden="1"/>
    <cellStyle name="Followed Hyperlink" xfId="4373" builtinId="9" hidden="1"/>
    <cellStyle name="Followed Hyperlink" xfId="4375" builtinId="9" hidden="1"/>
    <cellStyle name="Followed Hyperlink" xfId="4377" builtinId="9" hidden="1"/>
    <cellStyle name="Followed Hyperlink" xfId="4379" builtinId="9" hidden="1"/>
    <cellStyle name="Followed Hyperlink" xfId="4381" builtinId="9" hidden="1"/>
    <cellStyle name="Followed Hyperlink" xfId="4383" builtinId="9" hidden="1"/>
    <cellStyle name="Followed Hyperlink" xfId="4385" builtinId="9" hidden="1"/>
    <cellStyle name="Followed Hyperlink" xfId="4387" builtinId="9" hidden="1"/>
    <cellStyle name="Followed Hyperlink" xfId="4389" builtinId="9" hidden="1"/>
    <cellStyle name="Followed Hyperlink" xfId="4391" builtinId="9" hidden="1"/>
    <cellStyle name="Followed Hyperlink" xfId="4393" builtinId="9" hidden="1"/>
    <cellStyle name="Followed Hyperlink" xfId="4395" builtinId="9" hidden="1"/>
    <cellStyle name="Followed Hyperlink" xfId="4397" builtinId="9" hidden="1"/>
    <cellStyle name="Followed Hyperlink" xfId="4399" builtinId="9" hidden="1"/>
    <cellStyle name="Followed Hyperlink" xfId="4401" builtinId="9" hidden="1"/>
    <cellStyle name="Followed Hyperlink" xfId="4403" builtinId="9" hidden="1"/>
    <cellStyle name="Followed Hyperlink" xfId="4405" builtinId="9" hidden="1"/>
    <cellStyle name="Followed Hyperlink" xfId="4407" builtinId="9" hidden="1"/>
    <cellStyle name="Followed Hyperlink" xfId="4409" builtinId="9" hidden="1"/>
    <cellStyle name="Followed Hyperlink" xfId="4411" builtinId="9" hidden="1"/>
    <cellStyle name="Followed Hyperlink" xfId="4413" builtinId="9" hidden="1"/>
    <cellStyle name="Followed Hyperlink" xfId="4415" builtinId="9" hidden="1"/>
    <cellStyle name="Followed Hyperlink" xfId="4417" builtinId="9" hidden="1"/>
    <cellStyle name="Followed Hyperlink" xfId="4419" builtinId="9" hidden="1"/>
    <cellStyle name="Followed Hyperlink" xfId="4421" builtinId="9" hidden="1"/>
    <cellStyle name="Followed Hyperlink" xfId="4423" builtinId="9" hidden="1"/>
    <cellStyle name="Followed Hyperlink" xfId="4425" builtinId="9" hidden="1"/>
    <cellStyle name="Followed Hyperlink" xfId="4427" builtinId="9" hidden="1"/>
    <cellStyle name="Followed Hyperlink" xfId="4429" builtinId="9" hidden="1"/>
    <cellStyle name="Followed Hyperlink" xfId="4431" builtinId="9" hidden="1"/>
    <cellStyle name="Followed Hyperlink" xfId="4433" builtinId="9" hidden="1"/>
    <cellStyle name="Followed Hyperlink" xfId="4435" builtinId="9" hidden="1"/>
    <cellStyle name="Followed Hyperlink" xfId="4437" builtinId="9" hidden="1"/>
    <cellStyle name="Followed Hyperlink" xfId="4439" builtinId="9" hidden="1"/>
    <cellStyle name="Followed Hyperlink" xfId="4441" builtinId="9" hidden="1"/>
    <cellStyle name="Followed Hyperlink" xfId="4443" builtinId="9" hidden="1"/>
    <cellStyle name="Followed Hyperlink" xfId="4445" builtinId="9" hidden="1"/>
    <cellStyle name="Followed Hyperlink" xfId="4447" builtinId="9" hidden="1"/>
    <cellStyle name="Followed Hyperlink" xfId="4449" builtinId="9" hidden="1"/>
    <cellStyle name="Followed Hyperlink" xfId="4451" builtinId="9" hidden="1"/>
    <cellStyle name="Followed Hyperlink" xfId="4453" builtinId="9" hidden="1"/>
    <cellStyle name="Followed Hyperlink" xfId="4455" builtinId="9" hidden="1"/>
    <cellStyle name="Followed Hyperlink" xfId="4457" builtinId="9" hidden="1"/>
    <cellStyle name="Followed Hyperlink" xfId="4459" builtinId="9" hidden="1"/>
    <cellStyle name="Followed Hyperlink" xfId="4461" builtinId="9" hidden="1"/>
    <cellStyle name="Followed Hyperlink" xfId="4463" builtinId="9" hidden="1"/>
    <cellStyle name="Followed Hyperlink" xfId="4465" builtinId="9" hidden="1"/>
    <cellStyle name="Followed Hyperlink" xfId="4467" builtinId="9" hidden="1"/>
    <cellStyle name="Followed Hyperlink" xfId="4469" builtinId="9" hidden="1"/>
    <cellStyle name="Followed Hyperlink" xfId="4471" builtinId="9" hidden="1"/>
    <cellStyle name="Followed Hyperlink" xfId="4473" builtinId="9" hidden="1"/>
    <cellStyle name="Followed Hyperlink" xfId="4475" builtinId="9" hidden="1"/>
    <cellStyle name="Followed Hyperlink" xfId="4477" builtinId="9" hidden="1"/>
    <cellStyle name="Followed Hyperlink" xfId="4479" builtinId="9" hidden="1"/>
    <cellStyle name="Followed Hyperlink" xfId="4481" builtinId="9" hidden="1"/>
    <cellStyle name="Followed Hyperlink" xfId="4483" builtinId="9" hidden="1"/>
    <cellStyle name="Followed Hyperlink" xfId="4485" builtinId="9" hidden="1"/>
    <cellStyle name="Followed Hyperlink" xfId="4487" builtinId="9" hidden="1"/>
    <cellStyle name="Followed Hyperlink" xfId="4489" builtinId="9" hidden="1"/>
    <cellStyle name="Followed Hyperlink" xfId="4491" builtinId="9" hidden="1"/>
    <cellStyle name="Followed Hyperlink" xfId="4493" builtinId="9" hidden="1"/>
    <cellStyle name="Followed Hyperlink" xfId="4495" builtinId="9" hidden="1"/>
    <cellStyle name="Followed Hyperlink" xfId="4497" builtinId="9" hidden="1"/>
    <cellStyle name="Followed Hyperlink" xfId="4499" builtinId="9" hidden="1"/>
    <cellStyle name="Followed Hyperlink" xfId="4501" builtinId="9" hidden="1"/>
    <cellStyle name="Followed Hyperlink" xfId="4503" builtinId="9" hidden="1"/>
    <cellStyle name="Followed Hyperlink" xfId="4505" builtinId="9" hidden="1"/>
    <cellStyle name="Followed Hyperlink" xfId="4507" builtinId="9" hidden="1"/>
    <cellStyle name="Followed Hyperlink" xfId="4509" builtinId="9" hidden="1"/>
    <cellStyle name="Followed Hyperlink" xfId="4511" builtinId="9" hidden="1"/>
    <cellStyle name="Followed Hyperlink" xfId="4513" builtinId="9" hidden="1"/>
    <cellStyle name="Followed Hyperlink" xfId="4515" builtinId="9" hidden="1"/>
    <cellStyle name="Followed Hyperlink" xfId="4517" builtinId="9" hidden="1"/>
    <cellStyle name="Followed Hyperlink" xfId="4519" builtinId="9" hidden="1"/>
    <cellStyle name="Followed Hyperlink" xfId="4521" builtinId="9" hidden="1"/>
    <cellStyle name="Followed Hyperlink" xfId="4523" builtinId="9" hidden="1"/>
    <cellStyle name="Followed Hyperlink" xfId="4525" builtinId="9" hidden="1"/>
    <cellStyle name="Followed Hyperlink" xfId="4527" builtinId="9" hidden="1"/>
    <cellStyle name="Followed Hyperlink" xfId="4529" builtinId="9" hidden="1"/>
    <cellStyle name="Followed Hyperlink" xfId="4531" builtinId="9" hidden="1"/>
    <cellStyle name="Followed Hyperlink" xfId="4533" builtinId="9" hidden="1"/>
    <cellStyle name="Followed Hyperlink" xfId="4535" builtinId="9" hidden="1"/>
    <cellStyle name="Followed Hyperlink" xfId="4537" builtinId="9" hidden="1"/>
    <cellStyle name="Followed Hyperlink" xfId="4539" builtinId="9" hidden="1"/>
    <cellStyle name="Followed Hyperlink" xfId="4541" builtinId="9" hidden="1"/>
    <cellStyle name="Followed Hyperlink" xfId="4543" builtinId="9" hidden="1"/>
    <cellStyle name="Followed Hyperlink" xfId="4545" builtinId="9" hidden="1"/>
    <cellStyle name="Followed Hyperlink" xfId="4547" builtinId="9" hidden="1"/>
    <cellStyle name="Followed Hyperlink" xfId="4549" builtinId="9" hidden="1"/>
    <cellStyle name="Followed Hyperlink" xfId="4551" builtinId="9" hidden="1"/>
    <cellStyle name="Followed Hyperlink" xfId="4553" builtinId="9" hidden="1"/>
    <cellStyle name="Followed Hyperlink" xfId="4555" builtinId="9" hidden="1"/>
    <cellStyle name="Followed Hyperlink" xfId="4557" builtinId="9" hidden="1"/>
    <cellStyle name="Followed Hyperlink" xfId="4559" builtinId="9" hidden="1"/>
    <cellStyle name="Followed Hyperlink" xfId="4561" builtinId="9" hidden="1"/>
    <cellStyle name="Followed Hyperlink" xfId="4563" builtinId="9" hidden="1"/>
    <cellStyle name="Followed Hyperlink" xfId="4565" builtinId="9" hidden="1"/>
    <cellStyle name="Followed Hyperlink" xfId="4567" builtinId="9" hidden="1"/>
    <cellStyle name="Followed Hyperlink" xfId="4569" builtinId="9" hidden="1"/>
    <cellStyle name="Followed Hyperlink" xfId="4571" builtinId="9" hidden="1"/>
    <cellStyle name="Followed Hyperlink" xfId="4573" builtinId="9" hidden="1"/>
    <cellStyle name="Followed Hyperlink" xfId="4575" builtinId="9" hidden="1"/>
    <cellStyle name="Followed Hyperlink" xfId="4577" builtinId="9" hidden="1"/>
    <cellStyle name="Followed Hyperlink" xfId="4579" builtinId="9" hidden="1"/>
    <cellStyle name="Followed Hyperlink" xfId="4581" builtinId="9" hidden="1"/>
    <cellStyle name="Followed Hyperlink" xfId="4583" builtinId="9" hidden="1"/>
    <cellStyle name="Followed Hyperlink" xfId="4585" builtinId="9" hidden="1"/>
    <cellStyle name="Followed Hyperlink" xfId="4587" builtinId="9" hidden="1"/>
    <cellStyle name="Followed Hyperlink" xfId="4589" builtinId="9" hidden="1"/>
    <cellStyle name="Followed Hyperlink" xfId="4591" builtinId="9" hidden="1"/>
    <cellStyle name="Followed Hyperlink" xfId="4593" builtinId="9" hidden="1"/>
    <cellStyle name="Followed Hyperlink" xfId="4595" builtinId="9" hidden="1"/>
    <cellStyle name="Followed Hyperlink" xfId="4597" builtinId="9" hidden="1"/>
    <cellStyle name="Followed Hyperlink" xfId="4599" builtinId="9" hidden="1"/>
    <cellStyle name="Followed Hyperlink" xfId="4601" builtinId="9" hidden="1"/>
    <cellStyle name="Followed Hyperlink" xfId="4603" builtinId="9" hidden="1"/>
    <cellStyle name="Followed Hyperlink" xfId="4605" builtinId="9" hidden="1"/>
    <cellStyle name="Followed Hyperlink" xfId="4607" builtinId="9" hidden="1"/>
    <cellStyle name="Followed Hyperlink" xfId="4609" builtinId="9" hidden="1"/>
    <cellStyle name="Followed Hyperlink" xfId="4611" builtinId="9" hidden="1"/>
    <cellStyle name="Followed Hyperlink" xfId="4613" builtinId="9" hidden="1"/>
    <cellStyle name="Followed Hyperlink" xfId="4615" builtinId="9" hidden="1"/>
    <cellStyle name="Followed Hyperlink" xfId="4617" builtinId="9" hidden="1"/>
    <cellStyle name="Followed Hyperlink" xfId="4619" builtinId="9" hidden="1"/>
    <cellStyle name="Followed Hyperlink" xfId="4621" builtinId="9" hidden="1"/>
    <cellStyle name="Followed Hyperlink" xfId="4623" builtinId="9" hidden="1"/>
    <cellStyle name="Followed Hyperlink" xfId="4625" builtinId="9" hidden="1"/>
    <cellStyle name="Followed Hyperlink" xfId="4627" builtinId="9" hidden="1"/>
    <cellStyle name="Followed Hyperlink" xfId="4629" builtinId="9" hidden="1"/>
    <cellStyle name="Followed Hyperlink" xfId="4631" builtinId="9" hidden="1"/>
    <cellStyle name="Followed Hyperlink" xfId="4633" builtinId="9" hidden="1"/>
    <cellStyle name="Followed Hyperlink" xfId="4635" builtinId="9" hidden="1"/>
    <cellStyle name="Followed Hyperlink" xfId="4637" builtinId="9" hidden="1"/>
    <cellStyle name="Followed Hyperlink" xfId="4639" builtinId="9" hidden="1"/>
    <cellStyle name="Followed Hyperlink" xfId="4641" builtinId="9" hidden="1"/>
    <cellStyle name="Followed Hyperlink" xfId="4643" builtinId="9" hidden="1"/>
    <cellStyle name="Followed Hyperlink" xfId="4645" builtinId="9" hidden="1"/>
    <cellStyle name="Followed Hyperlink" xfId="4647" builtinId="9" hidden="1"/>
    <cellStyle name="Followed Hyperlink" xfId="4649" builtinId="9" hidden="1"/>
    <cellStyle name="Followed Hyperlink" xfId="4651" builtinId="9" hidden="1"/>
    <cellStyle name="Followed Hyperlink" xfId="4653" builtinId="9" hidden="1"/>
    <cellStyle name="Followed Hyperlink" xfId="4655" builtinId="9" hidden="1"/>
    <cellStyle name="Followed Hyperlink" xfId="4657" builtinId="9" hidden="1"/>
    <cellStyle name="Followed Hyperlink" xfId="4659" builtinId="9" hidden="1"/>
    <cellStyle name="Followed Hyperlink" xfId="4661" builtinId="9" hidden="1"/>
    <cellStyle name="Followed Hyperlink" xfId="4663" builtinId="9" hidden="1"/>
    <cellStyle name="Followed Hyperlink" xfId="4665" builtinId="9" hidden="1"/>
    <cellStyle name="Followed Hyperlink" xfId="4667" builtinId="9" hidden="1"/>
    <cellStyle name="Followed Hyperlink" xfId="4669" builtinId="9" hidden="1"/>
    <cellStyle name="Followed Hyperlink" xfId="4671" builtinId="9" hidden="1"/>
    <cellStyle name="Followed Hyperlink" xfId="4673" builtinId="9" hidden="1"/>
    <cellStyle name="Followed Hyperlink" xfId="4675" builtinId="9" hidden="1"/>
    <cellStyle name="Followed Hyperlink" xfId="4677" builtinId="9" hidden="1"/>
    <cellStyle name="Followed Hyperlink" xfId="4679" builtinId="9" hidden="1"/>
    <cellStyle name="Followed Hyperlink" xfId="4681" builtinId="9" hidden="1"/>
    <cellStyle name="Followed Hyperlink" xfId="4683" builtinId="9" hidden="1"/>
    <cellStyle name="Followed Hyperlink" xfId="4685" builtinId="9" hidden="1"/>
    <cellStyle name="Followed Hyperlink" xfId="4687" builtinId="9" hidden="1"/>
    <cellStyle name="Followed Hyperlink" xfId="4689" builtinId="9" hidden="1"/>
    <cellStyle name="Followed Hyperlink" xfId="4691" builtinId="9" hidden="1"/>
    <cellStyle name="Followed Hyperlink" xfId="4693" builtinId="9" hidden="1"/>
    <cellStyle name="Followed Hyperlink" xfId="4695" builtinId="9" hidden="1"/>
    <cellStyle name="Followed Hyperlink" xfId="4697" builtinId="9" hidden="1"/>
    <cellStyle name="Followed Hyperlink" xfId="4699" builtinId="9" hidden="1"/>
    <cellStyle name="Followed Hyperlink" xfId="4701" builtinId="9" hidden="1"/>
    <cellStyle name="Followed Hyperlink" xfId="4703" builtinId="9" hidden="1"/>
    <cellStyle name="Followed Hyperlink" xfId="4705" builtinId="9" hidden="1"/>
    <cellStyle name="Followed Hyperlink" xfId="4707" builtinId="9" hidden="1"/>
    <cellStyle name="Followed Hyperlink" xfId="4709" builtinId="9" hidden="1"/>
    <cellStyle name="Followed Hyperlink" xfId="4711" builtinId="9" hidden="1"/>
    <cellStyle name="Followed Hyperlink" xfId="4713" builtinId="9" hidden="1"/>
    <cellStyle name="Followed Hyperlink" xfId="4715" builtinId="9" hidden="1"/>
    <cellStyle name="Followed Hyperlink" xfId="4717" builtinId="9" hidden="1"/>
    <cellStyle name="Followed Hyperlink" xfId="4719" builtinId="9" hidden="1"/>
    <cellStyle name="Followed Hyperlink" xfId="4721" builtinId="9" hidden="1"/>
    <cellStyle name="Followed Hyperlink" xfId="4723" builtinId="9" hidden="1"/>
    <cellStyle name="Followed Hyperlink" xfId="4725" builtinId="9" hidden="1"/>
    <cellStyle name="Followed Hyperlink" xfId="4727" builtinId="9" hidden="1"/>
    <cellStyle name="Followed Hyperlink" xfId="4729" builtinId="9" hidden="1"/>
    <cellStyle name="Followed Hyperlink" xfId="4731" builtinId="9" hidden="1"/>
    <cellStyle name="Followed Hyperlink" xfId="4733" builtinId="9" hidden="1"/>
    <cellStyle name="Followed Hyperlink" xfId="4735" builtinId="9" hidden="1"/>
    <cellStyle name="Followed Hyperlink" xfId="4737" builtinId="9" hidden="1"/>
    <cellStyle name="Followed Hyperlink" xfId="4739" builtinId="9" hidden="1"/>
    <cellStyle name="Followed Hyperlink" xfId="4741" builtinId="9" hidden="1"/>
    <cellStyle name="Followed Hyperlink" xfId="4743" builtinId="9" hidden="1"/>
    <cellStyle name="Followed Hyperlink" xfId="4745" builtinId="9" hidden="1"/>
    <cellStyle name="Followed Hyperlink" xfId="4747" builtinId="9" hidden="1"/>
    <cellStyle name="Followed Hyperlink" xfId="4749" builtinId="9" hidden="1"/>
    <cellStyle name="Followed Hyperlink" xfId="4751" builtinId="9" hidden="1"/>
    <cellStyle name="Followed Hyperlink" xfId="4753" builtinId="9" hidden="1"/>
    <cellStyle name="Followed Hyperlink" xfId="4755" builtinId="9" hidden="1"/>
    <cellStyle name="Followed Hyperlink" xfId="4757" builtinId="9" hidden="1"/>
    <cellStyle name="Followed Hyperlink" xfId="4759" builtinId="9" hidden="1"/>
    <cellStyle name="Followed Hyperlink" xfId="4761" builtinId="9" hidden="1"/>
    <cellStyle name="Followed Hyperlink" xfId="4763" builtinId="9" hidden="1"/>
    <cellStyle name="Followed Hyperlink" xfId="4765" builtinId="9" hidden="1"/>
    <cellStyle name="Followed Hyperlink" xfId="4767" builtinId="9" hidden="1"/>
    <cellStyle name="Followed Hyperlink" xfId="4769" builtinId="9" hidden="1"/>
    <cellStyle name="Followed Hyperlink" xfId="4771" builtinId="9" hidden="1"/>
    <cellStyle name="Followed Hyperlink" xfId="4773" builtinId="9" hidden="1"/>
    <cellStyle name="Followed Hyperlink" xfId="4775" builtinId="9" hidden="1"/>
    <cellStyle name="Followed Hyperlink" xfId="4777" builtinId="9" hidden="1"/>
    <cellStyle name="Followed Hyperlink" xfId="4779" builtinId="9" hidden="1"/>
    <cellStyle name="Followed Hyperlink" xfId="4781" builtinId="9" hidden="1"/>
    <cellStyle name="Followed Hyperlink" xfId="4783" builtinId="9" hidden="1"/>
    <cellStyle name="Followed Hyperlink" xfId="4785" builtinId="9" hidden="1"/>
    <cellStyle name="Followed Hyperlink" xfId="4787" builtinId="9" hidden="1"/>
    <cellStyle name="Followed Hyperlink" xfId="4789" builtinId="9" hidden="1"/>
    <cellStyle name="Followed Hyperlink" xfId="4791" builtinId="9" hidden="1"/>
    <cellStyle name="Followed Hyperlink" xfId="4793" builtinId="9" hidden="1"/>
    <cellStyle name="Followed Hyperlink" xfId="4795" builtinId="9" hidden="1"/>
    <cellStyle name="Followed Hyperlink" xfId="4797" builtinId="9" hidden="1"/>
    <cellStyle name="Followed Hyperlink" xfId="4799" builtinId="9" hidden="1"/>
    <cellStyle name="Followed Hyperlink" xfId="4801" builtinId="9" hidden="1"/>
    <cellStyle name="Followed Hyperlink" xfId="4803" builtinId="9" hidden="1"/>
    <cellStyle name="Followed Hyperlink" xfId="4805" builtinId="9" hidden="1"/>
    <cellStyle name="Followed Hyperlink" xfId="4807" builtinId="9" hidden="1"/>
    <cellStyle name="Followed Hyperlink" xfId="4809" builtinId="9" hidden="1"/>
    <cellStyle name="Followed Hyperlink" xfId="4811" builtinId="9" hidden="1"/>
    <cellStyle name="Followed Hyperlink" xfId="4813" builtinId="9" hidden="1"/>
    <cellStyle name="Followed Hyperlink" xfId="4815" builtinId="9" hidden="1"/>
    <cellStyle name="Followed Hyperlink" xfId="4817" builtinId="9" hidden="1"/>
    <cellStyle name="Followed Hyperlink" xfId="4819" builtinId="9" hidden="1"/>
    <cellStyle name="Followed Hyperlink" xfId="4821" builtinId="9" hidden="1"/>
    <cellStyle name="Followed Hyperlink" xfId="4823" builtinId="9" hidden="1"/>
    <cellStyle name="Followed Hyperlink" xfId="4825" builtinId="9" hidden="1"/>
    <cellStyle name="Followed Hyperlink" xfId="4827" builtinId="9" hidden="1"/>
    <cellStyle name="Followed Hyperlink" xfId="4829" builtinId="9" hidden="1"/>
    <cellStyle name="Followed Hyperlink" xfId="4831" builtinId="9" hidden="1"/>
    <cellStyle name="Followed Hyperlink" xfId="4833" builtinId="9" hidden="1"/>
    <cellStyle name="Followed Hyperlink" xfId="4835" builtinId="9" hidden="1"/>
    <cellStyle name="Followed Hyperlink" xfId="4837" builtinId="9" hidden="1"/>
    <cellStyle name="Followed Hyperlink" xfId="4839" builtinId="9" hidden="1"/>
    <cellStyle name="Followed Hyperlink" xfId="4841" builtinId="9" hidden="1"/>
    <cellStyle name="Followed Hyperlink" xfId="4843" builtinId="9" hidden="1"/>
    <cellStyle name="Followed Hyperlink" xfId="4845" builtinId="9" hidden="1"/>
    <cellStyle name="Followed Hyperlink" xfId="4847" builtinId="9" hidden="1"/>
    <cellStyle name="Followed Hyperlink" xfId="4849" builtinId="9" hidden="1"/>
    <cellStyle name="Followed Hyperlink" xfId="4851" builtinId="9" hidden="1"/>
    <cellStyle name="Followed Hyperlink" xfId="4853" builtinId="9" hidden="1"/>
    <cellStyle name="Followed Hyperlink" xfId="4855" builtinId="9" hidden="1"/>
    <cellStyle name="Followed Hyperlink" xfId="4857" builtinId="9" hidden="1"/>
    <cellStyle name="Followed Hyperlink" xfId="4859" builtinId="9" hidden="1"/>
    <cellStyle name="Followed Hyperlink" xfId="4861" builtinId="9" hidden="1"/>
    <cellStyle name="Followed Hyperlink" xfId="4863" builtinId="9" hidden="1"/>
    <cellStyle name="Followed Hyperlink" xfId="4865" builtinId="9" hidden="1"/>
    <cellStyle name="Followed Hyperlink" xfId="4867" builtinId="9" hidden="1"/>
    <cellStyle name="Followed Hyperlink" xfId="4869" builtinId="9" hidden="1"/>
    <cellStyle name="Followed Hyperlink" xfId="4871" builtinId="9" hidden="1"/>
    <cellStyle name="Followed Hyperlink" xfId="4873" builtinId="9" hidden="1"/>
    <cellStyle name="Followed Hyperlink" xfId="4875" builtinId="9" hidden="1"/>
    <cellStyle name="Followed Hyperlink" xfId="4877" builtinId="9" hidden="1"/>
    <cellStyle name="Followed Hyperlink" xfId="4879" builtinId="9" hidden="1"/>
    <cellStyle name="Followed Hyperlink" xfId="4881" builtinId="9" hidden="1"/>
    <cellStyle name="Followed Hyperlink" xfId="4883" builtinId="9" hidden="1"/>
    <cellStyle name="Followed Hyperlink" xfId="4885" builtinId="9" hidden="1"/>
    <cellStyle name="Followed Hyperlink" xfId="4887" builtinId="9" hidden="1"/>
    <cellStyle name="Followed Hyperlink" xfId="4889" builtinId="9" hidden="1"/>
    <cellStyle name="Followed Hyperlink" xfId="4891" builtinId="9" hidden="1"/>
    <cellStyle name="Followed Hyperlink" xfId="4893" builtinId="9" hidden="1"/>
    <cellStyle name="Followed Hyperlink" xfId="4895" builtinId="9" hidden="1"/>
    <cellStyle name="Followed Hyperlink" xfId="4897" builtinId="9" hidden="1"/>
    <cellStyle name="Followed Hyperlink" xfId="4899" builtinId="9" hidden="1"/>
    <cellStyle name="Followed Hyperlink" xfId="4901" builtinId="9" hidden="1"/>
    <cellStyle name="Followed Hyperlink" xfId="4903" builtinId="9" hidden="1"/>
    <cellStyle name="Followed Hyperlink" xfId="4905" builtinId="9" hidden="1"/>
    <cellStyle name="Followed Hyperlink" xfId="4907" builtinId="9" hidden="1"/>
    <cellStyle name="Followed Hyperlink" xfId="4909" builtinId="9" hidden="1"/>
    <cellStyle name="Followed Hyperlink" xfId="4911" builtinId="9" hidden="1"/>
    <cellStyle name="Followed Hyperlink" xfId="4913" builtinId="9" hidden="1"/>
    <cellStyle name="Followed Hyperlink" xfId="4915" builtinId="9" hidden="1"/>
    <cellStyle name="Followed Hyperlink" xfId="4917" builtinId="9" hidden="1"/>
    <cellStyle name="Followed Hyperlink" xfId="4919" builtinId="9" hidden="1"/>
    <cellStyle name="Followed Hyperlink" xfId="4921" builtinId="9" hidden="1"/>
    <cellStyle name="Followed Hyperlink" xfId="4923" builtinId="9" hidden="1"/>
    <cellStyle name="Followed Hyperlink" xfId="4925" builtinId="9" hidden="1"/>
    <cellStyle name="Followed Hyperlink" xfId="4927" builtinId="9" hidden="1"/>
    <cellStyle name="Followed Hyperlink" xfId="4929" builtinId="9" hidden="1"/>
    <cellStyle name="Followed Hyperlink" xfId="4931" builtinId="9" hidden="1"/>
    <cellStyle name="Followed Hyperlink" xfId="4933" builtinId="9" hidden="1"/>
    <cellStyle name="Followed Hyperlink" xfId="4935" builtinId="9" hidden="1"/>
    <cellStyle name="Followed Hyperlink" xfId="4937" builtinId="9" hidden="1"/>
    <cellStyle name="Followed Hyperlink" xfId="4939" builtinId="9" hidden="1"/>
    <cellStyle name="Followed Hyperlink" xfId="4941" builtinId="9" hidden="1"/>
    <cellStyle name="Followed Hyperlink" xfId="4943" builtinId="9" hidden="1"/>
    <cellStyle name="Followed Hyperlink" xfId="4945" builtinId="9" hidden="1"/>
    <cellStyle name="Followed Hyperlink" xfId="4947" builtinId="9" hidden="1"/>
    <cellStyle name="Followed Hyperlink" xfId="4949" builtinId="9" hidden="1"/>
    <cellStyle name="Followed Hyperlink" xfId="4951" builtinId="9" hidden="1"/>
    <cellStyle name="Followed Hyperlink" xfId="4953" builtinId="9" hidden="1"/>
    <cellStyle name="Followed Hyperlink" xfId="4955" builtinId="9" hidden="1"/>
    <cellStyle name="Followed Hyperlink" xfId="4957" builtinId="9" hidden="1"/>
    <cellStyle name="Followed Hyperlink" xfId="4959" builtinId="9" hidden="1"/>
    <cellStyle name="Followed Hyperlink" xfId="4961" builtinId="9" hidden="1"/>
    <cellStyle name="Followed Hyperlink" xfId="4963" builtinId="9" hidden="1"/>
    <cellStyle name="Followed Hyperlink" xfId="4965" builtinId="9" hidden="1"/>
    <cellStyle name="Followed Hyperlink" xfId="4967" builtinId="9" hidden="1"/>
    <cellStyle name="Followed Hyperlink" xfId="4969" builtinId="9" hidden="1"/>
    <cellStyle name="Followed Hyperlink" xfId="4971" builtinId="9" hidden="1"/>
    <cellStyle name="Followed Hyperlink" xfId="4973" builtinId="9" hidden="1"/>
    <cellStyle name="Followed Hyperlink" xfId="4975" builtinId="9" hidden="1"/>
    <cellStyle name="Followed Hyperlink" xfId="4977" builtinId="9" hidden="1"/>
    <cellStyle name="Followed Hyperlink" xfId="4979" builtinId="9" hidden="1"/>
    <cellStyle name="Followed Hyperlink" xfId="4981" builtinId="9" hidden="1"/>
    <cellStyle name="Followed Hyperlink" xfId="4983" builtinId="9" hidden="1"/>
    <cellStyle name="Followed Hyperlink" xfId="4985" builtinId="9" hidden="1"/>
    <cellStyle name="Followed Hyperlink" xfId="4987" builtinId="9" hidden="1"/>
    <cellStyle name="Followed Hyperlink" xfId="4989" builtinId="9" hidden="1"/>
    <cellStyle name="Followed Hyperlink" xfId="4991" builtinId="9" hidden="1"/>
    <cellStyle name="Followed Hyperlink" xfId="4993" builtinId="9" hidden="1"/>
    <cellStyle name="Followed Hyperlink" xfId="4995" builtinId="9" hidden="1"/>
    <cellStyle name="Followed Hyperlink" xfId="4997" builtinId="9" hidden="1"/>
    <cellStyle name="Followed Hyperlink" xfId="4999" builtinId="9" hidden="1"/>
    <cellStyle name="Followed Hyperlink" xfId="5001" builtinId="9" hidden="1"/>
    <cellStyle name="Followed Hyperlink" xfId="5003" builtinId="9" hidden="1"/>
    <cellStyle name="Followed Hyperlink" xfId="5005" builtinId="9" hidden="1"/>
    <cellStyle name="Followed Hyperlink" xfId="5007" builtinId="9" hidden="1"/>
    <cellStyle name="Followed Hyperlink" xfId="5009" builtinId="9" hidden="1"/>
    <cellStyle name="Followed Hyperlink" xfId="5011" builtinId="9" hidden="1"/>
    <cellStyle name="Followed Hyperlink" xfId="5013" builtinId="9" hidden="1"/>
    <cellStyle name="Followed Hyperlink" xfId="5015" builtinId="9" hidden="1"/>
    <cellStyle name="Followed Hyperlink" xfId="5017" builtinId="9" hidden="1"/>
    <cellStyle name="Followed Hyperlink" xfId="5019" builtinId="9" hidden="1"/>
    <cellStyle name="Followed Hyperlink" xfId="5021" builtinId="9" hidden="1"/>
    <cellStyle name="Followed Hyperlink" xfId="5023" builtinId="9" hidden="1"/>
    <cellStyle name="Followed Hyperlink" xfId="5025" builtinId="9" hidden="1"/>
    <cellStyle name="Followed Hyperlink" xfId="5027" builtinId="9" hidden="1"/>
    <cellStyle name="Followed Hyperlink" xfId="5029" builtinId="9" hidden="1"/>
    <cellStyle name="Followed Hyperlink" xfId="5031" builtinId="9" hidden="1"/>
    <cellStyle name="Followed Hyperlink" xfId="5033" builtinId="9" hidden="1"/>
    <cellStyle name="Followed Hyperlink" xfId="5035" builtinId="9" hidden="1"/>
    <cellStyle name="Followed Hyperlink" xfId="5037" builtinId="9" hidden="1"/>
    <cellStyle name="Followed Hyperlink" xfId="5039" builtinId="9" hidden="1"/>
    <cellStyle name="Followed Hyperlink" xfId="5041" builtinId="9" hidden="1"/>
    <cellStyle name="Followed Hyperlink" xfId="5043" builtinId="9" hidden="1"/>
    <cellStyle name="Followed Hyperlink" xfId="5045" builtinId="9" hidden="1"/>
    <cellStyle name="Followed Hyperlink" xfId="5047" builtinId="9" hidden="1"/>
    <cellStyle name="Followed Hyperlink" xfId="5049" builtinId="9" hidden="1"/>
    <cellStyle name="Followed Hyperlink" xfId="5051" builtinId="9" hidden="1"/>
    <cellStyle name="Followed Hyperlink" xfId="5053" builtinId="9" hidden="1"/>
    <cellStyle name="Followed Hyperlink" xfId="5055" builtinId="9" hidden="1"/>
    <cellStyle name="Followed Hyperlink" xfId="5057" builtinId="9" hidden="1"/>
    <cellStyle name="Followed Hyperlink" xfId="5059" builtinId="9" hidden="1"/>
    <cellStyle name="Followed Hyperlink" xfId="5061" builtinId="9" hidden="1"/>
    <cellStyle name="Followed Hyperlink" xfId="5063" builtinId="9" hidden="1"/>
    <cellStyle name="Followed Hyperlink" xfId="5065" builtinId="9" hidden="1"/>
    <cellStyle name="Followed Hyperlink" xfId="5067" builtinId="9" hidden="1"/>
    <cellStyle name="Followed Hyperlink" xfId="5069" builtinId="9" hidden="1"/>
    <cellStyle name="Followed Hyperlink" xfId="5071" builtinId="9" hidden="1"/>
    <cellStyle name="Followed Hyperlink" xfId="5073" builtinId="9" hidden="1"/>
    <cellStyle name="Followed Hyperlink" xfId="5075" builtinId="9" hidden="1"/>
    <cellStyle name="Followed Hyperlink" xfId="5077" builtinId="9" hidden="1"/>
    <cellStyle name="Followed Hyperlink" xfId="5079" builtinId="9" hidden="1"/>
    <cellStyle name="Followed Hyperlink" xfId="5081" builtinId="9" hidden="1"/>
    <cellStyle name="Followed Hyperlink" xfId="5083" builtinId="9" hidden="1"/>
    <cellStyle name="Followed Hyperlink" xfId="5085" builtinId="9" hidden="1"/>
    <cellStyle name="Followed Hyperlink" xfId="5087" builtinId="9" hidden="1"/>
    <cellStyle name="Followed Hyperlink" xfId="5089" builtinId="9" hidden="1"/>
    <cellStyle name="Followed Hyperlink" xfId="5091" builtinId="9" hidden="1"/>
    <cellStyle name="Followed Hyperlink" xfId="5093" builtinId="9" hidden="1"/>
    <cellStyle name="Followed Hyperlink" xfId="5095" builtinId="9" hidden="1"/>
    <cellStyle name="Followed Hyperlink" xfId="5097" builtinId="9" hidden="1"/>
    <cellStyle name="Followed Hyperlink" xfId="5099" builtinId="9" hidden="1"/>
    <cellStyle name="Followed Hyperlink" xfId="5101" builtinId="9" hidden="1"/>
    <cellStyle name="Followed Hyperlink" xfId="5103" builtinId="9" hidden="1"/>
    <cellStyle name="Followed Hyperlink" xfId="5105" builtinId="9" hidden="1"/>
    <cellStyle name="Followed Hyperlink" xfId="5107" builtinId="9" hidden="1"/>
    <cellStyle name="Followed Hyperlink" xfId="5109" builtinId="9" hidden="1"/>
    <cellStyle name="Followed Hyperlink" xfId="5111" builtinId="9" hidden="1"/>
    <cellStyle name="Followed Hyperlink" xfId="5113" builtinId="9" hidden="1"/>
    <cellStyle name="Followed Hyperlink" xfId="5115" builtinId="9" hidden="1"/>
    <cellStyle name="Followed Hyperlink" xfId="5117" builtinId="9" hidden="1"/>
    <cellStyle name="Followed Hyperlink" xfId="5119" builtinId="9" hidden="1"/>
    <cellStyle name="Followed Hyperlink" xfId="5121" builtinId="9" hidden="1"/>
    <cellStyle name="Followed Hyperlink" xfId="5123" builtinId="9" hidden="1"/>
    <cellStyle name="Followed Hyperlink" xfId="5125" builtinId="9" hidden="1"/>
    <cellStyle name="Followed Hyperlink" xfId="5127" builtinId="9" hidden="1"/>
    <cellStyle name="Followed Hyperlink" xfId="5129" builtinId="9" hidden="1"/>
    <cellStyle name="Followed Hyperlink" xfId="5131" builtinId="9" hidden="1"/>
    <cellStyle name="Followed Hyperlink" xfId="5133" builtinId="9" hidden="1"/>
    <cellStyle name="Followed Hyperlink" xfId="5135" builtinId="9" hidden="1"/>
    <cellStyle name="Followed Hyperlink" xfId="5137" builtinId="9" hidden="1"/>
    <cellStyle name="Followed Hyperlink" xfId="5139" builtinId="9" hidden="1"/>
    <cellStyle name="Followed Hyperlink" xfId="5141" builtinId="9" hidden="1"/>
    <cellStyle name="Followed Hyperlink" xfId="5143" builtinId="9" hidden="1"/>
    <cellStyle name="Followed Hyperlink" xfId="5145" builtinId="9" hidden="1"/>
    <cellStyle name="Followed Hyperlink" xfId="5147" builtinId="9" hidden="1"/>
    <cellStyle name="Followed Hyperlink" xfId="5149" builtinId="9" hidden="1"/>
    <cellStyle name="Followed Hyperlink" xfId="5151" builtinId="9" hidden="1"/>
    <cellStyle name="Followed Hyperlink" xfId="5153" builtinId="9" hidden="1"/>
    <cellStyle name="Followed Hyperlink" xfId="5155" builtinId="9" hidden="1"/>
    <cellStyle name="Followed Hyperlink" xfId="5157" builtinId="9" hidden="1"/>
    <cellStyle name="Followed Hyperlink" xfId="5159" builtinId="9" hidden="1"/>
    <cellStyle name="Followed Hyperlink" xfId="5161" builtinId="9" hidden="1"/>
    <cellStyle name="Followed Hyperlink" xfId="5163" builtinId="9" hidden="1"/>
    <cellStyle name="Followed Hyperlink" xfId="5165" builtinId="9" hidden="1"/>
    <cellStyle name="Followed Hyperlink" xfId="5167" builtinId="9" hidden="1"/>
    <cellStyle name="Followed Hyperlink" xfId="5169" builtinId="9" hidden="1"/>
    <cellStyle name="Followed Hyperlink" xfId="5171" builtinId="9" hidden="1"/>
    <cellStyle name="Followed Hyperlink" xfId="5173" builtinId="9" hidden="1"/>
    <cellStyle name="Followed Hyperlink" xfId="5175" builtinId="9" hidden="1"/>
    <cellStyle name="Followed Hyperlink" xfId="5177" builtinId="9" hidden="1"/>
    <cellStyle name="Followed Hyperlink" xfId="5179" builtinId="9" hidden="1"/>
    <cellStyle name="Followed Hyperlink" xfId="5181" builtinId="9" hidden="1"/>
    <cellStyle name="Followed Hyperlink" xfId="5183" builtinId="9" hidden="1"/>
    <cellStyle name="Followed Hyperlink" xfId="5185" builtinId="9" hidden="1"/>
    <cellStyle name="Followed Hyperlink" xfId="5187" builtinId="9" hidden="1"/>
    <cellStyle name="Followed Hyperlink" xfId="5189" builtinId="9" hidden="1"/>
    <cellStyle name="Followed Hyperlink" xfId="5191" builtinId="9" hidden="1"/>
    <cellStyle name="Followed Hyperlink" xfId="5193" builtinId="9" hidden="1"/>
    <cellStyle name="Followed Hyperlink" xfId="5195" builtinId="9" hidden="1"/>
    <cellStyle name="Followed Hyperlink" xfId="5197" builtinId="9" hidden="1"/>
    <cellStyle name="Followed Hyperlink" xfId="5199" builtinId="9" hidden="1"/>
    <cellStyle name="Followed Hyperlink" xfId="5201" builtinId="9" hidden="1"/>
    <cellStyle name="Followed Hyperlink" xfId="5203" builtinId="9" hidden="1"/>
    <cellStyle name="Followed Hyperlink" xfId="5205" builtinId="9" hidden="1"/>
    <cellStyle name="Followed Hyperlink" xfId="5207" builtinId="9" hidden="1"/>
    <cellStyle name="Followed Hyperlink" xfId="5209" builtinId="9" hidden="1"/>
    <cellStyle name="Followed Hyperlink" xfId="5211" builtinId="9" hidden="1"/>
    <cellStyle name="Followed Hyperlink" xfId="5213" builtinId="9" hidden="1"/>
    <cellStyle name="Followed Hyperlink" xfId="5215" builtinId="9" hidden="1"/>
    <cellStyle name="Followed Hyperlink" xfId="5217" builtinId="9" hidden="1"/>
    <cellStyle name="Followed Hyperlink" xfId="5219" builtinId="9" hidden="1"/>
    <cellStyle name="Followed Hyperlink" xfId="5221" builtinId="9" hidden="1"/>
    <cellStyle name="Followed Hyperlink" xfId="5223" builtinId="9" hidden="1"/>
    <cellStyle name="Followed Hyperlink" xfId="5225" builtinId="9" hidden="1"/>
    <cellStyle name="Followed Hyperlink" xfId="5227" builtinId="9" hidden="1"/>
    <cellStyle name="Followed Hyperlink" xfId="5229" builtinId="9" hidden="1"/>
    <cellStyle name="Followed Hyperlink" xfId="5231" builtinId="9" hidden="1"/>
    <cellStyle name="Followed Hyperlink" xfId="5233" builtinId="9" hidden="1"/>
    <cellStyle name="Followed Hyperlink" xfId="5235" builtinId="9" hidden="1"/>
    <cellStyle name="Followed Hyperlink" xfId="5237" builtinId="9" hidden="1"/>
    <cellStyle name="Followed Hyperlink" xfId="5239" builtinId="9" hidden="1"/>
    <cellStyle name="Followed Hyperlink" xfId="5241" builtinId="9" hidden="1"/>
    <cellStyle name="Followed Hyperlink" xfId="5243" builtinId="9" hidden="1"/>
    <cellStyle name="Followed Hyperlink" xfId="5245" builtinId="9" hidden="1"/>
    <cellStyle name="Followed Hyperlink" xfId="5247" builtinId="9" hidden="1"/>
    <cellStyle name="Followed Hyperlink" xfId="5249" builtinId="9" hidden="1"/>
    <cellStyle name="Followed Hyperlink" xfId="5251" builtinId="9" hidden="1"/>
    <cellStyle name="Followed Hyperlink" xfId="5253" builtinId="9" hidden="1"/>
    <cellStyle name="Followed Hyperlink" xfId="5255" builtinId="9" hidden="1"/>
    <cellStyle name="Followed Hyperlink" xfId="5257" builtinId="9" hidden="1"/>
    <cellStyle name="Followed Hyperlink" xfId="5259" builtinId="9" hidden="1"/>
    <cellStyle name="Followed Hyperlink" xfId="5261" builtinId="9" hidden="1"/>
    <cellStyle name="Followed Hyperlink" xfId="5263" builtinId="9" hidden="1"/>
    <cellStyle name="Followed Hyperlink" xfId="5265" builtinId="9" hidden="1"/>
    <cellStyle name="Followed Hyperlink" xfId="5267" builtinId="9" hidden="1"/>
    <cellStyle name="Followed Hyperlink" xfId="5269" builtinId="9" hidden="1"/>
    <cellStyle name="Followed Hyperlink" xfId="5271" builtinId="9" hidden="1"/>
    <cellStyle name="Followed Hyperlink" xfId="5273" builtinId="9" hidden="1"/>
    <cellStyle name="Followed Hyperlink" xfId="5275" builtinId="9" hidden="1"/>
    <cellStyle name="Followed Hyperlink" xfId="5277" builtinId="9" hidden="1"/>
    <cellStyle name="Followed Hyperlink" xfId="5279" builtinId="9" hidden="1"/>
    <cellStyle name="Followed Hyperlink" xfId="5281" builtinId="9" hidden="1"/>
    <cellStyle name="Followed Hyperlink" xfId="5283" builtinId="9" hidden="1"/>
    <cellStyle name="Followed Hyperlink" xfId="5285" builtinId="9" hidden="1"/>
    <cellStyle name="Followed Hyperlink" xfId="5287" builtinId="9" hidden="1"/>
    <cellStyle name="Followed Hyperlink" xfId="5289" builtinId="9" hidden="1"/>
    <cellStyle name="Followed Hyperlink" xfId="5291" builtinId="9" hidden="1"/>
    <cellStyle name="Followed Hyperlink" xfId="5293" builtinId="9" hidden="1"/>
    <cellStyle name="Followed Hyperlink" xfId="5295" builtinId="9" hidden="1"/>
    <cellStyle name="Followed Hyperlink" xfId="5297" builtinId="9" hidden="1"/>
    <cellStyle name="Followed Hyperlink" xfId="5299" builtinId="9" hidden="1"/>
    <cellStyle name="Followed Hyperlink" xfId="5301" builtinId="9" hidden="1"/>
    <cellStyle name="Followed Hyperlink" xfId="5303" builtinId="9" hidden="1"/>
    <cellStyle name="Followed Hyperlink" xfId="5305" builtinId="9" hidden="1"/>
    <cellStyle name="Followed Hyperlink" xfId="5307" builtinId="9" hidden="1"/>
    <cellStyle name="Followed Hyperlink" xfId="5309" builtinId="9" hidden="1"/>
    <cellStyle name="Followed Hyperlink" xfId="5311" builtinId="9" hidden="1"/>
    <cellStyle name="Followed Hyperlink" xfId="5313" builtinId="9" hidden="1"/>
    <cellStyle name="Followed Hyperlink" xfId="5315" builtinId="9" hidden="1"/>
    <cellStyle name="Followed Hyperlink" xfId="5317" builtinId="9" hidden="1"/>
    <cellStyle name="Followed Hyperlink" xfId="5319" builtinId="9" hidden="1"/>
    <cellStyle name="Followed Hyperlink" xfId="5321" builtinId="9" hidden="1"/>
    <cellStyle name="Followed Hyperlink" xfId="5323" builtinId="9" hidden="1"/>
    <cellStyle name="Followed Hyperlink" xfId="5325" builtinId="9" hidden="1"/>
    <cellStyle name="Followed Hyperlink" xfId="5327" builtinId="9" hidden="1"/>
    <cellStyle name="Followed Hyperlink" xfId="5329" builtinId="9" hidden="1"/>
    <cellStyle name="Followed Hyperlink" xfId="5331" builtinId="9" hidden="1"/>
    <cellStyle name="Followed Hyperlink" xfId="5333" builtinId="9" hidden="1"/>
    <cellStyle name="Followed Hyperlink" xfId="5335" builtinId="9" hidden="1"/>
    <cellStyle name="Followed Hyperlink" xfId="5337" builtinId="9" hidden="1"/>
    <cellStyle name="Followed Hyperlink" xfId="5339" builtinId="9" hidden="1"/>
    <cellStyle name="Followed Hyperlink" xfId="5341" builtinId="9" hidden="1"/>
    <cellStyle name="Followed Hyperlink" xfId="5343" builtinId="9" hidden="1"/>
    <cellStyle name="Followed Hyperlink" xfId="5345" builtinId="9" hidden="1"/>
    <cellStyle name="Followed Hyperlink" xfId="5347" builtinId="9" hidden="1"/>
    <cellStyle name="Followed Hyperlink" xfId="5349" builtinId="9" hidden="1"/>
    <cellStyle name="Followed Hyperlink" xfId="5351" builtinId="9" hidden="1"/>
    <cellStyle name="Followed Hyperlink" xfId="5353" builtinId="9" hidden="1"/>
    <cellStyle name="Followed Hyperlink" xfId="5355" builtinId="9" hidden="1"/>
    <cellStyle name="Followed Hyperlink" xfId="5357" builtinId="9" hidden="1"/>
    <cellStyle name="Followed Hyperlink" xfId="5359" builtinId="9" hidden="1"/>
    <cellStyle name="Followed Hyperlink" xfId="5361" builtinId="9" hidden="1"/>
    <cellStyle name="Followed Hyperlink" xfId="5363" builtinId="9" hidden="1"/>
    <cellStyle name="Followed Hyperlink" xfId="5365" builtinId="9" hidden="1"/>
    <cellStyle name="Followed Hyperlink" xfId="5367" builtinId="9" hidden="1"/>
    <cellStyle name="Followed Hyperlink" xfId="5369" builtinId="9" hidden="1"/>
    <cellStyle name="Followed Hyperlink" xfId="5371" builtinId="9" hidden="1"/>
    <cellStyle name="Followed Hyperlink" xfId="5373" builtinId="9" hidden="1"/>
    <cellStyle name="Followed Hyperlink" xfId="5375" builtinId="9" hidden="1"/>
    <cellStyle name="Followed Hyperlink" xfId="5377" builtinId="9" hidden="1"/>
    <cellStyle name="Followed Hyperlink" xfId="5379" builtinId="9" hidden="1"/>
    <cellStyle name="Followed Hyperlink" xfId="5381" builtinId="9" hidden="1"/>
    <cellStyle name="Followed Hyperlink" xfId="5383" builtinId="9" hidden="1"/>
    <cellStyle name="Followed Hyperlink" xfId="5385" builtinId="9" hidden="1"/>
    <cellStyle name="Followed Hyperlink" xfId="5387" builtinId="9" hidden="1"/>
    <cellStyle name="Followed Hyperlink" xfId="5389" builtinId="9" hidden="1"/>
    <cellStyle name="Followed Hyperlink" xfId="5391" builtinId="9" hidden="1"/>
    <cellStyle name="Followed Hyperlink" xfId="5393" builtinId="9" hidden="1"/>
    <cellStyle name="Followed Hyperlink" xfId="5395" builtinId="9" hidden="1"/>
    <cellStyle name="Followed Hyperlink" xfId="5397" builtinId="9" hidden="1"/>
    <cellStyle name="Followed Hyperlink" xfId="5399" builtinId="9" hidden="1"/>
    <cellStyle name="Followed Hyperlink" xfId="5401" builtinId="9" hidden="1"/>
    <cellStyle name="Followed Hyperlink" xfId="5403" builtinId="9" hidden="1"/>
    <cellStyle name="Followed Hyperlink" xfId="5405" builtinId="9" hidden="1"/>
    <cellStyle name="Followed Hyperlink" xfId="5407" builtinId="9" hidden="1"/>
    <cellStyle name="Followed Hyperlink" xfId="5409" builtinId="9" hidden="1"/>
    <cellStyle name="Followed Hyperlink" xfId="5411" builtinId="9" hidden="1"/>
    <cellStyle name="Followed Hyperlink" xfId="5413" builtinId="9" hidden="1"/>
    <cellStyle name="Followed Hyperlink" xfId="5415" builtinId="9" hidden="1"/>
    <cellStyle name="Followed Hyperlink" xfId="5417" builtinId="9" hidden="1"/>
    <cellStyle name="Followed Hyperlink" xfId="5419" builtinId="9" hidden="1"/>
    <cellStyle name="Followed Hyperlink" xfId="5421" builtinId="9" hidden="1"/>
    <cellStyle name="Followed Hyperlink" xfId="5423" builtinId="9" hidden="1"/>
    <cellStyle name="Followed Hyperlink" xfId="5425" builtinId="9" hidden="1"/>
    <cellStyle name="Followed Hyperlink" xfId="5427" builtinId="9" hidden="1"/>
    <cellStyle name="Followed Hyperlink" xfId="5429" builtinId="9" hidden="1"/>
    <cellStyle name="Followed Hyperlink" xfId="5431" builtinId="9" hidden="1"/>
    <cellStyle name="Followed Hyperlink" xfId="5433" builtinId="9" hidden="1"/>
    <cellStyle name="Followed Hyperlink" xfId="5435" builtinId="9" hidden="1"/>
    <cellStyle name="Followed Hyperlink" xfId="5437" builtinId="9" hidden="1"/>
    <cellStyle name="Followed Hyperlink" xfId="5439" builtinId="9" hidden="1"/>
    <cellStyle name="Followed Hyperlink" xfId="5441" builtinId="9" hidden="1"/>
    <cellStyle name="Followed Hyperlink" xfId="5443" builtinId="9" hidden="1"/>
    <cellStyle name="Followed Hyperlink" xfId="5445" builtinId="9" hidden="1"/>
    <cellStyle name="Followed Hyperlink" xfId="5447" builtinId="9" hidden="1"/>
    <cellStyle name="Followed Hyperlink" xfId="5449" builtinId="9" hidden="1"/>
    <cellStyle name="Followed Hyperlink" xfId="5451" builtinId="9" hidden="1"/>
    <cellStyle name="Followed Hyperlink" xfId="5453" builtinId="9" hidden="1"/>
    <cellStyle name="Followed Hyperlink" xfId="5455" builtinId="9" hidden="1"/>
    <cellStyle name="Followed Hyperlink" xfId="5457" builtinId="9" hidden="1"/>
    <cellStyle name="Followed Hyperlink" xfId="5459" builtinId="9" hidden="1"/>
    <cellStyle name="Followed Hyperlink" xfId="5461" builtinId="9" hidden="1"/>
    <cellStyle name="Followed Hyperlink" xfId="5463" builtinId="9" hidden="1"/>
    <cellStyle name="Followed Hyperlink" xfId="5465" builtinId="9" hidden="1"/>
    <cellStyle name="Followed Hyperlink" xfId="5467" builtinId="9" hidden="1"/>
    <cellStyle name="Followed Hyperlink" xfId="5469" builtinId="9" hidden="1"/>
    <cellStyle name="Followed Hyperlink" xfId="5471" builtinId="9" hidden="1"/>
    <cellStyle name="Followed Hyperlink" xfId="5473" builtinId="9" hidden="1"/>
    <cellStyle name="Followed Hyperlink" xfId="5475" builtinId="9" hidden="1"/>
    <cellStyle name="Followed Hyperlink" xfId="5477" builtinId="9" hidden="1"/>
    <cellStyle name="Followed Hyperlink" xfId="5479" builtinId="9" hidden="1"/>
    <cellStyle name="Followed Hyperlink" xfId="5481" builtinId="9" hidden="1"/>
    <cellStyle name="Followed Hyperlink" xfId="5483" builtinId="9" hidden="1"/>
    <cellStyle name="Followed Hyperlink" xfId="5485" builtinId="9" hidden="1"/>
    <cellStyle name="Followed Hyperlink" xfId="5487" builtinId="9" hidden="1"/>
    <cellStyle name="Followed Hyperlink" xfId="5489" builtinId="9" hidden="1"/>
    <cellStyle name="Followed Hyperlink" xfId="5491" builtinId="9" hidden="1"/>
    <cellStyle name="Followed Hyperlink" xfId="5493" builtinId="9" hidden="1"/>
    <cellStyle name="Followed Hyperlink" xfId="5495" builtinId="9" hidden="1"/>
    <cellStyle name="Followed Hyperlink" xfId="5497" builtinId="9" hidden="1"/>
    <cellStyle name="Followed Hyperlink" xfId="5499" builtinId="9" hidden="1"/>
    <cellStyle name="Followed Hyperlink" xfId="5501" builtinId="9" hidden="1"/>
    <cellStyle name="Followed Hyperlink" xfId="5503" builtinId="9" hidden="1"/>
    <cellStyle name="Followed Hyperlink" xfId="5505" builtinId="9" hidden="1"/>
    <cellStyle name="Followed Hyperlink" xfId="5507" builtinId="9" hidden="1"/>
    <cellStyle name="Followed Hyperlink" xfId="5509" builtinId="9" hidden="1"/>
    <cellStyle name="Followed Hyperlink" xfId="5511" builtinId="9" hidden="1"/>
    <cellStyle name="Followed Hyperlink" xfId="5513" builtinId="9" hidden="1"/>
    <cellStyle name="Followed Hyperlink" xfId="5515" builtinId="9" hidden="1"/>
    <cellStyle name="Followed Hyperlink" xfId="5517" builtinId="9" hidden="1"/>
    <cellStyle name="Followed Hyperlink" xfId="5519" builtinId="9" hidden="1"/>
    <cellStyle name="Followed Hyperlink" xfId="5521" builtinId="9" hidden="1"/>
    <cellStyle name="Followed Hyperlink" xfId="5523" builtinId="9" hidden="1"/>
    <cellStyle name="Followed Hyperlink" xfId="5525" builtinId="9" hidden="1"/>
    <cellStyle name="Followed Hyperlink" xfId="5527" builtinId="9" hidden="1"/>
    <cellStyle name="Followed Hyperlink" xfId="5529" builtinId="9" hidden="1"/>
    <cellStyle name="Followed Hyperlink" xfId="5531" builtinId="9" hidden="1"/>
    <cellStyle name="Followed Hyperlink" xfId="5533" builtinId="9" hidden="1"/>
    <cellStyle name="Followed Hyperlink" xfId="5535" builtinId="9" hidden="1"/>
    <cellStyle name="Followed Hyperlink" xfId="5537" builtinId="9" hidden="1"/>
    <cellStyle name="Followed Hyperlink" xfId="5539" builtinId="9" hidden="1"/>
    <cellStyle name="Followed Hyperlink" xfId="5541" builtinId="9" hidden="1"/>
    <cellStyle name="Followed Hyperlink" xfId="5543" builtinId="9" hidden="1"/>
    <cellStyle name="Followed Hyperlink" xfId="5545" builtinId="9" hidden="1"/>
    <cellStyle name="Followed Hyperlink" xfId="5547" builtinId="9" hidden="1"/>
    <cellStyle name="Followed Hyperlink" xfId="5549" builtinId="9" hidden="1"/>
    <cellStyle name="Followed Hyperlink" xfId="5551" builtinId="9" hidden="1"/>
    <cellStyle name="Followed Hyperlink" xfId="5553" builtinId="9" hidden="1"/>
    <cellStyle name="Followed Hyperlink" xfId="5555" builtinId="9" hidden="1"/>
    <cellStyle name="Followed Hyperlink" xfId="5557" builtinId="9" hidden="1"/>
    <cellStyle name="Followed Hyperlink" xfId="5559" builtinId="9" hidden="1"/>
    <cellStyle name="Followed Hyperlink" xfId="5561" builtinId="9" hidden="1"/>
    <cellStyle name="Followed Hyperlink" xfId="5563" builtinId="9" hidden="1"/>
    <cellStyle name="Followed Hyperlink" xfId="5565" builtinId="9" hidden="1"/>
    <cellStyle name="Followed Hyperlink" xfId="5567" builtinId="9" hidden="1"/>
    <cellStyle name="Followed Hyperlink" xfId="5569" builtinId="9" hidden="1"/>
    <cellStyle name="Followed Hyperlink" xfId="5571" builtinId="9" hidden="1"/>
    <cellStyle name="Followed Hyperlink" xfId="5573" builtinId="9" hidden="1"/>
    <cellStyle name="Followed Hyperlink" xfId="5575" builtinId="9" hidden="1"/>
    <cellStyle name="Followed Hyperlink" xfId="5577" builtinId="9" hidden="1"/>
    <cellStyle name="Followed Hyperlink" xfId="5579" builtinId="9" hidden="1"/>
    <cellStyle name="Followed Hyperlink" xfId="5581" builtinId="9" hidden="1"/>
    <cellStyle name="Followed Hyperlink" xfId="5583" builtinId="9" hidden="1"/>
    <cellStyle name="Followed Hyperlink" xfId="5585" builtinId="9" hidden="1"/>
    <cellStyle name="Followed Hyperlink" xfId="5587" builtinId="9" hidden="1"/>
    <cellStyle name="Followed Hyperlink" xfId="5589" builtinId="9" hidden="1"/>
    <cellStyle name="Followed Hyperlink" xfId="5591" builtinId="9" hidden="1"/>
    <cellStyle name="Followed Hyperlink" xfId="5593" builtinId="9" hidden="1"/>
    <cellStyle name="Followed Hyperlink" xfId="5595" builtinId="9" hidden="1"/>
    <cellStyle name="Followed Hyperlink" xfId="5597" builtinId="9" hidden="1"/>
    <cellStyle name="Followed Hyperlink" xfId="5599" builtinId="9" hidden="1"/>
    <cellStyle name="Followed Hyperlink" xfId="5601" builtinId="9" hidden="1"/>
    <cellStyle name="Followed Hyperlink" xfId="5603" builtinId="9" hidden="1"/>
    <cellStyle name="Followed Hyperlink" xfId="5605" builtinId="9" hidden="1"/>
    <cellStyle name="Followed Hyperlink" xfId="5607" builtinId="9" hidden="1"/>
    <cellStyle name="Followed Hyperlink" xfId="5609" builtinId="9" hidden="1"/>
    <cellStyle name="Followed Hyperlink" xfId="5611" builtinId="9" hidden="1"/>
    <cellStyle name="Followed Hyperlink" xfId="5613" builtinId="9" hidden="1"/>
    <cellStyle name="Followed Hyperlink" xfId="5615" builtinId="9" hidden="1"/>
    <cellStyle name="Followed Hyperlink" xfId="5617" builtinId="9" hidden="1"/>
    <cellStyle name="Followed Hyperlink" xfId="5619" builtinId="9" hidden="1"/>
    <cellStyle name="Followed Hyperlink" xfId="5621" builtinId="9" hidden="1"/>
    <cellStyle name="Followed Hyperlink" xfId="5623" builtinId="9" hidden="1"/>
    <cellStyle name="Followed Hyperlink" xfId="5625" builtinId="9" hidden="1"/>
    <cellStyle name="Followed Hyperlink" xfId="5627" builtinId="9" hidden="1"/>
    <cellStyle name="Followed Hyperlink" xfId="5629" builtinId="9" hidden="1"/>
    <cellStyle name="Followed Hyperlink" xfId="5631" builtinId="9" hidden="1"/>
    <cellStyle name="Followed Hyperlink" xfId="5633" builtinId="9" hidden="1"/>
    <cellStyle name="Followed Hyperlink" xfId="5635" builtinId="9" hidden="1"/>
    <cellStyle name="Followed Hyperlink" xfId="5637" builtinId="9" hidden="1"/>
    <cellStyle name="Followed Hyperlink" xfId="5639" builtinId="9" hidden="1"/>
    <cellStyle name="Followed Hyperlink" xfId="5641" builtinId="9" hidden="1"/>
    <cellStyle name="Followed Hyperlink" xfId="5643" builtinId="9" hidden="1"/>
    <cellStyle name="Followed Hyperlink" xfId="5645" builtinId="9" hidden="1"/>
    <cellStyle name="Followed Hyperlink" xfId="5647" builtinId="9" hidden="1"/>
    <cellStyle name="Followed Hyperlink" xfId="5649" builtinId="9" hidden="1"/>
    <cellStyle name="Followed Hyperlink" xfId="5651" builtinId="9" hidden="1"/>
    <cellStyle name="Followed Hyperlink" xfId="5653" builtinId="9" hidden="1"/>
    <cellStyle name="Followed Hyperlink" xfId="5655" builtinId="9" hidden="1"/>
    <cellStyle name="Followed Hyperlink" xfId="5657" builtinId="9" hidden="1"/>
    <cellStyle name="Followed Hyperlink" xfId="5659" builtinId="9" hidden="1"/>
    <cellStyle name="Followed Hyperlink" xfId="5661" builtinId="9" hidden="1"/>
    <cellStyle name="Followed Hyperlink" xfId="5663" builtinId="9" hidden="1"/>
    <cellStyle name="Followed Hyperlink" xfId="5665" builtinId="9" hidden="1"/>
    <cellStyle name="Followed Hyperlink" xfId="5667" builtinId="9" hidden="1"/>
    <cellStyle name="Followed Hyperlink" xfId="5669" builtinId="9" hidden="1"/>
    <cellStyle name="Followed Hyperlink" xfId="5671" builtinId="9" hidden="1"/>
    <cellStyle name="Followed Hyperlink" xfId="5673" builtinId="9" hidden="1"/>
    <cellStyle name="Followed Hyperlink" xfId="5675" builtinId="9" hidden="1"/>
    <cellStyle name="Followed Hyperlink" xfId="5677" builtinId="9" hidden="1"/>
    <cellStyle name="Followed Hyperlink" xfId="5679" builtinId="9" hidden="1"/>
    <cellStyle name="Followed Hyperlink" xfId="5681" builtinId="9" hidden="1"/>
    <cellStyle name="Followed Hyperlink" xfId="5683" builtinId="9" hidden="1"/>
    <cellStyle name="Followed Hyperlink" xfId="5685" builtinId="9" hidden="1"/>
    <cellStyle name="Followed Hyperlink" xfId="5687" builtinId="9" hidden="1"/>
    <cellStyle name="Followed Hyperlink" xfId="5689" builtinId="9" hidden="1"/>
    <cellStyle name="Followed Hyperlink" xfId="5691" builtinId="9" hidden="1"/>
    <cellStyle name="Followed Hyperlink" xfId="5693" builtinId="9" hidden="1"/>
    <cellStyle name="Followed Hyperlink" xfId="5695" builtinId="9" hidden="1"/>
    <cellStyle name="Followed Hyperlink" xfId="5697" builtinId="9" hidden="1"/>
    <cellStyle name="Followed Hyperlink" xfId="5699" builtinId="9" hidden="1"/>
    <cellStyle name="Followed Hyperlink" xfId="5701" builtinId="9" hidden="1"/>
    <cellStyle name="Followed Hyperlink" xfId="5703" builtinId="9" hidden="1"/>
    <cellStyle name="Followed Hyperlink" xfId="5705" builtinId="9" hidden="1"/>
    <cellStyle name="Followed Hyperlink" xfId="5707" builtinId="9" hidden="1"/>
    <cellStyle name="Followed Hyperlink" xfId="5709" builtinId="9" hidden="1"/>
    <cellStyle name="Followed Hyperlink" xfId="5711" builtinId="9" hidden="1"/>
    <cellStyle name="Followed Hyperlink" xfId="5713" builtinId="9" hidden="1"/>
    <cellStyle name="Followed Hyperlink" xfId="5715" builtinId="9" hidden="1"/>
    <cellStyle name="Followed Hyperlink" xfId="5717" builtinId="9" hidden="1"/>
    <cellStyle name="Followed Hyperlink" xfId="5719" builtinId="9" hidden="1"/>
    <cellStyle name="Followed Hyperlink" xfId="5721" builtinId="9" hidden="1"/>
    <cellStyle name="Followed Hyperlink" xfId="5723" builtinId="9" hidden="1"/>
    <cellStyle name="Followed Hyperlink" xfId="5725" builtinId="9" hidden="1"/>
    <cellStyle name="Followed Hyperlink" xfId="5727" builtinId="9" hidden="1"/>
    <cellStyle name="Followed Hyperlink" xfId="5729" builtinId="9" hidden="1"/>
    <cellStyle name="Followed Hyperlink" xfId="5731" builtinId="9" hidden="1"/>
    <cellStyle name="Followed Hyperlink" xfId="5733" builtinId="9" hidden="1"/>
    <cellStyle name="Followed Hyperlink" xfId="5735" builtinId="9" hidden="1"/>
    <cellStyle name="Followed Hyperlink" xfId="5737" builtinId="9" hidden="1"/>
    <cellStyle name="Followed Hyperlink" xfId="5739" builtinId="9" hidden="1"/>
    <cellStyle name="Followed Hyperlink" xfId="5741" builtinId="9" hidden="1"/>
    <cellStyle name="Followed Hyperlink" xfId="5743" builtinId="9" hidden="1"/>
    <cellStyle name="Followed Hyperlink" xfId="5745" builtinId="9" hidden="1"/>
    <cellStyle name="Followed Hyperlink" xfId="5747" builtinId="9" hidden="1"/>
    <cellStyle name="Followed Hyperlink" xfId="5749" builtinId="9" hidden="1"/>
    <cellStyle name="Followed Hyperlink" xfId="5751" builtinId="9" hidden="1"/>
    <cellStyle name="Followed Hyperlink" xfId="5753" builtinId="9" hidden="1"/>
    <cellStyle name="Followed Hyperlink" xfId="5755" builtinId="9" hidden="1"/>
    <cellStyle name="Followed Hyperlink" xfId="5757" builtinId="9" hidden="1"/>
    <cellStyle name="Followed Hyperlink" xfId="5759" builtinId="9" hidden="1"/>
    <cellStyle name="Followed Hyperlink" xfId="5761" builtinId="9" hidden="1"/>
    <cellStyle name="Followed Hyperlink" xfId="5763" builtinId="9" hidden="1"/>
    <cellStyle name="Followed Hyperlink" xfId="5765" builtinId="9" hidden="1"/>
    <cellStyle name="Followed Hyperlink" xfId="5767" builtinId="9" hidden="1"/>
    <cellStyle name="Followed Hyperlink" xfId="5769" builtinId="9" hidden="1"/>
    <cellStyle name="Followed Hyperlink" xfId="5771" builtinId="9" hidden="1"/>
    <cellStyle name="Followed Hyperlink" xfId="5773" builtinId="9" hidden="1"/>
    <cellStyle name="Followed Hyperlink" xfId="5775" builtinId="9" hidden="1"/>
    <cellStyle name="Followed Hyperlink" xfId="5777" builtinId="9" hidden="1"/>
    <cellStyle name="Followed Hyperlink" xfId="5779" builtinId="9" hidden="1"/>
    <cellStyle name="Followed Hyperlink" xfId="5781" builtinId="9" hidden="1"/>
    <cellStyle name="Followed Hyperlink" xfId="5783" builtinId="9" hidden="1"/>
    <cellStyle name="Followed Hyperlink" xfId="5785" builtinId="9" hidden="1"/>
    <cellStyle name="Followed Hyperlink" xfId="5787" builtinId="9" hidden="1"/>
    <cellStyle name="Followed Hyperlink" xfId="5789" builtinId="9" hidden="1"/>
    <cellStyle name="Followed Hyperlink" xfId="5791" builtinId="9" hidden="1"/>
    <cellStyle name="Followed Hyperlink" xfId="5793" builtinId="9" hidden="1"/>
    <cellStyle name="Followed Hyperlink" xfId="5795" builtinId="9" hidden="1"/>
    <cellStyle name="Followed Hyperlink" xfId="5797" builtinId="9" hidden="1"/>
    <cellStyle name="Followed Hyperlink" xfId="5799" builtinId="9" hidden="1"/>
    <cellStyle name="Followed Hyperlink" xfId="5801" builtinId="9" hidden="1"/>
    <cellStyle name="Followed Hyperlink" xfId="5803" builtinId="9" hidden="1"/>
    <cellStyle name="Followed Hyperlink" xfId="5805" builtinId="9" hidden="1"/>
    <cellStyle name="Followed Hyperlink" xfId="5807" builtinId="9" hidden="1"/>
    <cellStyle name="Followed Hyperlink" xfId="5809" builtinId="9" hidden="1"/>
    <cellStyle name="Followed Hyperlink" xfId="5811" builtinId="9" hidden="1"/>
    <cellStyle name="Followed Hyperlink" xfId="5813" builtinId="9" hidden="1"/>
    <cellStyle name="Followed Hyperlink" xfId="5815" builtinId="9" hidden="1"/>
    <cellStyle name="Followed Hyperlink" xfId="5817" builtinId="9" hidden="1"/>
    <cellStyle name="Followed Hyperlink" xfId="5819" builtinId="9" hidden="1"/>
    <cellStyle name="Followed Hyperlink" xfId="5821" builtinId="9" hidden="1"/>
    <cellStyle name="Followed Hyperlink" xfId="5823" builtinId="9" hidden="1"/>
    <cellStyle name="Followed Hyperlink" xfId="5825" builtinId="9" hidden="1"/>
    <cellStyle name="Followed Hyperlink" xfId="5827" builtinId="9" hidden="1"/>
    <cellStyle name="Followed Hyperlink" xfId="5829" builtinId="9" hidden="1"/>
    <cellStyle name="Followed Hyperlink" xfId="5831" builtinId="9" hidden="1"/>
    <cellStyle name="Followed Hyperlink" xfId="5833" builtinId="9" hidden="1"/>
    <cellStyle name="Followed Hyperlink" xfId="5835" builtinId="9" hidden="1"/>
    <cellStyle name="Followed Hyperlink" xfId="5837" builtinId="9" hidden="1"/>
    <cellStyle name="Followed Hyperlink" xfId="5839" builtinId="9" hidden="1"/>
    <cellStyle name="Followed Hyperlink" xfId="5841" builtinId="9" hidden="1"/>
    <cellStyle name="Followed Hyperlink" xfId="5843" builtinId="9" hidden="1"/>
    <cellStyle name="Followed Hyperlink" xfId="5845" builtinId="9" hidden="1"/>
    <cellStyle name="Followed Hyperlink" xfId="5847" builtinId="9" hidden="1"/>
    <cellStyle name="Followed Hyperlink" xfId="5849" builtinId="9" hidden="1"/>
    <cellStyle name="Followed Hyperlink" xfId="5851" builtinId="9" hidden="1"/>
    <cellStyle name="Followed Hyperlink" xfId="5853" builtinId="9" hidden="1"/>
    <cellStyle name="Followed Hyperlink" xfId="5855" builtinId="9" hidden="1"/>
    <cellStyle name="Followed Hyperlink" xfId="5857" builtinId="9" hidden="1"/>
    <cellStyle name="Followed Hyperlink" xfId="5859" builtinId="9" hidden="1"/>
    <cellStyle name="Followed Hyperlink" xfId="5861" builtinId="9" hidden="1"/>
    <cellStyle name="Followed Hyperlink" xfId="5863" builtinId="9" hidden="1"/>
    <cellStyle name="Followed Hyperlink" xfId="5865" builtinId="9" hidden="1"/>
    <cellStyle name="Followed Hyperlink" xfId="5867" builtinId="9" hidden="1"/>
    <cellStyle name="Followed Hyperlink" xfId="5869" builtinId="9" hidden="1"/>
    <cellStyle name="Followed Hyperlink" xfId="5871" builtinId="9" hidden="1"/>
    <cellStyle name="Followed Hyperlink" xfId="5873" builtinId="9" hidden="1"/>
    <cellStyle name="Followed Hyperlink" xfId="5875" builtinId="9" hidden="1"/>
    <cellStyle name="Followed Hyperlink" xfId="5877" builtinId="9" hidden="1"/>
    <cellStyle name="Followed Hyperlink" xfId="5879" builtinId="9" hidden="1"/>
    <cellStyle name="Followed Hyperlink" xfId="5881" builtinId="9" hidden="1"/>
    <cellStyle name="Followed Hyperlink" xfId="5883" builtinId="9" hidden="1"/>
    <cellStyle name="Followed Hyperlink" xfId="5885" builtinId="9" hidden="1"/>
    <cellStyle name="Followed Hyperlink" xfId="5887" builtinId="9" hidden="1"/>
    <cellStyle name="Followed Hyperlink" xfId="5889" builtinId="9" hidden="1"/>
    <cellStyle name="Followed Hyperlink" xfId="5891" builtinId="9" hidden="1"/>
    <cellStyle name="Followed Hyperlink" xfId="5893" builtinId="9" hidden="1"/>
    <cellStyle name="Followed Hyperlink" xfId="5895" builtinId="9" hidden="1"/>
    <cellStyle name="Followed Hyperlink" xfId="5897" builtinId="9" hidden="1"/>
    <cellStyle name="Followed Hyperlink" xfId="5899" builtinId="9" hidden="1"/>
    <cellStyle name="Followed Hyperlink" xfId="5901" builtinId="9" hidden="1"/>
    <cellStyle name="Followed Hyperlink" xfId="5903" builtinId="9" hidden="1"/>
    <cellStyle name="Followed Hyperlink" xfId="5905" builtinId="9" hidden="1"/>
    <cellStyle name="Followed Hyperlink" xfId="5907" builtinId="9" hidden="1"/>
    <cellStyle name="Followed Hyperlink" xfId="5909" builtinId="9" hidden="1"/>
    <cellStyle name="Followed Hyperlink" xfId="5911" builtinId="9" hidden="1"/>
    <cellStyle name="Followed Hyperlink" xfId="5913" builtinId="9" hidden="1"/>
    <cellStyle name="Followed Hyperlink" xfId="5915" builtinId="9" hidden="1"/>
    <cellStyle name="Followed Hyperlink" xfId="5917" builtinId="9" hidden="1"/>
    <cellStyle name="Followed Hyperlink" xfId="5919" builtinId="9" hidden="1"/>
    <cellStyle name="Followed Hyperlink" xfId="5921" builtinId="9" hidden="1"/>
    <cellStyle name="Followed Hyperlink" xfId="5923" builtinId="9" hidden="1"/>
    <cellStyle name="Followed Hyperlink" xfId="5925" builtinId="9" hidden="1"/>
    <cellStyle name="Followed Hyperlink" xfId="5927" builtinId="9" hidden="1"/>
    <cellStyle name="Followed Hyperlink" xfId="5929" builtinId="9" hidden="1"/>
    <cellStyle name="Followed Hyperlink" xfId="5931" builtinId="9" hidden="1"/>
    <cellStyle name="Followed Hyperlink" xfId="5933" builtinId="9" hidden="1"/>
    <cellStyle name="Followed Hyperlink" xfId="5935" builtinId="9" hidden="1"/>
    <cellStyle name="Followed Hyperlink" xfId="5937" builtinId="9" hidden="1"/>
    <cellStyle name="Followed Hyperlink" xfId="5939" builtinId="9" hidden="1"/>
    <cellStyle name="Followed Hyperlink" xfId="5941" builtinId="9" hidden="1"/>
    <cellStyle name="Followed Hyperlink" xfId="5943" builtinId="9" hidden="1"/>
    <cellStyle name="Followed Hyperlink" xfId="5945" builtinId="9" hidden="1"/>
    <cellStyle name="Followed Hyperlink" xfId="5947" builtinId="9" hidden="1"/>
    <cellStyle name="Followed Hyperlink" xfId="5949" builtinId="9" hidden="1"/>
    <cellStyle name="Followed Hyperlink" xfId="5951" builtinId="9" hidden="1"/>
    <cellStyle name="Followed Hyperlink" xfId="5953" builtinId="9" hidden="1"/>
    <cellStyle name="Followed Hyperlink" xfId="5955" builtinId="9" hidden="1"/>
    <cellStyle name="Followed Hyperlink" xfId="5957" builtinId="9" hidden="1"/>
    <cellStyle name="Followed Hyperlink" xfId="5959" builtinId="9" hidden="1"/>
    <cellStyle name="Followed Hyperlink" xfId="5961" builtinId="9" hidden="1"/>
    <cellStyle name="Followed Hyperlink" xfId="5963" builtinId="9" hidden="1"/>
    <cellStyle name="Followed Hyperlink" xfId="5965" builtinId="9" hidden="1"/>
    <cellStyle name="Followed Hyperlink" xfId="5967" builtinId="9" hidden="1"/>
    <cellStyle name="Followed Hyperlink" xfId="5969" builtinId="9" hidden="1"/>
    <cellStyle name="Followed Hyperlink" xfId="5971" builtinId="9" hidden="1"/>
    <cellStyle name="Followed Hyperlink" xfId="5973" builtinId="9" hidden="1"/>
    <cellStyle name="Followed Hyperlink" xfId="5975" builtinId="9" hidden="1"/>
    <cellStyle name="Followed Hyperlink" xfId="5977" builtinId="9" hidden="1"/>
    <cellStyle name="Followed Hyperlink" xfId="5979" builtinId="9" hidden="1"/>
    <cellStyle name="Followed Hyperlink" xfId="5981" builtinId="9" hidden="1"/>
    <cellStyle name="Followed Hyperlink" xfId="5983" builtinId="9" hidden="1"/>
    <cellStyle name="Followed Hyperlink" xfId="5985" builtinId="9" hidden="1"/>
    <cellStyle name="Followed Hyperlink" xfId="5987" builtinId="9" hidden="1"/>
    <cellStyle name="Followed Hyperlink" xfId="5989" builtinId="9" hidden="1"/>
    <cellStyle name="Followed Hyperlink" xfId="5991" builtinId="9" hidden="1"/>
    <cellStyle name="Followed Hyperlink" xfId="5993" builtinId="9" hidden="1"/>
    <cellStyle name="Followed Hyperlink" xfId="5995" builtinId="9" hidden="1"/>
    <cellStyle name="Followed Hyperlink" xfId="5997" builtinId="9" hidden="1"/>
    <cellStyle name="Followed Hyperlink" xfId="5999" builtinId="9" hidden="1"/>
    <cellStyle name="Followed Hyperlink" xfId="6001" builtinId="9" hidden="1"/>
    <cellStyle name="Followed Hyperlink" xfId="6003" builtinId="9" hidden="1"/>
    <cellStyle name="Followed Hyperlink" xfId="6005" builtinId="9" hidden="1"/>
    <cellStyle name="Followed Hyperlink" xfId="6007" builtinId="9" hidden="1"/>
    <cellStyle name="Followed Hyperlink" xfId="6009" builtinId="9" hidden="1"/>
    <cellStyle name="Followed Hyperlink" xfId="6011" builtinId="9" hidden="1"/>
    <cellStyle name="Followed Hyperlink" xfId="6013" builtinId="9" hidden="1"/>
    <cellStyle name="Followed Hyperlink" xfId="6015" builtinId="9" hidden="1"/>
    <cellStyle name="Followed Hyperlink" xfId="6017" builtinId="9" hidden="1"/>
    <cellStyle name="Followed Hyperlink" xfId="6019" builtinId="9" hidden="1"/>
    <cellStyle name="Followed Hyperlink" xfId="6021" builtinId="9" hidden="1"/>
    <cellStyle name="Followed Hyperlink" xfId="6023" builtinId="9" hidden="1"/>
    <cellStyle name="Followed Hyperlink" xfId="6025" builtinId="9" hidden="1"/>
    <cellStyle name="Followed Hyperlink" xfId="6027" builtinId="9" hidden="1"/>
    <cellStyle name="Followed Hyperlink" xfId="6029" builtinId="9" hidden="1"/>
    <cellStyle name="Followed Hyperlink" xfId="6031" builtinId="9" hidden="1"/>
    <cellStyle name="Followed Hyperlink" xfId="6033" builtinId="9" hidden="1"/>
    <cellStyle name="Followed Hyperlink" xfId="6035" builtinId="9" hidden="1"/>
    <cellStyle name="Followed Hyperlink" xfId="6037" builtinId="9" hidden="1"/>
    <cellStyle name="Followed Hyperlink" xfId="6039" builtinId="9" hidden="1"/>
    <cellStyle name="Followed Hyperlink" xfId="6041" builtinId="9" hidden="1"/>
    <cellStyle name="Followed Hyperlink" xfId="6043" builtinId="9" hidden="1"/>
    <cellStyle name="Followed Hyperlink" xfId="6045" builtinId="9" hidden="1"/>
    <cellStyle name="Followed Hyperlink" xfId="6047" builtinId="9" hidden="1"/>
    <cellStyle name="Followed Hyperlink" xfId="6049" builtinId="9" hidden="1"/>
    <cellStyle name="Followed Hyperlink" xfId="6051" builtinId="9" hidden="1"/>
    <cellStyle name="Followed Hyperlink" xfId="6053" builtinId="9" hidden="1"/>
    <cellStyle name="Followed Hyperlink" xfId="6055" builtinId="9" hidden="1"/>
    <cellStyle name="Followed Hyperlink" xfId="6057" builtinId="9" hidden="1"/>
    <cellStyle name="Followed Hyperlink" xfId="6059" builtinId="9" hidden="1"/>
    <cellStyle name="Followed Hyperlink" xfId="6061" builtinId="9" hidden="1"/>
    <cellStyle name="Followed Hyperlink" xfId="6063" builtinId="9" hidden="1"/>
    <cellStyle name="Followed Hyperlink" xfId="6065" builtinId="9" hidden="1"/>
    <cellStyle name="Followed Hyperlink" xfId="6067" builtinId="9" hidden="1"/>
    <cellStyle name="Followed Hyperlink" xfId="6069" builtinId="9" hidden="1"/>
    <cellStyle name="Followed Hyperlink" xfId="6071" builtinId="9" hidden="1"/>
    <cellStyle name="Followed Hyperlink" xfId="6073" builtinId="9" hidden="1"/>
    <cellStyle name="Followed Hyperlink" xfId="6075" builtinId="9" hidden="1"/>
    <cellStyle name="Followed Hyperlink" xfId="6077" builtinId="9" hidden="1"/>
    <cellStyle name="Followed Hyperlink" xfId="6079" builtinId="9" hidden="1"/>
    <cellStyle name="Followed Hyperlink" xfId="6081" builtinId="9" hidden="1"/>
    <cellStyle name="Followed Hyperlink" xfId="6083" builtinId="9" hidden="1"/>
    <cellStyle name="Followed Hyperlink" xfId="6085" builtinId="9" hidden="1"/>
    <cellStyle name="Followed Hyperlink" xfId="6087" builtinId="9" hidden="1"/>
    <cellStyle name="Followed Hyperlink" xfId="6089" builtinId="9" hidden="1"/>
    <cellStyle name="Followed Hyperlink" xfId="6091" builtinId="9" hidden="1"/>
    <cellStyle name="Followed Hyperlink" xfId="6093" builtinId="9" hidden="1"/>
    <cellStyle name="Followed Hyperlink" xfId="6095" builtinId="9" hidden="1"/>
    <cellStyle name="Followed Hyperlink" xfId="6097" builtinId="9" hidden="1"/>
    <cellStyle name="Followed Hyperlink" xfId="6099" builtinId="9" hidden="1"/>
    <cellStyle name="Followed Hyperlink" xfId="6101" builtinId="9" hidden="1"/>
    <cellStyle name="Followed Hyperlink" xfId="6103" builtinId="9" hidden="1"/>
    <cellStyle name="Followed Hyperlink" xfId="6105" builtinId="9" hidden="1"/>
    <cellStyle name="Followed Hyperlink" xfId="6107" builtinId="9" hidden="1"/>
    <cellStyle name="Followed Hyperlink" xfId="6109" builtinId="9" hidden="1"/>
    <cellStyle name="Followed Hyperlink" xfId="6111" builtinId="9" hidden="1"/>
    <cellStyle name="Followed Hyperlink" xfId="6113" builtinId="9" hidden="1"/>
    <cellStyle name="Followed Hyperlink" xfId="6115" builtinId="9" hidden="1"/>
    <cellStyle name="Followed Hyperlink" xfId="6117" builtinId="9" hidden="1"/>
    <cellStyle name="Followed Hyperlink" xfId="6119" builtinId="9" hidden="1"/>
    <cellStyle name="Followed Hyperlink" xfId="6121" builtinId="9" hidden="1"/>
    <cellStyle name="Followed Hyperlink" xfId="6123" builtinId="9" hidden="1"/>
    <cellStyle name="Followed Hyperlink" xfId="6125" builtinId="9" hidden="1"/>
    <cellStyle name="Followed Hyperlink" xfId="6127" builtinId="9" hidden="1"/>
    <cellStyle name="Followed Hyperlink" xfId="6129" builtinId="9" hidden="1"/>
    <cellStyle name="Followed Hyperlink" xfId="6131" builtinId="9" hidden="1"/>
    <cellStyle name="Followed Hyperlink" xfId="6133" builtinId="9" hidden="1"/>
    <cellStyle name="Followed Hyperlink" xfId="6135" builtinId="9" hidden="1"/>
    <cellStyle name="Followed Hyperlink" xfId="6137" builtinId="9" hidden="1"/>
    <cellStyle name="Followed Hyperlink" xfId="6139" builtinId="9" hidden="1"/>
    <cellStyle name="Followed Hyperlink" xfId="6141" builtinId="9" hidden="1"/>
    <cellStyle name="Followed Hyperlink" xfId="6143" builtinId="9" hidden="1"/>
    <cellStyle name="Followed Hyperlink" xfId="6145" builtinId="9" hidden="1"/>
    <cellStyle name="Followed Hyperlink" xfId="6147" builtinId="9" hidden="1"/>
    <cellStyle name="Followed Hyperlink" xfId="6149" builtinId="9" hidden="1"/>
    <cellStyle name="Followed Hyperlink" xfId="6151" builtinId="9" hidden="1"/>
    <cellStyle name="Followed Hyperlink" xfId="6153" builtinId="9" hidden="1"/>
    <cellStyle name="Followed Hyperlink" xfId="6155" builtinId="9" hidden="1"/>
    <cellStyle name="Followed Hyperlink" xfId="6157" builtinId="9" hidden="1"/>
    <cellStyle name="Followed Hyperlink" xfId="6159" builtinId="9" hidden="1"/>
    <cellStyle name="Followed Hyperlink" xfId="6161" builtinId="9" hidden="1"/>
    <cellStyle name="Followed Hyperlink" xfId="6163" builtinId="9" hidden="1"/>
    <cellStyle name="Followed Hyperlink" xfId="6165" builtinId="9" hidden="1"/>
    <cellStyle name="Followed Hyperlink" xfId="6167" builtinId="9" hidden="1"/>
    <cellStyle name="Followed Hyperlink" xfId="6169" builtinId="9" hidden="1"/>
    <cellStyle name="Followed Hyperlink" xfId="6171" builtinId="9" hidden="1"/>
    <cellStyle name="Followed Hyperlink" xfId="6173" builtinId="9" hidden="1"/>
    <cellStyle name="Followed Hyperlink" xfId="6175" builtinId="9" hidden="1"/>
    <cellStyle name="Followed Hyperlink" xfId="6177" builtinId="9" hidden="1"/>
    <cellStyle name="Followed Hyperlink" xfId="6179" builtinId="9" hidden="1"/>
    <cellStyle name="Followed Hyperlink" xfId="6181" builtinId="9" hidden="1"/>
    <cellStyle name="Followed Hyperlink" xfId="6183" builtinId="9" hidden="1"/>
    <cellStyle name="Followed Hyperlink" xfId="6185" builtinId="9" hidden="1"/>
    <cellStyle name="Followed Hyperlink" xfId="6187" builtinId="9" hidden="1"/>
    <cellStyle name="Followed Hyperlink" xfId="6189" builtinId="9" hidden="1"/>
    <cellStyle name="Followed Hyperlink" xfId="6191" builtinId="9" hidden="1"/>
    <cellStyle name="Followed Hyperlink" xfId="6193" builtinId="9" hidden="1"/>
    <cellStyle name="Followed Hyperlink" xfId="6195" builtinId="9" hidden="1"/>
    <cellStyle name="Followed Hyperlink" xfId="6197" builtinId="9" hidden="1"/>
    <cellStyle name="Followed Hyperlink" xfId="6199" builtinId="9" hidden="1"/>
    <cellStyle name="Followed Hyperlink" xfId="6201" builtinId="9" hidden="1"/>
    <cellStyle name="Followed Hyperlink" xfId="6203" builtinId="9" hidden="1"/>
    <cellStyle name="Followed Hyperlink" xfId="6205" builtinId="9" hidden="1"/>
    <cellStyle name="Followed Hyperlink" xfId="6207" builtinId="9" hidden="1"/>
    <cellStyle name="Followed Hyperlink" xfId="6209" builtinId="9" hidden="1"/>
    <cellStyle name="Followed Hyperlink" xfId="6211" builtinId="9" hidden="1"/>
    <cellStyle name="Followed Hyperlink" xfId="6213" builtinId="9" hidden="1"/>
    <cellStyle name="Followed Hyperlink" xfId="6215" builtinId="9" hidden="1"/>
    <cellStyle name="Followed Hyperlink" xfId="6217" builtinId="9" hidden="1"/>
    <cellStyle name="Followed Hyperlink" xfId="6219" builtinId="9" hidden="1"/>
    <cellStyle name="Followed Hyperlink" xfId="6221" builtinId="9" hidden="1"/>
    <cellStyle name="Followed Hyperlink" xfId="6223" builtinId="9" hidden="1"/>
    <cellStyle name="Followed Hyperlink" xfId="6225" builtinId="9" hidden="1"/>
    <cellStyle name="Followed Hyperlink" xfId="6227" builtinId="9" hidden="1"/>
    <cellStyle name="Followed Hyperlink" xfId="6229" builtinId="9" hidden="1"/>
    <cellStyle name="Followed Hyperlink" xfId="6231" builtinId="9" hidden="1"/>
    <cellStyle name="Followed Hyperlink" xfId="6233" builtinId="9" hidden="1"/>
    <cellStyle name="Followed Hyperlink" xfId="6235" builtinId="9" hidden="1"/>
    <cellStyle name="Followed Hyperlink" xfId="6237" builtinId="9" hidden="1"/>
    <cellStyle name="Followed Hyperlink" xfId="6239" builtinId="9" hidden="1"/>
    <cellStyle name="Followed Hyperlink" xfId="6241" builtinId="9" hidden="1"/>
    <cellStyle name="Followed Hyperlink" xfId="6243" builtinId="9" hidden="1"/>
    <cellStyle name="Followed Hyperlink" xfId="6245" builtinId="9" hidden="1"/>
    <cellStyle name="Followed Hyperlink" xfId="6247" builtinId="9" hidden="1"/>
    <cellStyle name="Followed Hyperlink" xfId="6249" builtinId="9" hidden="1"/>
    <cellStyle name="Followed Hyperlink" xfId="6251" builtinId="9" hidden="1"/>
    <cellStyle name="Followed Hyperlink" xfId="6253" builtinId="9" hidden="1"/>
    <cellStyle name="Followed Hyperlink" xfId="6255" builtinId="9" hidden="1"/>
    <cellStyle name="Followed Hyperlink" xfId="6257" builtinId="9" hidden="1"/>
    <cellStyle name="Followed Hyperlink" xfId="6259" builtinId="9" hidden="1"/>
    <cellStyle name="Followed Hyperlink" xfId="6261" builtinId="9" hidden="1"/>
    <cellStyle name="Followed Hyperlink" xfId="6263" builtinId="9" hidden="1"/>
    <cellStyle name="Followed Hyperlink" xfId="6265" builtinId="9" hidden="1"/>
    <cellStyle name="Followed Hyperlink" xfId="6267" builtinId="9" hidden="1"/>
    <cellStyle name="Followed Hyperlink" xfId="6269" builtinId="9" hidden="1"/>
    <cellStyle name="Followed Hyperlink" xfId="6271" builtinId="9" hidden="1"/>
    <cellStyle name="Followed Hyperlink" xfId="6273" builtinId="9" hidden="1"/>
    <cellStyle name="Followed Hyperlink" xfId="6275" builtinId="9" hidden="1"/>
    <cellStyle name="Followed Hyperlink" xfId="6277" builtinId="9" hidden="1"/>
    <cellStyle name="Followed Hyperlink" xfId="6279" builtinId="9" hidden="1"/>
    <cellStyle name="Followed Hyperlink" xfId="6281" builtinId="9" hidden="1"/>
    <cellStyle name="Followed Hyperlink" xfId="6283" builtinId="9" hidden="1"/>
    <cellStyle name="Followed Hyperlink" xfId="6285" builtinId="9" hidden="1"/>
    <cellStyle name="Followed Hyperlink" xfId="6287" builtinId="9" hidden="1"/>
    <cellStyle name="Followed Hyperlink" xfId="6289" builtinId="9" hidden="1"/>
    <cellStyle name="Followed Hyperlink" xfId="6291" builtinId="9" hidden="1"/>
    <cellStyle name="Followed Hyperlink" xfId="6293" builtinId="9" hidden="1"/>
    <cellStyle name="Followed Hyperlink" xfId="6295" builtinId="9" hidden="1"/>
    <cellStyle name="Followed Hyperlink" xfId="6297" builtinId="9" hidden="1"/>
    <cellStyle name="Followed Hyperlink" xfId="6299" builtinId="9" hidden="1"/>
    <cellStyle name="Followed Hyperlink" xfId="6301" builtinId="9" hidden="1"/>
    <cellStyle name="Followed Hyperlink" xfId="6303" builtinId="9" hidden="1"/>
    <cellStyle name="Followed Hyperlink" xfId="6305" builtinId="9" hidden="1"/>
    <cellStyle name="Followed Hyperlink" xfId="6307" builtinId="9" hidden="1"/>
    <cellStyle name="Followed Hyperlink" xfId="6309" builtinId="9" hidden="1"/>
    <cellStyle name="Followed Hyperlink" xfId="6311" builtinId="9" hidden="1"/>
    <cellStyle name="Followed Hyperlink" xfId="6313" builtinId="9" hidden="1"/>
    <cellStyle name="Followed Hyperlink" xfId="6315" builtinId="9" hidden="1"/>
    <cellStyle name="Followed Hyperlink" xfId="6317" builtinId="9" hidden="1"/>
    <cellStyle name="Followed Hyperlink" xfId="6319" builtinId="9" hidden="1"/>
    <cellStyle name="Followed Hyperlink" xfId="6321" builtinId="9" hidden="1"/>
    <cellStyle name="Followed Hyperlink" xfId="6323" builtinId="9" hidden="1"/>
    <cellStyle name="Followed Hyperlink" xfId="6325" builtinId="9" hidden="1"/>
    <cellStyle name="Followed Hyperlink" xfId="6327" builtinId="9" hidden="1"/>
    <cellStyle name="Followed Hyperlink" xfId="6329" builtinId="9" hidden="1"/>
    <cellStyle name="Followed Hyperlink" xfId="6331" builtinId="9" hidden="1"/>
    <cellStyle name="Followed Hyperlink" xfId="6333" builtinId="9" hidden="1"/>
    <cellStyle name="Followed Hyperlink" xfId="6335" builtinId="9" hidden="1"/>
    <cellStyle name="Followed Hyperlink" xfId="6337" builtinId="9" hidden="1"/>
    <cellStyle name="Followed Hyperlink" xfId="6339" builtinId="9" hidden="1"/>
    <cellStyle name="Followed Hyperlink" xfId="6341" builtinId="9" hidden="1"/>
    <cellStyle name="Followed Hyperlink" xfId="6343" builtinId="9" hidden="1"/>
    <cellStyle name="Followed Hyperlink" xfId="6345" builtinId="9" hidden="1"/>
    <cellStyle name="Followed Hyperlink" xfId="6347" builtinId="9" hidden="1"/>
    <cellStyle name="Followed Hyperlink" xfId="6349" builtinId="9" hidden="1"/>
    <cellStyle name="Followed Hyperlink" xfId="6351" builtinId="9" hidden="1"/>
    <cellStyle name="Followed Hyperlink" xfId="6353" builtinId="9" hidden="1"/>
    <cellStyle name="Followed Hyperlink" xfId="6355" builtinId="9" hidden="1"/>
    <cellStyle name="Followed Hyperlink" xfId="6357" builtinId="9" hidden="1"/>
    <cellStyle name="Followed Hyperlink" xfId="6359" builtinId="9" hidden="1"/>
    <cellStyle name="Followed Hyperlink" xfId="6361" builtinId="9" hidden="1"/>
    <cellStyle name="Followed Hyperlink" xfId="6363" builtinId="9" hidden="1"/>
    <cellStyle name="Followed Hyperlink" xfId="6365" builtinId="9" hidden="1"/>
    <cellStyle name="Followed Hyperlink" xfId="6367" builtinId="9" hidden="1"/>
    <cellStyle name="Followed Hyperlink" xfId="6369" builtinId="9" hidden="1"/>
    <cellStyle name="Followed Hyperlink" xfId="6371" builtinId="9" hidden="1"/>
    <cellStyle name="Followed Hyperlink" xfId="6373" builtinId="9" hidden="1"/>
    <cellStyle name="Followed Hyperlink" xfId="6375" builtinId="9" hidden="1"/>
    <cellStyle name="Followed Hyperlink" xfId="6377" builtinId="9" hidden="1"/>
    <cellStyle name="Followed Hyperlink" xfId="6379" builtinId="9" hidden="1"/>
    <cellStyle name="Followed Hyperlink" xfId="6381" builtinId="9" hidden="1"/>
    <cellStyle name="Followed Hyperlink" xfId="6383" builtinId="9" hidden="1"/>
    <cellStyle name="Followed Hyperlink" xfId="6385" builtinId="9" hidden="1"/>
    <cellStyle name="Followed Hyperlink" xfId="6387" builtinId="9" hidden="1"/>
    <cellStyle name="Followed Hyperlink" xfId="6389" builtinId="9" hidden="1"/>
    <cellStyle name="Followed Hyperlink" xfId="6391" builtinId="9" hidden="1"/>
    <cellStyle name="Followed Hyperlink" xfId="6393" builtinId="9" hidden="1"/>
    <cellStyle name="Followed Hyperlink" xfId="6395" builtinId="9" hidden="1"/>
    <cellStyle name="Followed Hyperlink" xfId="6397" builtinId="9" hidden="1"/>
    <cellStyle name="Followed Hyperlink" xfId="6399" builtinId="9" hidden="1"/>
    <cellStyle name="Followed Hyperlink" xfId="6401" builtinId="9" hidden="1"/>
    <cellStyle name="Followed Hyperlink" xfId="6403" builtinId="9" hidden="1"/>
    <cellStyle name="Followed Hyperlink" xfId="6405" builtinId="9" hidden="1"/>
    <cellStyle name="Followed Hyperlink" xfId="6407" builtinId="9" hidden="1"/>
    <cellStyle name="Followed Hyperlink" xfId="6409" builtinId="9" hidden="1"/>
    <cellStyle name="Followed Hyperlink" xfId="6411" builtinId="9" hidden="1"/>
    <cellStyle name="Followed Hyperlink" xfId="6413" builtinId="9" hidden="1"/>
    <cellStyle name="Followed Hyperlink" xfId="6415" builtinId="9" hidden="1"/>
    <cellStyle name="Followed Hyperlink" xfId="6417" builtinId="9" hidden="1"/>
    <cellStyle name="Followed Hyperlink" xfId="6419" builtinId="9" hidden="1"/>
    <cellStyle name="Followed Hyperlink" xfId="6421" builtinId="9" hidden="1"/>
    <cellStyle name="Followed Hyperlink" xfId="6423" builtinId="9" hidden="1"/>
    <cellStyle name="Followed Hyperlink" xfId="6425" builtinId="9" hidden="1"/>
    <cellStyle name="Followed Hyperlink" xfId="6427" builtinId="9" hidden="1"/>
    <cellStyle name="Followed Hyperlink" xfId="6429" builtinId="9" hidden="1"/>
    <cellStyle name="Followed Hyperlink" xfId="6431" builtinId="9" hidden="1"/>
    <cellStyle name="Followed Hyperlink" xfId="6433" builtinId="9" hidden="1"/>
    <cellStyle name="Followed Hyperlink" xfId="6435" builtinId="9" hidden="1"/>
    <cellStyle name="Followed Hyperlink" xfId="6437" builtinId="9" hidden="1"/>
    <cellStyle name="Followed Hyperlink" xfId="6439" builtinId="9" hidden="1"/>
    <cellStyle name="Followed Hyperlink" xfId="6441" builtinId="9" hidden="1"/>
    <cellStyle name="Followed Hyperlink" xfId="6443" builtinId="9" hidden="1"/>
    <cellStyle name="Followed Hyperlink" xfId="6445" builtinId="9" hidden="1"/>
    <cellStyle name="Followed Hyperlink" xfId="6447" builtinId="9" hidden="1"/>
    <cellStyle name="Followed Hyperlink" xfId="6449" builtinId="9" hidden="1"/>
    <cellStyle name="Followed Hyperlink" xfId="6451" builtinId="9" hidden="1"/>
    <cellStyle name="Followed Hyperlink" xfId="6453" builtinId="9" hidden="1"/>
    <cellStyle name="Followed Hyperlink" xfId="6455" builtinId="9" hidden="1"/>
    <cellStyle name="Followed Hyperlink" xfId="6457" builtinId="9" hidden="1"/>
    <cellStyle name="Followed Hyperlink" xfId="6459" builtinId="9" hidden="1"/>
    <cellStyle name="Followed Hyperlink" xfId="6461" builtinId="9" hidden="1"/>
    <cellStyle name="Followed Hyperlink" xfId="6463" builtinId="9" hidden="1"/>
    <cellStyle name="Followed Hyperlink" xfId="6465" builtinId="9" hidden="1"/>
    <cellStyle name="Followed Hyperlink" xfId="6467" builtinId="9" hidden="1"/>
    <cellStyle name="Followed Hyperlink" xfId="6469" builtinId="9" hidden="1"/>
    <cellStyle name="Followed Hyperlink" xfId="6471" builtinId="9" hidden="1"/>
    <cellStyle name="Followed Hyperlink" xfId="6473" builtinId="9" hidden="1"/>
    <cellStyle name="Followed Hyperlink" xfId="6475" builtinId="9" hidden="1"/>
    <cellStyle name="Followed Hyperlink" xfId="6477" builtinId="9" hidden="1"/>
    <cellStyle name="Followed Hyperlink" xfId="6479" builtinId="9" hidden="1"/>
    <cellStyle name="Followed Hyperlink" xfId="6481" builtinId="9" hidden="1"/>
    <cellStyle name="Followed Hyperlink" xfId="6483" builtinId="9" hidden="1"/>
    <cellStyle name="Followed Hyperlink" xfId="6485" builtinId="9" hidden="1"/>
    <cellStyle name="Followed Hyperlink" xfId="6487" builtinId="9" hidden="1"/>
    <cellStyle name="Followed Hyperlink" xfId="6489" builtinId="9" hidden="1"/>
    <cellStyle name="Followed Hyperlink" xfId="6491" builtinId="9" hidden="1"/>
    <cellStyle name="Followed Hyperlink" xfId="6493" builtinId="9" hidden="1"/>
    <cellStyle name="Followed Hyperlink" xfId="6495" builtinId="9" hidden="1"/>
    <cellStyle name="Followed Hyperlink" xfId="6497" builtinId="9" hidden="1"/>
    <cellStyle name="Followed Hyperlink" xfId="6499" builtinId="9" hidden="1"/>
    <cellStyle name="Followed Hyperlink" xfId="6501" builtinId="9" hidden="1"/>
    <cellStyle name="Followed Hyperlink" xfId="6503" builtinId="9" hidden="1"/>
    <cellStyle name="Followed Hyperlink" xfId="6505" builtinId="9" hidden="1"/>
    <cellStyle name="Followed Hyperlink" xfId="6507" builtinId="9" hidden="1"/>
    <cellStyle name="Followed Hyperlink" xfId="6509" builtinId="9" hidden="1"/>
    <cellStyle name="Followed Hyperlink" xfId="6511" builtinId="9" hidden="1"/>
    <cellStyle name="Followed Hyperlink" xfId="6513" builtinId="9" hidden="1"/>
    <cellStyle name="Followed Hyperlink" xfId="6515" builtinId="9" hidden="1"/>
    <cellStyle name="Followed Hyperlink" xfId="6517" builtinId="9" hidden="1"/>
    <cellStyle name="Followed Hyperlink" xfId="6519" builtinId="9" hidden="1"/>
    <cellStyle name="Followed Hyperlink" xfId="6521" builtinId="9" hidden="1"/>
    <cellStyle name="Followed Hyperlink" xfId="6523" builtinId="9" hidden="1"/>
    <cellStyle name="Followed Hyperlink" xfId="6525" builtinId="9" hidden="1"/>
    <cellStyle name="Followed Hyperlink" xfId="6527" builtinId="9" hidden="1"/>
    <cellStyle name="Followed Hyperlink" xfId="6529" builtinId="9" hidden="1"/>
    <cellStyle name="Followed Hyperlink" xfId="6531" builtinId="9" hidden="1"/>
    <cellStyle name="Followed Hyperlink" xfId="6533" builtinId="9" hidden="1"/>
    <cellStyle name="Followed Hyperlink" xfId="6535" builtinId="9" hidden="1"/>
    <cellStyle name="Followed Hyperlink" xfId="6537" builtinId="9" hidden="1"/>
    <cellStyle name="Followed Hyperlink" xfId="6539" builtinId="9" hidden="1"/>
    <cellStyle name="Followed Hyperlink" xfId="6541" builtinId="9" hidden="1"/>
    <cellStyle name="Followed Hyperlink" xfId="6543" builtinId="9" hidden="1"/>
    <cellStyle name="Followed Hyperlink" xfId="6545" builtinId="9" hidden="1"/>
    <cellStyle name="Followed Hyperlink" xfId="6547" builtinId="9" hidden="1"/>
    <cellStyle name="Followed Hyperlink" xfId="6549" builtinId="9" hidden="1"/>
    <cellStyle name="Followed Hyperlink" xfId="6551" builtinId="9" hidden="1"/>
    <cellStyle name="Followed Hyperlink" xfId="6553" builtinId="9" hidden="1"/>
    <cellStyle name="Followed Hyperlink" xfId="6555" builtinId="9" hidden="1"/>
    <cellStyle name="Followed Hyperlink" xfId="6557" builtinId="9" hidden="1"/>
    <cellStyle name="Followed Hyperlink" xfId="6559" builtinId="9" hidden="1"/>
    <cellStyle name="Followed Hyperlink" xfId="6561" builtinId="9" hidden="1"/>
    <cellStyle name="Followed Hyperlink" xfId="6563" builtinId="9" hidden="1"/>
    <cellStyle name="Followed Hyperlink" xfId="6565" builtinId="9" hidden="1"/>
    <cellStyle name="Followed Hyperlink" xfId="6567" builtinId="9" hidden="1"/>
    <cellStyle name="Followed Hyperlink" xfId="6569" builtinId="9" hidden="1"/>
    <cellStyle name="Followed Hyperlink" xfId="6571" builtinId="9" hidden="1"/>
    <cellStyle name="Followed Hyperlink" xfId="6573" builtinId="9" hidden="1"/>
    <cellStyle name="Followed Hyperlink" xfId="6575" builtinId="9" hidden="1"/>
    <cellStyle name="Followed Hyperlink" xfId="6577" builtinId="9" hidden="1"/>
    <cellStyle name="Followed Hyperlink" xfId="6579" builtinId="9" hidden="1"/>
    <cellStyle name="Followed Hyperlink" xfId="6581" builtinId="9" hidden="1"/>
    <cellStyle name="Followed Hyperlink" xfId="6583" builtinId="9" hidden="1"/>
    <cellStyle name="Followed Hyperlink" xfId="6585" builtinId="9" hidden="1"/>
    <cellStyle name="Followed Hyperlink" xfId="6587" builtinId="9" hidden="1"/>
    <cellStyle name="Followed Hyperlink" xfId="6589" builtinId="9" hidden="1"/>
    <cellStyle name="Followed Hyperlink" xfId="6591" builtinId="9" hidden="1"/>
    <cellStyle name="Followed Hyperlink" xfId="6593" builtinId="9" hidden="1"/>
    <cellStyle name="Followed Hyperlink" xfId="6595" builtinId="9" hidden="1"/>
    <cellStyle name="Followed Hyperlink" xfId="6597" builtinId="9" hidden="1"/>
    <cellStyle name="Followed Hyperlink" xfId="6599" builtinId="9" hidden="1"/>
    <cellStyle name="Followed Hyperlink" xfId="6601" builtinId="9" hidden="1"/>
    <cellStyle name="Followed Hyperlink" xfId="6603" builtinId="9" hidden="1"/>
    <cellStyle name="Followed Hyperlink" xfId="6605" builtinId="9" hidden="1"/>
    <cellStyle name="Followed Hyperlink" xfId="6607" builtinId="9" hidden="1"/>
    <cellStyle name="Followed Hyperlink" xfId="6609" builtinId="9" hidden="1"/>
    <cellStyle name="Followed Hyperlink" xfId="6611" builtinId="9" hidden="1"/>
    <cellStyle name="Followed Hyperlink" xfId="6613" builtinId="9" hidden="1"/>
    <cellStyle name="Followed Hyperlink" xfId="6615" builtinId="9" hidden="1"/>
    <cellStyle name="Followed Hyperlink" xfId="6617" builtinId="9" hidden="1"/>
    <cellStyle name="Followed Hyperlink" xfId="6619" builtinId="9" hidden="1"/>
    <cellStyle name="Followed Hyperlink" xfId="6621" builtinId="9" hidden="1"/>
    <cellStyle name="Followed Hyperlink" xfId="6623" builtinId="9" hidden="1"/>
    <cellStyle name="Followed Hyperlink" xfId="6625" builtinId="9" hidden="1"/>
    <cellStyle name="Followed Hyperlink" xfId="6627" builtinId="9" hidden="1"/>
    <cellStyle name="Followed Hyperlink" xfId="6629" builtinId="9" hidden="1"/>
    <cellStyle name="Followed Hyperlink" xfId="6631" builtinId="9" hidden="1"/>
    <cellStyle name="Followed Hyperlink" xfId="6633" builtinId="9" hidden="1"/>
    <cellStyle name="Followed Hyperlink" xfId="6635" builtinId="9" hidden="1"/>
    <cellStyle name="Followed Hyperlink" xfId="6637" builtinId="9" hidden="1"/>
    <cellStyle name="Followed Hyperlink" xfId="6639" builtinId="9" hidden="1"/>
    <cellStyle name="Followed Hyperlink" xfId="6641" builtinId="9" hidden="1"/>
    <cellStyle name="Followed Hyperlink" xfId="6643" builtinId="9" hidden="1"/>
    <cellStyle name="Followed Hyperlink" xfId="6645" builtinId="9" hidden="1"/>
    <cellStyle name="Followed Hyperlink" xfId="6647" builtinId="9" hidden="1"/>
    <cellStyle name="Followed Hyperlink" xfId="6649" builtinId="9" hidden="1"/>
    <cellStyle name="Followed Hyperlink" xfId="6651" builtinId="9" hidden="1"/>
    <cellStyle name="Followed Hyperlink" xfId="6653" builtinId="9" hidden="1"/>
    <cellStyle name="Followed Hyperlink" xfId="6655" builtinId="9" hidden="1"/>
    <cellStyle name="Followed Hyperlink" xfId="6657" builtinId="9" hidden="1"/>
    <cellStyle name="Followed Hyperlink" xfId="6659" builtinId="9" hidden="1"/>
    <cellStyle name="Followed Hyperlink" xfId="6661" builtinId="9" hidden="1"/>
    <cellStyle name="Followed Hyperlink" xfId="6663" builtinId="9" hidden="1"/>
    <cellStyle name="Followed Hyperlink" xfId="6665" builtinId="9" hidden="1"/>
    <cellStyle name="Followed Hyperlink" xfId="6667" builtinId="9" hidden="1"/>
    <cellStyle name="Followed Hyperlink" xfId="6669" builtinId="9" hidden="1"/>
    <cellStyle name="Followed Hyperlink" xfId="6671" builtinId="9" hidden="1"/>
    <cellStyle name="Followed Hyperlink" xfId="6673" builtinId="9" hidden="1"/>
    <cellStyle name="Followed Hyperlink" xfId="6675" builtinId="9" hidden="1"/>
    <cellStyle name="Followed Hyperlink" xfId="6677" builtinId="9" hidden="1"/>
    <cellStyle name="Followed Hyperlink" xfId="6679" builtinId="9" hidden="1"/>
    <cellStyle name="Followed Hyperlink" xfId="6681" builtinId="9" hidden="1"/>
    <cellStyle name="Followed Hyperlink" xfId="6683" builtinId="9" hidden="1"/>
    <cellStyle name="Followed Hyperlink" xfId="6685" builtinId="9" hidden="1"/>
    <cellStyle name="Followed Hyperlink" xfId="6687" builtinId="9" hidden="1"/>
    <cellStyle name="Followed Hyperlink" xfId="6689" builtinId="9" hidden="1"/>
    <cellStyle name="Followed Hyperlink" xfId="6691" builtinId="9" hidden="1"/>
    <cellStyle name="Followed Hyperlink" xfId="6693" builtinId="9" hidden="1"/>
    <cellStyle name="Followed Hyperlink" xfId="6695" builtinId="9" hidden="1"/>
    <cellStyle name="Followed Hyperlink" xfId="6697" builtinId="9" hidden="1"/>
    <cellStyle name="Followed Hyperlink" xfId="6699" builtinId="9" hidden="1"/>
    <cellStyle name="Followed Hyperlink" xfId="6701" builtinId="9" hidden="1"/>
    <cellStyle name="Followed Hyperlink" xfId="6703" builtinId="9" hidden="1"/>
    <cellStyle name="Followed Hyperlink" xfId="6705" builtinId="9" hidden="1"/>
    <cellStyle name="Followed Hyperlink" xfId="6707" builtinId="9" hidden="1"/>
    <cellStyle name="Followed Hyperlink" xfId="6709" builtinId="9" hidden="1"/>
    <cellStyle name="Followed Hyperlink" xfId="6711" builtinId="9" hidden="1"/>
    <cellStyle name="Followed Hyperlink" xfId="6713" builtinId="9" hidden="1"/>
    <cellStyle name="Followed Hyperlink" xfId="6715" builtinId="9" hidden="1"/>
    <cellStyle name="Followed Hyperlink" xfId="6717" builtinId="9" hidden="1"/>
    <cellStyle name="Followed Hyperlink" xfId="6719" builtinId="9" hidden="1"/>
    <cellStyle name="Followed Hyperlink" xfId="6721" builtinId="9" hidden="1"/>
    <cellStyle name="Followed Hyperlink" xfId="6723" builtinId="9" hidden="1"/>
    <cellStyle name="Followed Hyperlink" xfId="6725" builtinId="9" hidden="1"/>
    <cellStyle name="Followed Hyperlink" xfId="6727" builtinId="9" hidden="1"/>
    <cellStyle name="Followed Hyperlink" xfId="6729" builtinId="9" hidden="1"/>
    <cellStyle name="Followed Hyperlink" xfId="6731" builtinId="9" hidden="1"/>
    <cellStyle name="Followed Hyperlink" xfId="6733" builtinId="9" hidden="1"/>
    <cellStyle name="Followed Hyperlink" xfId="6735" builtinId="9" hidden="1"/>
    <cellStyle name="Followed Hyperlink" xfId="6737" builtinId="9" hidden="1"/>
    <cellStyle name="Followed Hyperlink" xfId="6739" builtinId="9" hidden="1"/>
    <cellStyle name="Followed Hyperlink" xfId="6741" builtinId="9" hidden="1"/>
    <cellStyle name="Followed Hyperlink" xfId="6743" builtinId="9" hidden="1"/>
    <cellStyle name="Followed Hyperlink" xfId="6745" builtinId="9" hidden="1"/>
    <cellStyle name="Followed Hyperlink" xfId="6747" builtinId="9" hidden="1"/>
    <cellStyle name="Followed Hyperlink" xfId="6749" builtinId="9" hidden="1"/>
    <cellStyle name="Followed Hyperlink" xfId="6751" builtinId="9" hidden="1"/>
    <cellStyle name="Followed Hyperlink" xfId="6753" builtinId="9" hidden="1"/>
    <cellStyle name="Followed Hyperlink" xfId="6755" builtinId="9" hidden="1"/>
    <cellStyle name="Followed Hyperlink" xfId="6757" builtinId="9" hidden="1"/>
    <cellStyle name="Followed Hyperlink" xfId="6759" builtinId="9" hidden="1"/>
    <cellStyle name="Followed Hyperlink" xfId="6761" builtinId="9" hidden="1"/>
    <cellStyle name="Followed Hyperlink" xfId="6763" builtinId="9" hidden="1"/>
    <cellStyle name="Followed Hyperlink" xfId="6765" builtinId="9" hidden="1"/>
    <cellStyle name="Followed Hyperlink" xfId="6767" builtinId="9" hidden="1"/>
    <cellStyle name="Followed Hyperlink" xfId="6769" builtinId="9" hidden="1"/>
    <cellStyle name="Followed Hyperlink" xfId="6771" builtinId="9" hidden="1"/>
    <cellStyle name="Followed Hyperlink" xfId="6773" builtinId="9" hidden="1"/>
    <cellStyle name="Followed Hyperlink" xfId="6775" builtinId="9" hidden="1"/>
    <cellStyle name="Followed Hyperlink" xfId="6777" builtinId="9" hidden="1"/>
    <cellStyle name="Followed Hyperlink" xfId="6779" builtinId="9" hidden="1"/>
    <cellStyle name="Followed Hyperlink" xfId="6781" builtinId="9" hidden="1"/>
    <cellStyle name="Followed Hyperlink" xfId="6783" builtinId="9" hidden="1"/>
    <cellStyle name="Followed Hyperlink" xfId="6785" builtinId="9" hidden="1"/>
    <cellStyle name="Followed Hyperlink" xfId="6787" builtinId="9" hidden="1"/>
    <cellStyle name="Followed Hyperlink" xfId="6789" builtinId="9" hidden="1"/>
    <cellStyle name="Followed Hyperlink" xfId="6791" builtinId="9" hidden="1"/>
    <cellStyle name="Followed Hyperlink" xfId="6793" builtinId="9" hidden="1"/>
    <cellStyle name="Followed Hyperlink" xfId="6795" builtinId="9" hidden="1"/>
    <cellStyle name="Followed Hyperlink" xfId="6797" builtinId="9" hidden="1"/>
    <cellStyle name="Followed Hyperlink" xfId="6799" builtinId="9" hidden="1"/>
    <cellStyle name="Followed Hyperlink" xfId="6801" builtinId="9" hidden="1"/>
    <cellStyle name="Followed Hyperlink" xfId="6803" builtinId="9" hidden="1"/>
    <cellStyle name="Followed Hyperlink" xfId="6805" builtinId="9" hidden="1"/>
    <cellStyle name="Followed Hyperlink" xfId="6807" builtinId="9" hidden="1"/>
    <cellStyle name="Followed Hyperlink" xfId="6809" builtinId="9" hidden="1"/>
    <cellStyle name="Followed Hyperlink" xfId="6811" builtinId="9" hidden="1"/>
    <cellStyle name="Followed Hyperlink" xfId="6813" builtinId="9" hidden="1"/>
    <cellStyle name="Followed Hyperlink" xfId="6815" builtinId="9" hidden="1"/>
    <cellStyle name="Followed Hyperlink" xfId="6817" builtinId="9" hidden="1"/>
    <cellStyle name="Followed Hyperlink" xfId="6819" builtinId="9" hidden="1"/>
    <cellStyle name="Followed Hyperlink" xfId="6821" builtinId="9" hidden="1"/>
    <cellStyle name="Followed Hyperlink" xfId="6823" builtinId="9" hidden="1"/>
    <cellStyle name="Followed Hyperlink" xfId="6825" builtinId="9" hidden="1"/>
    <cellStyle name="Followed Hyperlink" xfId="6827" builtinId="9" hidden="1"/>
    <cellStyle name="Followed Hyperlink" xfId="6829" builtinId="9" hidden="1"/>
    <cellStyle name="Followed Hyperlink" xfId="6831" builtinId="9" hidden="1"/>
    <cellStyle name="Followed Hyperlink" xfId="6833" builtinId="9" hidden="1"/>
    <cellStyle name="Followed Hyperlink" xfId="6835" builtinId="9" hidden="1"/>
    <cellStyle name="Followed Hyperlink" xfId="6837" builtinId="9" hidden="1"/>
    <cellStyle name="Followed Hyperlink" xfId="6839" builtinId="9" hidden="1"/>
    <cellStyle name="Followed Hyperlink" xfId="6841" builtinId="9" hidden="1"/>
    <cellStyle name="Followed Hyperlink" xfId="6843" builtinId="9" hidden="1"/>
    <cellStyle name="Followed Hyperlink" xfId="6845" builtinId="9" hidden="1"/>
    <cellStyle name="Followed Hyperlink" xfId="6847" builtinId="9" hidden="1"/>
    <cellStyle name="Followed Hyperlink" xfId="6849" builtinId="9" hidden="1"/>
    <cellStyle name="Followed Hyperlink" xfId="6851" builtinId="9" hidden="1"/>
    <cellStyle name="Followed Hyperlink" xfId="6853" builtinId="9" hidden="1"/>
    <cellStyle name="Followed Hyperlink" xfId="6855" builtinId="9" hidden="1"/>
    <cellStyle name="Followed Hyperlink" xfId="6857" builtinId="9" hidden="1"/>
    <cellStyle name="Followed Hyperlink" xfId="6859" builtinId="9" hidden="1"/>
    <cellStyle name="Followed Hyperlink" xfId="6861" builtinId="9" hidden="1"/>
    <cellStyle name="Followed Hyperlink" xfId="6863" builtinId="9" hidden="1"/>
    <cellStyle name="Followed Hyperlink" xfId="6865" builtinId="9" hidden="1"/>
    <cellStyle name="Followed Hyperlink" xfId="6867" builtinId="9" hidden="1"/>
    <cellStyle name="Followed Hyperlink" xfId="6869" builtinId="9" hidden="1"/>
    <cellStyle name="Followed Hyperlink" xfId="6871" builtinId="9" hidden="1"/>
    <cellStyle name="Followed Hyperlink" xfId="6873" builtinId="9" hidden="1"/>
    <cellStyle name="Followed Hyperlink" xfId="6875" builtinId="9" hidden="1"/>
    <cellStyle name="Followed Hyperlink" xfId="6877" builtinId="9" hidden="1"/>
    <cellStyle name="Followed Hyperlink" xfId="6879" builtinId="9" hidden="1"/>
    <cellStyle name="Followed Hyperlink" xfId="6881" builtinId="9" hidden="1"/>
    <cellStyle name="Followed Hyperlink" xfId="6883" builtinId="9" hidden="1"/>
    <cellStyle name="Followed Hyperlink" xfId="6885" builtinId="9" hidden="1"/>
    <cellStyle name="Followed Hyperlink" xfId="6887" builtinId="9" hidden="1"/>
    <cellStyle name="Followed Hyperlink" xfId="6889" builtinId="9" hidden="1"/>
    <cellStyle name="Followed Hyperlink" xfId="6891" builtinId="9" hidden="1"/>
    <cellStyle name="Followed Hyperlink" xfId="6893" builtinId="9" hidden="1"/>
    <cellStyle name="Followed Hyperlink" xfId="6895" builtinId="9" hidden="1"/>
    <cellStyle name="Followed Hyperlink" xfId="6897" builtinId="9" hidden="1"/>
    <cellStyle name="Followed Hyperlink" xfId="6899" builtinId="9" hidden="1"/>
    <cellStyle name="Followed Hyperlink" xfId="6901" builtinId="9" hidden="1"/>
    <cellStyle name="Followed Hyperlink" xfId="6903" builtinId="9" hidden="1"/>
    <cellStyle name="Followed Hyperlink" xfId="6905" builtinId="9" hidden="1"/>
    <cellStyle name="Followed Hyperlink" xfId="6907" builtinId="9" hidden="1"/>
    <cellStyle name="Followed Hyperlink" xfId="6909" builtinId="9" hidden="1"/>
    <cellStyle name="Followed Hyperlink" xfId="6911" builtinId="9" hidden="1"/>
    <cellStyle name="Followed Hyperlink" xfId="6913" builtinId="9" hidden="1"/>
    <cellStyle name="Followed Hyperlink" xfId="6915" builtinId="9" hidden="1"/>
    <cellStyle name="Followed Hyperlink" xfId="6917" builtinId="9" hidden="1"/>
    <cellStyle name="Followed Hyperlink" xfId="6919" builtinId="9" hidden="1"/>
    <cellStyle name="Followed Hyperlink" xfId="6921" builtinId="9" hidden="1"/>
    <cellStyle name="Followed Hyperlink" xfId="6923" builtinId="9" hidden="1"/>
    <cellStyle name="Followed Hyperlink" xfId="6925" builtinId="9" hidden="1"/>
    <cellStyle name="Followed Hyperlink" xfId="6927" builtinId="9" hidden="1"/>
    <cellStyle name="Followed Hyperlink" xfId="6929" builtinId="9" hidden="1"/>
    <cellStyle name="Followed Hyperlink" xfId="6931" builtinId="9" hidden="1"/>
    <cellStyle name="Followed Hyperlink" xfId="6933" builtinId="9" hidden="1"/>
    <cellStyle name="Followed Hyperlink" xfId="6935" builtinId="9" hidden="1"/>
    <cellStyle name="Followed Hyperlink" xfId="6937" builtinId="9" hidden="1"/>
    <cellStyle name="Followed Hyperlink" xfId="6939" builtinId="9" hidden="1"/>
    <cellStyle name="Followed Hyperlink" xfId="6941" builtinId="9" hidden="1"/>
    <cellStyle name="Followed Hyperlink" xfId="6943" builtinId="9" hidden="1"/>
    <cellStyle name="Followed Hyperlink" xfId="6945" builtinId="9" hidden="1"/>
    <cellStyle name="Followed Hyperlink" xfId="6947" builtinId="9" hidden="1"/>
    <cellStyle name="Followed Hyperlink" xfId="6949" builtinId="9" hidden="1"/>
    <cellStyle name="Followed Hyperlink" xfId="6951" builtinId="9" hidden="1"/>
    <cellStyle name="Followed Hyperlink" xfId="6953" builtinId="9" hidden="1"/>
    <cellStyle name="Followed Hyperlink" xfId="6955" builtinId="9" hidden="1"/>
    <cellStyle name="Followed Hyperlink" xfId="6957" builtinId="9" hidden="1"/>
    <cellStyle name="Followed Hyperlink" xfId="6959" builtinId="9" hidden="1"/>
    <cellStyle name="Followed Hyperlink" xfId="6961" builtinId="9" hidden="1"/>
    <cellStyle name="Followed Hyperlink" xfId="6963" builtinId="9" hidden="1"/>
    <cellStyle name="Followed Hyperlink" xfId="6965" builtinId="9" hidden="1"/>
    <cellStyle name="Followed Hyperlink" xfId="6967" builtinId="9" hidden="1"/>
    <cellStyle name="Followed Hyperlink" xfId="6969" builtinId="9" hidden="1"/>
    <cellStyle name="Followed Hyperlink" xfId="6971" builtinId="9" hidden="1"/>
    <cellStyle name="Followed Hyperlink" xfId="6973" builtinId="9" hidden="1"/>
    <cellStyle name="Followed Hyperlink" xfId="6975" builtinId="9" hidden="1"/>
    <cellStyle name="Followed Hyperlink" xfId="6977" builtinId="9" hidden="1"/>
    <cellStyle name="Followed Hyperlink" xfId="6979" builtinId="9" hidden="1"/>
    <cellStyle name="Followed Hyperlink" xfId="6981" builtinId="9" hidden="1"/>
    <cellStyle name="Followed Hyperlink" xfId="6983" builtinId="9" hidden="1"/>
    <cellStyle name="Followed Hyperlink" xfId="6985" builtinId="9" hidden="1"/>
    <cellStyle name="Followed Hyperlink" xfId="6987" builtinId="9" hidden="1"/>
    <cellStyle name="Followed Hyperlink" xfId="6989" builtinId="9" hidden="1"/>
    <cellStyle name="Followed Hyperlink" xfId="6991" builtinId="9" hidden="1"/>
    <cellStyle name="Followed Hyperlink" xfId="6993" builtinId="9" hidden="1"/>
    <cellStyle name="Followed Hyperlink" xfId="6995" builtinId="9" hidden="1"/>
    <cellStyle name="Followed Hyperlink" xfId="6997" builtinId="9" hidden="1"/>
    <cellStyle name="Followed Hyperlink" xfId="6999" builtinId="9" hidden="1"/>
    <cellStyle name="Followed Hyperlink" xfId="7001" builtinId="9" hidden="1"/>
    <cellStyle name="Followed Hyperlink" xfId="7003" builtinId="9" hidden="1"/>
    <cellStyle name="Followed Hyperlink" xfId="7005" builtinId="9" hidden="1"/>
    <cellStyle name="Followed Hyperlink" xfId="7007" builtinId="9" hidden="1"/>
    <cellStyle name="Followed Hyperlink" xfId="7009" builtinId="9" hidden="1"/>
    <cellStyle name="Followed Hyperlink" xfId="7011" builtinId="9" hidden="1"/>
    <cellStyle name="Followed Hyperlink" xfId="7013" builtinId="9" hidden="1"/>
    <cellStyle name="Followed Hyperlink" xfId="7015" builtinId="9" hidden="1"/>
    <cellStyle name="Followed Hyperlink" xfId="7017" builtinId="9" hidden="1"/>
    <cellStyle name="Followed Hyperlink" xfId="7019" builtinId="9" hidden="1"/>
    <cellStyle name="Followed Hyperlink" xfId="7021" builtinId="9" hidden="1"/>
    <cellStyle name="Followed Hyperlink" xfId="7023" builtinId="9" hidden="1"/>
    <cellStyle name="Followed Hyperlink" xfId="7025" builtinId="9" hidden="1"/>
    <cellStyle name="Followed Hyperlink" xfId="7027" builtinId="9" hidden="1"/>
    <cellStyle name="Followed Hyperlink" xfId="7029" builtinId="9" hidden="1"/>
    <cellStyle name="Followed Hyperlink" xfId="7031" builtinId="9" hidden="1"/>
    <cellStyle name="Followed Hyperlink" xfId="7033" builtinId="9" hidden="1"/>
    <cellStyle name="Followed Hyperlink" xfId="7035" builtinId="9" hidden="1"/>
    <cellStyle name="Followed Hyperlink" xfId="7037" builtinId="9" hidden="1"/>
    <cellStyle name="Followed Hyperlink" xfId="7039" builtinId="9" hidden="1"/>
    <cellStyle name="Followed Hyperlink" xfId="7041" builtinId="9" hidden="1"/>
    <cellStyle name="Followed Hyperlink" xfId="7043" builtinId="9" hidden="1"/>
    <cellStyle name="Followed Hyperlink" xfId="7045" builtinId="9" hidden="1"/>
    <cellStyle name="Followed Hyperlink" xfId="7047" builtinId="9" hidden="1"/>
    <cellStyle name="Followed Hyperlink" xfId="7049" builtinId="9" hidden="1"/>
    <cellStyle name="Followed Hyperlink" xfId="7051" builtinId="9" hidden="1"/>
    <cellStyle name="Followed Hyperlink" xfId="7053" builtinId="9" hidden="1"/>
    <cellStyle name="Followed Hyperlink" xfId="7055" builtinId="9" hidden="1"/>
    <cellStyle name="Followed Hyperlink" xfId="7057" builtinId="9" hidden="1"/>
    <cellStyle name="Followed Hyperlink" xfId="7059" builtinId="9" hidden="1"/>
    <cellStyle name="Followed Hyperlink" xfId="7061" builtinId="9" hidden="1"/>
    <cellStyle name="Followed Hyperlink" xfId="7063" builtinId="9" hidden="1"/>
    <cellStyle name="Followed Hyperlink" xfId="7065" builtinId="9" hidden="1"/>
    <cellStyle name="Followed Hyperlink" xfId="7067" builtinId="9" hidden="1"/>
    <cellStyle name="Followed Hyperlink" xfId="7069" builtinId="9" hidden="1"/>
    <cellStyle name="Followed Hyperlink" xfId="7071" builtinId="9" hidden="1"/>
    <cellStyle name="Followed Hyperlink" xfId="7073" builtinId="9" hidden="1"/>
    <cellStyle name="Followed Hyperlink" xfId="7075" builtinId="9" hidden="1"/>
    <cellStyle name="Followed Hyperlink" xfId="7077" builtinId="9" hidden="1"/>
    <cellStyle name="Followed Hyperlink" xfId="7079" builtinId="9" hidden="1"/>
    <cellStyle name="Followed Hyperlink" xfId="7081" builtinId="9" hidden="1"/>
    <cellStyle name="Followed Hyperlink" xfId="7083" builtinId="9" hidden="1"/>
    <cellStyle name="Followed Hyperlink" xfId="7085" builtinId="9" hidden="1"/>
    <cellStyle name="Followed Hyperlink" xfId="7087" builtinId="9" hidden="1"/>
    <cellStyle name="Followed Hyperlink" xfId="7089" builtinId="9" hidden="1"/>
    <cellStyle name="Followed Hyperlink" xfId="7091" builtinId="9" hidden="1"/>
    <cellStyle name="Followed Hyperlink" xfId="7093" builtinId="9" hidden="1"/>
    <cellStyle name="Followed Hyperlink" xfId="7095" builtinId="9" hidden="1"/>
    <cellStyle name="Followed Hyperlink" xfId="7097" builtinId="9" hidden="1"/>
    <cellStyle name="Followed Hyperlink" xfId="7099" builtinId="9" hidden="1"/>
    <cellStyle name="Followed Hyperlink" xfId="7101" builtinId="9" hidden="1"/>
    <cellStyle name="Followed Hyperlink" xfId="7103" builtinId="9" hidden="1"/>
    <cellStyle name="Followed Hyperlink" xfId="7105" builtinId="9" hidden="1"/>
    <cellStyle name="Followed Hyperlink" xfId="7107" builtinId="9" hidden="1"/>
    <cellStyle name="Followed Hyperlink" xfId="7109" builtinId="9" hidden="1"/>
    <cellStyle name="Followed Hyperlink" xfId="7111" builtinId="9" hidden="1"/>
    <cellStyle name="Followed Hyperlink" xfId="7113" builtinId="9" hidden="1"/>
    <cellStyle name="Followed Hyperlink" xfId="7115" builtinId="9" hidden="1"/>
    <cellStyle name="Followed Hyperlink" xfId="7117" builtinId="9" hidden="1"/>
    <cellStyle name="Followed Hyperlink" xfId="7119" builtinId="9" hidden="1"/>
    <cellStyle name="Followed Hyperlink" xfId="7121" builtinId="9" hidden="1"/>
    <cellStyle name="Followed Hyperlink" xfId="7123" builtinId="9" hidden="1"/>
    <cellStyle name="Followed Hyperlink" xfId="7125" builtinId="9" hidden="1"/>
    <cellStyle name="Followed Hyperlink" xfId="7127" builtinId="9" hidden="1"/>
    <cellStyle name="Followed Hyperlink" xfId="7129" builtinId="9" hidden="1"/>
    <cellStyle name="Followed Hyperlink" xfId="7131" builtinId="9" hidden="1"/>
    <cellStyle name="Followed Hyperlink" xfId="7133" builtinId="9" hidden="1"/>
    <cellStyle name="Followed Hyperlink" xfId="7135" builtinId="9" hidden="1"/>
    <cellStyle name="Followed Hyperlink" xfId="7137" builtinId="9" hidden="1"/>
    <cellStyle name="Followed Hyperlink" xfId="7139" builtinId="9" hidden="1"/>
    <cellStyle name="Followed Hyperlink" xfId="7141" builtinId="9" hidden="1"/>
    <cellStyle name="Followed Hyperlink" xfId="7143" builtinId="9" hidden="1"/>
    <cellStyle name="Followed Hyperlink" xfId="7145" builtinId="9" hidden="1"/>
    <cellStyle name="Followed Hyperlink" xfId="7147" builtinId="9" hidden="1"/>
    <cellStyle name="Followed Hyperlink" xfId="7149" builtinId="9" hidden="1"/>
    <cellStyle name="Followed Hyperlink" xfId="7151" builtinId="9" hidden="1"/>
    <cellStyle name="Followed Hyperlink" xfId="7153" builtinId="9" hidden="1"/>
    <cellStyle name="Followed Hyperlink" xfId="7155" builtinId="9" hidden="1"/>
    <cellStyle name="Followed Hyperlink" xfId="7157" builtinId="9" hidden="1"/>
    <cellStyle name="Followed Hyperlink" xfId="7159" builtinId="9" hidden="1"/>
    <cellStyle name="Followed Hyperlink" xfId="7161" builtinId="9" hidden="1"/>
    <cellStyle name="Followed Hyperlink" xfId="7163" builtinId="9" hidden="1"/>
    <cellStyle name="Followed Hyperlink" xfId="7165" builtinId="9" hidden="1"/>
    <cellStyle name="Followed Hyperlink" xfId="7167" builtinId="9" hidden="1"/>
    <cellStyle name="Followed Hyperlink" xfId="7169" builtinId="9" hidden="1"/>
    <cellStyle name="Followed Hyperlink" xfId="7171" builtinId="9" hidden="1"/>
    <cellStyle name="Followed Hyperlink" xfId="7173" builtinId="9" hidden="1"/>
    <cellStyle name="Followed Hyperlink" xfId="7175" builtinId="9" hidden="1"/>
    <cellStyle name="Followed Hyperlink" xfId="7177" builtinId="9" hidden="1"/>
    <cellStyle name="Followed Hyperlink" xfId="7179" builtinId="9" hidden="1"/>
    <cellStyle name="Followed Hyperlink" xfId="7181" builtinId="9" hidden="1"/>
    <cellStyle name="Followed Hyperlink" xfId="7183" builtinId="9" hidden="1"/>
    <cellStyle name="Followed Hyperlink" xfId="7185" builtinId="9" hidden="1"/>
    <cellStyle name="Followed Hyperlink" xfId="7187" builtinId="9" hidden="1"/>
    <cellStyle name="Followed Hyperlink" xfId="7189" builtinId="9" hidden="1"/>
    <cellStyle name="Followed Hyperlink" xfId="7191" builtinId="9" hidden="1"/>
    <cellStyle name="Followed Hyperlink" xfId="7193" builtinId="9" hidden="1"/>
    <cellStyle name="Followed Hyperlink" xfId="7195" builtinId="9" hidden="1"/>
    <cellStyle name="Followed Hyperlink" xfId="7197" builtinId="9" hidden="1"/>
    <cellStyle name="Followed Hyperlink" xfId="7199" builtinId="9" hidden="1"/>
    <cellStyle name="Followed Hyperlink" xfId="7201" builtinId="9" hidden="1"/>
    <cellStyle name="Followed Hyperlink" xfId="7203" builtinId="9" hidden="1"/>
    <cellStyle name="Followed Hyperlink" xfId="7205" builtinId="9" hidden="1"/>
    <cellStyle name="Followed Hyperlink" xfId="7207" builtinId="9" hidden="1"/>
    <cellStyle name="Followed Hyperlink" xfId="7209" builtinId="9" hidden="1"/>
    <cellStyle name="Followed Hyperlink" xfId="7211" builtinId="9" hidden="1"/>
    <cellStyle name="Followed Hyperlink" xfId="7213" builtinId="9" hidden="1"/>
    <cellStyle name="Followed Hyperlink" xfId="7215" builtinId="9" hidden="1"/>
    <cellStyle name="Followed Hyperlink" xfId="7217" builtinId="9" hidden="1"/>
    <cellStyle name="Followed Hyperlink" xfId="7219" builtinId="9" hidden="1"/>
    <cellStyle name="Followed Hyperlink" xfId="7221" builtinId="9" hidden="1"/>
    <cellStyle name="Followed Hyperlink" xfId="7223" builtinId="9" hidden="1"/>
    <cellStyle name="Followed Hyperlink" xfId="7225" builtinId="9" hidden="1"/>
    <cellStyle name="Followed Hyperlink" xfId="7227" builtinId="9" hidden="1"/>
    <cellStyle name="Followed Hyperlink" xfId="7229" builtinId="9" hidden="1"/>
    <cellStyle name="Followed Hyperlink" xfId="7231" builtinId="9" hidden="1"/>
    <cellStyle name="Followed Hyperlink" xfId="7233" builtinId="9" hidden="1"/>
    <cellStyle name="Followed Hyperlink" xfId="7235" builtinId="9" hidden="1"/>
    <cellStyle name="Followed Hyperlink" xfId="7237" builtinId="9" hidden="1"/>
    <cellStyle name="Followed Hyperlink" xfId="7239" builtinId="9" hidden="1"/>
    <cellStyle name="Followed Hyperlink" xfId="7241" builtinId="9" hidden="1"/>
    <cellStyle name="Followed Hyperlink" xfId="7243" builtinId="9" hidden="1"/>
    <cellStyle name="Followed Hyperlink" xfId="7245" builtinId="9" hidden="1"/>
    <cellStyle name="Followed Hyperlink" xfId="7247" builtinId="9" hidden="1"/>
    <cellStyle name="Followed Hyperlink" xfId="7249" builtinId="9" hidden="1"/>
    <cellStyle name="Followed Hyperlink" xfId="7251" builtinId="9" hidden="1"/>
    <cellStyle name="Followed Hyperlink" xfId="7253" builtinId="9" hidden="1"/>
    <cellStyle name="Followed Hyperlink" xfId="7255" builtinId="9" hidden="1"/>
    <cellStyle name="Followed Hyperlink" xfId="7257" builtinId="9" hidden="1"/>
    <cellStyle name="Followed Hyperlink" xfId="7259" builtinId="9" hidden="1"/>
    <cellStyle name="Followed Hyperlink" xfId="7261" builtinId="9" hidden="1"/>
    <cellStyle name="Followed Hyperlink" xfId="7263" builtinId="9" hidden="1"/>
    <cellStyle name="Followed Hyperlink" xfId="7265" builtinId="9" hidden="1"/>
    <cellStyle name="Followed Hyperlink" xfId="7267" builtinId="9" hidden="1"/>
    <cellStyle name="Followed Hyperlink" xfId="7269" builtinId="9" hidden="1"/>
    <cellStyle name="Followed Hyperlink" xfId="7271" builtinId="9" hidden="1"/>
    <cellStyle name="Followed Hyperlink" xfId="7273" builtinId="9" hidden="1"/>
    <cellStyle name="Followed Hyperlink" xfId="7275" builtinId="9" hidden="1"/>
    <cellStyle name="Followed Hyperlink" xfId="7277" builtinId="9" hidden="1"/>
    <cellStyle name="Followed Hyperlink" xfId="7279" builtinId="9" hidden="1"/>
    <cellStyle name="Followed Hyperlink" xfId="7281" builtinId="9" hidden="1"/>
    <cellStyle name="Followed Hyperlink" xfId="7283" builtinId="9" hidden="1"/>
    <cellStyle name="Followed Hyperlink" xfId="7285" builtinId="9" hidden="1"/>
    <cellStyle name="Followed Hyperlink" xfId="7287" builtinId="9" hidden="1"/>
    <cellStyle name="Followed Hyperlink" xfId="7289" builtinId="9" hidden="1"/>
    <cellStyle name="Followed Hyperlink" xfId="7291" builtinId="9" hidden="1"/>
    <cellStyle name="Followed Hyperlink" xfId="7293" builtinId="9" hidden="1"/>
    <cellStyle name="Followed Hyperlink" xfId="7295" builtinId="9" hidden="1"/>
    <cellStyle name="Followed Hyperlink" xfId="7297" builtinId="9" hidden="1"/>
    <cellStyle name="Followed Hyperlink" xfId="7299" builtinId="9" hidden="1"/>
    <cellStyle name="Followed Hyperlink" xfId="7301" builtinId="9" hidden="1"/>
    <cellStyle name="Followed Hyperlink" xfId="7303" builtinId="9" hidden="1"/>
    <cellStyle name="Followed Hyperlink" xfId="7305" builtinId="9" hidden="1"/>
    <cellStyle name="Followed Hyperlink" xfId="7307" builtinId="9" hidden="1"/>
    <cellStyle name="Followed Hyperlink" xfId="7309" builtinId="9" hidden="1"/>
    <cellStyle name="Followed Hyperlink" xfId="7311" builtinId="9" hidden="1"/>
    <cellStyle name="Followed Hyperlink" xfId="7313" builtinId="9" hidden="1"/>
    <cellStyle name="Followed Hyperlink" xfId="7315" builtinId="9" hidden="1"/>
    <cellStyle name="Followed Hyperlink" xfId="7317" builtinId="9" hidden="1"/>
    <cellStyle name="Followed Hyperlink" xfId="7319" builtinId="9" hidden="1"/>
    <cellStyle name="Followed Hyperlink" xfId="7321" builtinId="9" hidden="1"/>
    <cellStyle name="Followed Hyperlink" xfId="7323" builtinId="9" hidden="1"/>
    <cellStyle name="Followed Hyperlink" xfId="7325" builtinId="9" hidden="1"/>
    <cellStyle name="Followed Hyperlink" xfId="7327" builtinId="9" hidden="1"/>
    <cellStyle name="Followed Hyperlink" xfId="7329" builtinId="9" hidden="1"/>
    <cellStyle name="Followed Hyperlink" xfId="7331" builtinId="9" hidden="1"/>
    <cellStyle name="Followed Hyperlink" xfId="7333" builtinId="9" hidden="1"/>
    <cellStyle name="Followed Hyperlink" xfId="7335" builtinId="9" hidden="1"/>
    <cellStyle name="Followed Hyperlink" xfId="7337" builtinId="9" hidden="1"/>
    <cellStyle name="Followed Hyperlink" xfId="7339" builtinId="9" hidden="1"/>
    <cellStyle name="Followed Hyperlink" xfId="7341" builtinId="9" hidden="1"/>
    <cellStyle name="Followed Hyperlink" xfId="7343" builtinId="9" hidden="1"/>
    <cellStyle name="Followed Hyperlink" xfId="7345" builtinId="9" hidden="1"/>
    <cellStyle name="Followed Hyperlink" xfId="7347" builtinId="9" hidden="1"/>
    <cellStyle name="Followed Hyperlink" xfId="7349" builtinId="9" hidden="1"/>
    <cellStyle name="Followed Hyperlink" xfId="7351" builtinId="9" hidden="1"/>
    <cellStyle name="Followed Hyperlink" xfId="7353" builtinId="9" hidden="1"/>
    <cellStyle name="Followed Hyperlink" xfId="7355" builtinId="9" hidden="1"/>
    <cellStyle name="Followed Hyperlink" xfId="7357" builtinId="9" hidden="1"/>
    <cellStyle name="Followed Hyperlink" xfId="7359" builtinId="9" hidden="1"/>
    <cellStyle name="Followed Hyperlink" xfId="7361" builtinId="9" hidden="1"/>
    <cellStyle name="Followed Hyperlink" xfId="7363" builtinId="9" hidden="1"/>
    <cellStyle name="Followed Hyperlink" xfId="7365" builtinId="9" hidden="1"/>
    <cellStyle name="Followed Hyperlink" xfId="7367" builtinId="9" hidden="1"/>
    <cellStyle name="Followed Hyperlink" xfId="7369" builtinId="9" hidden="1"/>
    <cellStyle name="Followed Hyperlink" xfId="7371" builtinId="9" hidden="1"/>
    <cellStyle name="Followed Hyperlink" xfId="7373" builtinId="9" hidden="1"/>
    <cellStyle name="Followed Hyperlink" xfId="7375" builtinId="9" hidden="1"/>
    <cellStyle name="Followed Hyperlink" xfId="7377" builtinId="9" hidden="1"/>
    <cellStyle name="Followed Hyperlink" xfId="7379" builtinId="9" hidden="1"/>
    <cellStyle name="Followed Hyperlink" xfId="7381" builtinId="9" hidden="1"/>
    <cellStyle name="Followed Hyperlink" xfId="7383" builtinId="9" hidden="1"/>
    <cellStyle name="Followed Hyperlink" xfId="7385" builtinId="9" hidden="1"/>
    <cellStyle name="Followed Hyperlink" xfId="7387" builtinId="9" hidden="1"/>
    <cellStyle name="Followed Hyperlink" xfId="7389" builtinId="9" hidden="1"/>
    <cellStyle name="Followed Hyperlink" xfId="7391" builtinId="9" hidden="1"/>
    <cellStyle name="Followed Hyperlink" xfId="7393" builtinId="9" hidden="1"/>
    <cellStyle name="Followed Hyperlink" xfId="7395" builtinId="9" hidden="1"/>
    <cellStyle name="Followed Hyperlink" xfId="7397" builtinId="9" hidden="1"/>
    <cellStyle name="Followed Hyperlink" xfId="7399" builtinId="9" hidden="1"/>
    <cellStyle name="Followed Hyperlink" xfId="7401" builtinId="9" hidden="1"/>
    <cellStyle name="Followed Hyperlink" xfId="7403" builtinId="9" hidden="1"/>
    <cellStyle name="Followed Hyperlink" xfId="7405" builtinId="9" hidden="1"/>
    <cellStyle name="Followed Hyperlink" xfId="7407" builtinId="9" hidden="1"/>
    <cellStyle name="Followed Hyperlink" xfId="7409" builtinId="9" hidden="1"/>
    <cellStyle name="Followed Hyperlink" xfId="7411" builtinId="9" hidden="1"/>
    <cellStyle name="Followed Hyperlink" xfId="7413" builtinId="9" hidden="1"/>
    <cellStyle name="Followed Hyperlink" xfId="7415" builtinId="9" hidden="1"/>
    <cellStyle name="Followed Hyperlink" xfId="7417" builtinId="9" hidden="1"/>
    <cellStyle name="Followed Hyperlink" xfId="7419" builtinId="9" hidden="1"/>
    <cellStyle name="Followed Hyperlink" xfId="7421" builtinId="9" hidden="1"/>
    <cellStyle name="Followed Hyperlink" xfId="7423" builtinId="9" hidden="1"/>
    <cellStyle name="Followed Hyperlink" xfId="7425" builtinId="9" hidden="1"/>
    <cellStyle name="Followed Hyperlink" xfId="7427" builtinId="9" hidden="1"/>
    <cellStyle name="Followed Hyperlink" xfId="7429" builtinId="9" hidden="1"/>
    <cellStyle name="Followed Hyperlink" xfId="7431" builtinId="9" hidden="1"/>
    <cellStyle name="Followed Hyperlink" xfId="7433" builtinId="9" hidden="1"/>
    <cellStyle name="Followed Hyperlink" xfId="7435" builtinId="9" hidden="1"/>
    <cellStyle name="Followed Hyperlink" xfId="7437" builtinId="9" hidden="1"/>
    <cellStyle name="Followed Hyperlink" xfId="7439" builtinId="9" hidden="1"/>
    <cellStyle name="Followed Hyperlink" xfId="7441" builtinId="9" hidden="1"/>
    <cellStyle name="Followed Hyperlink" xfId="7443" builtinId="9" hidden="1"/>
    <cellStyle name="Followed Hyperlink" xfId="7445" builtinId="9" hidden="1"/>
    <cellStyle name="Followed Hyperlink" xfId="7447" builtinId="9" hidden="1"/>
    <cellStyle name="Followed Hyperlink" xfId="7449" builtinId="9" hidden="1"/>
    <cellStyle name="Followed Hyperlink" xfId="7451" builtinId="9" hidden="1"/>
    <cellStyle name="Followed Hyperlink" xfId="7453" builtinId="9" hidden="1"/>
    <cellStyle name="Followed Hyperlink" xfId="7455" builtinId="9" hidden="1"/>
    <cellStyle name="Followed Hyperlink" xfId="7457" builtinId="9" hidden="1"/>
    <cellStyle name="Followed Hyperlink" xfId="7459" builtinId="9" hidden="1"/>
    <cellStyle name="Followed Hyperlink" xfId="7461" builtinId="9" hidden="1"/>
    <cellStyle name="Followed Hyperlink" xfId="7463" builtinId="9" hidden="1"/>
    <cellStyle name="Followed Hyperlink" xfId="7465" builtinId="9" hidden="1"/>
    <cellStyle name="Followed Hyperlink" xfId="7467" builtinId="9" hidden="1"/>
    <cellStyle name="Followed Hyperlink" xfId="7469" builtinId="9" hidden="1"/>
    <cellStyle name="Followed Hyperlink" xfId="7471" builtinId="9" hidden="1"/>
    <cellStyle name="Followed Hyperlink" xfId="7473" builtinId="9" hidden="1"/>
    <cellStyle name="Followed Hyperlink" xfId="7475" builtinId="9" hidden="1"/>
    <cellStyle name="Followed Hyperlink" xfId="7477" builtinId="9" hidden="1"/>
    <cellStyle name="Followed Hyperlink" xfId="7479" builtinId="9" hidden="1"/>
    <cellStyle name="Followed Hyperlink" xfId="7481" builtinId="9" hidden="1"/>
    <cellStyle name="Followed Hyperlink" xfId="7483" builtinId="9" hidden="1"/>
    <cellStyle name="Followed Hyperlink" xfId="7485" builtinId="9" hidden="1"/>
    <cellStyle name="Followed Hyperlink" xfId="7487" builtinId="9" hidden="1"/>
    <cellStyle name="Followed Hyperlink" xfId="7489" builtinId="9" hidden="1"/>
    <cellStyle name="Followed Hyperlink" xfId="7491" builtinId="9" hidden="1"/>
    <cellStyle name="Followed Hyperlink" xfId="7493" builtinId="9" hidden="1"/>
    <cellStyle name="Followed Hyperlink" xfId="7495" builtinId="9" hidden="1"/>
    <cellStyle name="Followed Hyperlink" xfId="7497" builtinId="9" hidden="1"/>
    <cellStyle name="Followed Hyperlink" xfId="7499" builtinId="9" hidden="1"/>
    <cellStyle name="Followed Hyperlink" xfId="7501" builtinId="9" hidden="1"/>
    <cellStyle name="Followed Hyperlink" xfId="7503" builtinId="9" hidden="1"/>
    <cellStyle name="Followed Hyperlink" xfId="7505" builtinId="9" hidden="1"/>
    <cellStyle name="Followed Hyperlink" xfId="7507" builtinId="9" hidden="1"/>
    <cellStyle name="Followed Hyperlink" xfId="7509" builtinId="9" hidden="1"/>
    <cellStyle name="Followed Hyperlink" xfId="7511" builtinId="9" hidden="1"/>
    <cellStyle name="Followed Hyperlink" xfId="7513" builtinId="9" hidden="1"/>
    <cellStyle name="Followed Hyperlink" xfId="7515" builtinId="9" hidden="1"/>
    <cellStyle name="Followed Hyperlink" xfId="7517" builtinId="9" hidden="1"/>
    <cellStyle name="Followed Hyperlink" xfId="7519" builtinId="9" hidden="1"/>
    <cellStyle name="Followed Hyperlink" xfId="7521" builtinId="9" hidden="1"/>
    <cellStyle name="Followed Hyperlink" xfId="7523" builtinId="9" hidden="1"/>
    <cellStyle name="Followed Hyperlink" xfId="7525" builtinId="9" hidden="1"/>
    <cellStyle name="Followed Hyperlink" xfId="7527" builtinId="9" hidden="1"/>
    <cellStyle name="Followed Hyperlink" xfId="7529" builtinId="9" hidden="1"/>
    <cellStyle name="Followed Hyperlink" xfId="7531" builtinId="9" hidden="1"/>
    <cellStyle name="Followed Hyperlink" xfId="7533" builtinId="9" hidden="1"/>
    <cellStyle name="Followed Hyperlink" xfId="7535" builtinId="9" hidden="1"/>
    <cellStyle name="Followed Hyperlink" xfId="7537" builtinId="9" hidden="1"/>
    <cellStyle name="Followed Hyperlink" xfId="7539" builtinId="9" hidden="1"/>
    <cellStyle name="Followed Hyperlink" xfId="7541" builtinId="9" hidden="1"/>
    <cellStyle name="Followed Hyperlink" xfId="7543" builtinId="9" hidden="1"/>
    <cellStyle name="Followed Hyperlink" xfId="7545" builtinId="9" hidden="1"/>
    <cellStyle name="Followed Hyperlink" xfId="7547" builtinId="9" hidden="1"/>
    <cellStyle name="Followed Hyperlink" xfId="7549" builtinId="9" hidden="1"/>
    <cellStyle name="Followed Hyperlink" xfId="7551" builtinId="9" hidden="1"/>
    <cellStyle name="Followed Hyperlink" xfId="7553" builtinId="9" hidden="1"/>
    <cellStyle name="Followed Hyperlink" xfId="7555" builtinId="9" hidden="1"/>
    <cellStyle name="Followed Hyperlink" xfId="7557" builtinId="9" hidden="1"/>
    <cellStyle name="Followed Hyperlink" xfId="7559" builtinId="9" hidden="1"/>
    <cellStyle name="Followed Hyperlink" xfId="7561" builtinId="9" hidden="1"/>
    <cellStyle name="Followed Hyperlink" xfId="7563" builtinId="9" hidden="1"/>
    <cellStyle name="Followed Hyperlink" xfId="7565" builtinId="9" hidden="1"/>
    <cellStyle name="Followed Hyperlink" xfId="7567" builtinId="9" hidden="1"/>
    <cellStyle name="Followed Hyperlink" xfId="7569" builtinId="9" hidden="1"/>
    <cellStyle name="Followed Hyperlink" xfId="7571" builtinId="9" hidden="1"/>
    <cellStyle name="Followed Hyperlink" xfId="7573" builtinId="9" hidden="1"/>
    <cellStyle name="Followed Hyperlink" xfId="7575" builtinId="9" hidden="1"/>
    <cellStyle name="Followed Hyperlink" xfId="7577" builtinId="9" hidden="1"/>
    <cellStyle name="Followed Hyperlink" xfId="7579" builtinId="9" hidden="1"/>
    <cellStyle name="Followed Hyperlink" xfId="7581" builtinId="9" hidden="1"/>
    <cellStyle name="Followed Hyperlink" xfId="7583" builtinId="9" hidden="1"/>
    <cellStyle name="Followed Hyperlink" xfId="7585" builtinId="9" hidden="1"/>
    <cellStyle name="Followed Hyperlink" xfId="7587" builtinId="9" hidden="1"/>
    <cellStyle name="Followed Hyperlink" xfId="7589" builtinId="9" hidden="1"/>
    <cellStyle name="Followed Hyperlink" xfId="7591" builtinId="9" hidden="1"/>
    <cellStyle name="Followed Hyperlink" xfId="7593" builtinId="9" hidden="1"/>
    <cellStyle name="Followed Hyperlink" xfId="7595" builtinId="9" hidden="1"/>
    <cellStyle name="Followed Hyperlink" xfId="7597" builtinId="9" hidden="1"/>
    <cellStyle name="Followed Hyperlink" xfId="7599" builtinId="9" hidden="1"/>
    <cellStyle name="Followed Hyperlink" xfId="7601" builtinId="9" hidden="1"/>
    <cellStyle name="Followed Hyperlink" xfId="7603" builtinId="9" hidden="1"/>
    <cellStyle name="Followed Hyperlink" xfId="7605" builtinId="9" hidden="1"/>
    <cellStyle name="Followed Hyperlink" xfId="7607" builtinId="9" hidden="1"/>
    <cellStyle name="Followed Hyperlink" xfId="7609" builtinId="9" hidden="1"/>
    <cellStyle name="Followed Hyperlink" xfId="7611" builtinId="9" hidden="1"/>
    <cellStyle name="Followed Hyperlink" xfId="7613" builtinId="9" hidden="1"/>
    <cellStyle name="Followed Hyperlink" xfId="7615" builtinId="9" hidden="1"/>
    <cellStyle name="Followed Hyperlink" xfId="7617" builtinId="9" hidden="1"/>
    <cellStyle name="Followed Hyperlink" xfId="7619" builtinId="9" hidden="1"/>
    <cellStyle name="Followed Hyperlink" xfId="7621" builtinId="9" hidden="1"/>
    <cellStyle name="Followed Hyperlink" xfId="7623" builtinId="9" hidden="1"/>
    <cellStyle name="Followed Hyperlink" xfId="7625" builtinId="9" hidden="1"/>
    <cellStyle name="Followed Hyperlink" xfId="7627" builtinId="9" hidden="1"/>
    <cellStyle name="Followed Hyperlink" xfId="7629" builtinId="9" hidden="1"/>
    <cellStyle name="Followed Hyperlink" xfId="7631" builtinId="9" hidden="1"/>
    <cellStyle name="Followed Hyperlink" xfId="7633" builtinId="9" hidden="1"/>
    <cellStyle name="Followed Hyperlink" xfId="7635" builtinId="9" hidden="1"/>
    <cellStyle name="Followed Hyperlink" xfId="7637" builtinId="9" hidden="1"/>
    <cellStyle name="Followed Hyperlink" xfId="7639" builtinId="9" hidden="1"/>
    <cellStyle name="Followed Hyperlink" xfId="7641" builtinId="9" hidden="1"/>
    <cellStyle name="Followed Hyperlink" xfId="7643" builtinId="9" hidden="1"/>
    <cellStyle name="Followed Hyperlink" xfId="7645" builtinId="9" hidden="1"/>
    <cellStyle name="Followed Hyperlink" xfId="7647" builtinId="9" hidden="1"/>
    <cellStyle name="Followed Hyperlink" xfId="7649" builtinId="9" hidden="1"/>
    <cellStyle name="Followed Hyperlink" xfId="7651" builtinId="9" hidden="1"/>
    <cellStyle name="Followed Hyperlink" xfId="7653" builtinId="9" hidden="1"/>
    <cellStyle name="Followed Hyperlink" xfId="7655" builtinId="9" hidden="1"/>
    <cellStyle name="Followed Hyperlink" xfId="7657" builtinId="9" hidden="1"/>
    <cellStyle name="Followed Hyperlink" xfId="7659" builtinId="9" hidden="1"/>
    <cellStyle name="Followed Hyperlink" xfId="7661" builtinId="9" hidden="1"/>
    <cellStyle name="Followed Hyperlink" xfId="7663" builtinId="9" hidden="1"/>
    <cellStyle name="Followed Hyperlink" xfId="7665" builtinId="9" hidden="1"/>
    <cellStyle name="Followed Hyperlink" xfId="7667" builtinId="9" hidden="1"/>
    <cellStyle name="Followed Hyperlink" xfId="7669" builtinId="9" hidden="1"/>
    <cellStyle name="Followed Hyperlink" xfId="7671" builtinId="9" hidden="1"/>
    <cellStyle name="Followed Hyperlink" xfId="7673" builtinId="9" hidden="1"/>
    <cellStyle name="Followed Hyperlink" xfId="7675" builtinId="9" hidden="1"/>
    <cellStyle name="Followed Hyperlink" xfId="7677" builtinId="9" hidden="1"/>
    <cellStyle name="Followed Hyperlink" xfId="7679" builtinId="9" hidden="1"/>
    <cellStyle name="Followed Hyperlink" xfId="7681" builtinId="9" hidden="1"/>
    <cellStyle name="Followed Hyperlink" xfId="7683" builtinId="9" hidden="1"/>
    <cellStyle name="Followed Hyperlink" xfId="7685" builtinId="9" hidden="1"/>
    <cellStyle name="Followed Hyperlink" xfId="7687" builtinId="9" hidden="1"/>
    <cellStyle name="Followed Hyperlink" xfId="7689" builtinId="9" hidden="1"/>
    <cellStyle name="Followed Hyperlink" xfId="7691" builtinId="9" hidden="1"/>
    <cellStyle name="Followed Hyperlink" xfId="7693" builtinId="9" hidden="1"/>
    <cellStyle name="Followed Hyperlink" xfId="7695" builtinId="9" hidden="1"/>
    <cellStyle name="Followed Hyperlink" xfId="7697" builtinId="9" hidden="1"/>
    <cellStyle name="Followed Hyperlink" xfId="7699" builtinId="9" hidden="1"/>
    <cellStyle name="Followed Hyperlink" xfId="7701" builtinId="9" hidden="1"/>
    <cellStyle name="Followed Hyperlink" xfId="7703" builtinId="9" hidden="1"/>
    <cellStyle name="Followed Hyperlink" xfId="7705" builtinId="9" hidden="1"/>
    <cellStyle name="Followed Hyperlink" xfId="7707" builtinId="9" hidden="1"/>
    <cellStyle name="Followed Hyperlink" xfId="7709" builtinId="9" hidden="1"/>
    <cellStyle name="Followed Hyperlink" xfId="7711" builtinId="9" hidden="1"/>
    <cellStyle name="Followed Hyperlink" xfId="7713" builtinId="9" hidden="1"/>
    <cellStyle name="Followed Hyperlink" xfId="7715" builtinId="9" hidden="1"/>
    <cellStyle name="Followed Hyperlink" xfId="7717" builtinId="9" hidden="1"/>
    <cellStyle name="Followed Hyperlink" xfId="7719" builtinId="9" hidden="1"/>
    <cellStyle name="Followed Hyperlink" xfId="7721" builtinId="9" hidden="1"/>
    <cellStyle name="Followed Hyperlink" xfId="7723" builtinId="9" hidden="1"/>
    <cellStyle name="Followed Hyperlink" xfId="7725" builtinId="9" hidden="1"/>
    <cellStyle name="Followed Hyperlink" xfId="7727" builtinId="9" hidden="1"/>
    <cellStyle name="Followed Hyperlink" xfId="7729" builtinId="9" hidden="1"/>
    <cellStyle name="Followed Hyperlink" xfId="7731" builtinId="9" hidden="1"/>
    <cellStyle name="Followed Hyperlink" xfId="7733" builtinId="9" hidden="1"/>
    <cellStyle name="Followed Hyperlink" xfId="7735" builtinId="9" hidden="1"/>
    <cellStyle name="Followed Hyperlink" xfId="7737" builtinId="9" hidden="1"/>
    <cellStyle name="Followed Hyperlink" xfId="7739" builtinId="9" hidden="1"/>
    <cellStyle name="Followed Hyperlink" xfId="7741" builtinId="9" hidden="1"/>
    <cellStyle name="Followed Hyperlink" xfId="7743" builtinId="9" hidden="1"/>
    <cellStyle name="Followed Hyperlink" xfId="7745" builtinId="9" hidden="1"/>
    <cellStyle name="Followed Hyperlink" xfId="7747" builtinId="9" hidden="1"/>
    <cellStyle name="Followed Hyperlink" xfId="7749" builtinId="9" hidden="1"/>
    <cellStyle name="Followed Hyperlink" xfId="7751" builtinId="9" hidden="1"/>
    <cellStyle name="Followed Hyperlink" xfId="7753" builtinId="9" hidden="1"/>
    <cellStyle name="Followed Hyperlink" xfId="7755" builtinId="9" hidden="1"/>
    <cellStyle name="Followed Hyperlink" xfId="7757" builtinId="9" hidden="1"/>
    <cellStyle name="Followed Hyperlink" xfId="7759" builtinId="9" hidden="1"/>
    <cellStyle name="Followed Hyperlink" xfId="7761" builtinId="9" hidden="1"/>
    <cellStyle name="Followed Hyperlink" xfId="7763" builtinId="9" hidden="1"/>
    <cellStyle name="Followed Hyperlink" xfId="7765" builtinId="9" hidden="1"/>
    <cellStyle name="Followed Hyperlink" xfId="7767" builtinId="9" hidden="1"/>
    <cellStyle name="Followed Hyperlink" xfId="7769" builtinId="9" hidden="1"/>
    <cellStyle name="Followed Hyperlink" xfId="7771" builtinId="9" hidden="1"/>
    <cellStyle name="Followed Hyperlink" xfId="7773" builtinId="9" hidden="1"/>
    <cellStyle name="Followed Hyperlink" xfId="7775" builtinId="9" hidden="1"/>
    <cellStyle name="Followed Hyperlink" xfId="7777" builtinId="9" hidden="1"/>
    <cellStyle name="Followed Hyperlink" xfId="7779" builtinId="9" hidden="1"/>
    <cellStyle name="Followed Hyperlink" xfId="7781" builtinId="9" hidden="1"/>
    <cellStyle name="Followed Hyperlink" xfId="7783" builtinId="9" hidden="1"/>
    <cellStyle name="Followed Hyperlink" xfId="7785" builtinId="9" hidden="1"/>
    <cellStyle name="Followed Hyperlink" xfId="7787" builtinId="9" hidden="1"/>
    <cellStyle name="Followed Hyperlink" xfId="7789" builtinId="9" hidden="1"/>
    <cellStyle name="Followed Hyperlink" xfId="7791" builtinId="9" hidden="1"/>
    <cellStyle name="Followed Hyperlink" xfId="7793" builtinId="9" hidden="1"/>
    <cellStyle name="Followed Hyperlink" xfId="7795" builtinId="9" hidden="1"/>
    <cellStyle name="Followed Hyperlink" xfId="7797" builtinId="9" hidden="1"/>
    <cellStyle name="Followed Hyperlink" xfId="7799" builtinId="9" hidden="1"/>
    <cellStyle name="Followed Hyperlink" xfId="7801" builtinId="9" hidden="1"/>
    <cellStyle name="Followed Hyperlink" xfId="7803" builtinId="9" hidden="1"/>
    <cellStyle name="Followed Hyperlink" xfId="7805" builtinId="9" hidden="1"/>
    <cellStyle name="Followed Hyperlink" xfId="7807" builtinId="9" hidden="1"/>
    <cellStyle name="Followed Hyperlink" xfId="7809" builtinId="9" hidden="1"/>
    <cellStyle name="Followed Hyperlink" xfId="7811" builtinId="9" hidden="1"/>
    <cellStyle name="Followed Hyperlink" xfId="7813" builtinId="9" hidden="1"/>
    <cellStyle name="Followed Hyperlink" xfId="7815" builtinId="9" hidden="1"/>
    <cellStyle name="Followed Hyperlink" xfId="7817" builtinId="9" hidden="1"/>
    <cellStyle name="Followed Hyperlink" xfId="7819" builtinId="9" hidden="1"/>
    <cellStyle name="Followed Hyperlink" xfId="7821" builtinId="9" hidden="1"/>
    <cellStyle name="Followed Hyperlink" xfId="7823" builtinId="9" hidden="1"/>
    <cellStyle name="Followed Hyperlink" xfId="7825" builtinId="9" hidden="1"/>
    <cellStyle name="Followed Hyperlink" xfId="7827" builtinId="9" hidden="1"/>
    <cellStyle name="Followed Hyperlink" xfId="7829" builtinId="9" hidden="1"/>
    <cellStyle name="Followed Hyperlink" xfId="7831" builtinId="9" hidden="1"/>
    <cellStyle name="Followed Hyperlink" xfId="7833" builtinId="9" hidden="1"/>
    <cellStyle name="Followed Hyperlink" xfId="7835" builtinId="9" hidden="1"/>
    <cellStyle name="Followed Hyperlink" xfId="7837" builtinId="9" hidden="1"/>
    <cellStyle name="Followed Hyperlink" xfId="7839" builtinId="9" hidden="1"/>
    <cellStyle name="Followed Hyperlink" xfId="7841" builtinId="9" hidden="1"/>
    <cellStyle name="Followed Hyperlink" xfId="7843" builtinId="9" hidden="1"/>
    <cellStyle name="Followed Hyperlink" xfId="7845" builtinId="9" hidden="1"/>
    <cellStyle name="Followed Hyperlink" xfId="7847" builtinId="9" hidden="1"/>
    <cellStyle name="Followed Hyperlink" xfId="7849" builtinId="9" hidden="1"/>
    <cellStyle name="Followed Hyperlink" xfId="7851" builtinId="9" hidden="1"/>
    <cellStyle name="Followed Hyperlink" xfId="7853" builtinId="9" hidden="1"/>
    <cellStyle name="Followed Hyperlink" xfId="7855" builtinId="9" hidden="1"/>
    <cellStyle name="Followed Hyperlink" xfId="7857" builtinId="9" hidden="1"/>
    <cellStyle name="Followed Hyperlink" xfId="7859" builtinId="9" hidden="1"/>
    <cellStyle name="Followed Hyperlink" xfId="7861" builtinId="9" hidden="1"/>
    <cellStyle name="Followed Hyperlink" xfId="7863" builtinId="9" hidden="1"/>
    <cellStyle name="Followed Hyperlink" xfId="7865" builtinId="9" hidden="1"/>
    <cellStyle name="Followed Hyperlink" xfId="7867" builtinId="9" hidden="1"/>
    <cellStyle name="Followed Hyperlink" xfId="7869" builtinId="9" hidden="1"/>
    <cellStyle name="Followed Hyperlink" xfId="7871" builtinId="9" hidden="1"/>
    <cellStyle name="Followed Hyperlink" xfId="7873" builtinId="9" hidden="1"/>
    <cellStyle name="Followed Hyperlink" xfId="7875" builtinId="9" hidden="1"/>
    <cellStyle name="Followed Hyperlink" xfId="7877" builtinId="9" hidden="1"/>
    <cellStyle name="Followed Hyperlink" xfId="7879" builtinId="9" hidden="1"/>
    <cellStyle name="Followed Hyperlink" xfId="7881" builtinId="9" hidden="1"/>
    <cellStyle name="Followed Hyperlink" xfId="7883" builtinId="9" hidden="1"/>
    <cellStyle name="Followed Hyperlink" xfId="7885" builtinId="9" hidden="1"/>
    <cellStyle name="Followed Hyperlink" xfId="7887" builtinId="9" hidden="1"/>
    <cellStyle name="Followed Hyperlink" xfId="7889" builtinId="9" hidden="1"/>
    <cellStyle name="Followed Hyperlink" xfId="7891" builtinId="9" hidden="1"/>
    <cellStyle name="Followed Hyperlink" xfId="7893" builtinId="9" hidden="1"/>
    <cellStyle name="Followed Hyperlink" xfId="7895" builtinId="9" hidden="1"/>
    <cellStyle name="Followed Hyperlink" xfId="7897" builtinId="9" hidden="1"/>
    <cellStyle name="Followed Hyperlink" xfId="7899" builtinId="9" hidden="1"/>
    <cellStyle name="Followed Hyperlink" xfId="7901" builtinId="9" hidden="1"/>
    <cellStyle name="Followed Hyperlink" xfId="7903" builtinId="9" hidden="1"/>
    <cellStyle name="Followed Hyperlink" xfId="7905" builtinId="9" hidden="1"/>
    <cellStyle name="Followed Hyperlink" xfId="7907" builtinId="9" hidden="1"/>
    <cellStyle name="Followed Hyperlink" xfId="7909" builtinId="9" hidden="1"/>
    <cellStyle name="Followed Hyperlink" xfId="7911" builtinId="9" hidden="1"/>
    <cellStyle name="Followed Hyperlink" xfId="7913" builtinId="9" hidden="1"/>
    <cellStyle name="Followed Hyperlink" xfId="7915" builtinId="9" hidden="1"/>
    <cellStyle name="Followed Hyperlink" xfId="7917" builtinId="9" hidden="1"/>
    <cellStyle name="Followed Hyperlink" xfId="7919" builtinId="9" hidden="1"/>
    <cellStyle name="Followed Hyperlink" xfId="7921" builtinId="9" hidden="1"/>
    <cellStyle name="Followed Hyperlink" xfId="7923" builtinId="9" hidden="1"/>
    <cellStyle name="Followed Hyperlink" xfId="7925" builtinId="9" hidden="1"/>
    <cellStyle name="Followed Hyperlink" xfId="7927" builtinId="9" hidden="1"/>
    <cellStyle name="Followed Hyperlink" xfId="7929" builtinId="9" hidden="1"/>
    <cellStyle name="Followed Hyperlink" xfId="7931" builtinId="9" hidden="1"/>
    <cellStyle name="Followed Hyperlink" xfId="7933" builtinId="9" hidden="1"/>
    <cellStyle name="Followed Hyperlink" xfId="7935" builtinId="9" hidden="1"/>
    <cellStyle name="Followed Hyperlink" xfId="7937" builtinId="9" hidden="1"/>
    <cellStyle name="Followed Hyperlink" xfId="7939" builtinId="9" hidden="1"/>
    <cellStyle name="Followed Hyperlink" xfId="7941" builtinId="9" hidden="1"/>
    <cellStyle name="Followed Hyperlink" xfId="7943" builtinId="9" hidden="1"/>
    <cellStyle name="Followed Hyperlink" xfId="7945" builtinId="9" hidden="1"/>
    <cellStyle name="Followed Hyperlink" xfId="7947" builtinId="9" hidden="1"/>
    <cellStyle name="Followed Hyperlink" xfId="7949" builtinId="9" hidden="1"/>
    <cellStyle name="Followed Hyperlink" xfId="7951" builtinId="9" hidden="1"/>
    <cellStyle name="Followed Hyperlink" xfId="7953" builtinId="9" hidden="1"/>
    <cellStyle name="Followed Hyperlink" xfId="7955" builtinId="9" hidden="1"/>
    <cellStyle name="Followed Hyperlink" xfId="7957" builtinId="9" hidden="1"/>
    <cellStyle name="Followed Hyperlink" xfId="7959" builtinId="9" hidden="1"/>
    <cellStyle name="Followed Hyperlink" xfId="7961" builtinId="9" hidden="1"/>
    <cellStyle name="Followed Hyperlink" xfId="7963" builtinId="9" hidden="1"/>
    <cellStyle name="Followed Hyperlink" xfId="7965" builtinId="9" hidden="1"/>
    <cellStyle name="Followed Hyperlink" xfId="7967" builtinId="9" hidden="1"/>
    <cellStyle name="Followed Hyperlink" xfId="7969" builtinId="9" hidden="1"/>
    <cellStyle name="Followed Hyperlink" xfId="7971" builtinId="9" hidden="1"/>
    <cellStyle name="Followed Hyperlink" xfId="7973" builtinId="9" hidden="1"/>
    <cellStyle name="Followed Hyperlink" xfId="7975" builtinId="9" hidden="1"/>
    <cellStyle name="Followed Hyperlink" xfId="7977" builtinId="9" hidden="1"/>
    <cellStyle name="Followed Hyperlink" xfId="7979" builtinId="9" hidden="1"/>
    <cellStyle name="Followed Hyperlink" xfId="7981" builtinId="9" hidden="1"/>
    <cellStyle name="Followed Hyperlink" xfId="7983" builtinId="9" hidden="1"/>
    <cellStyle name="Followed Hyperlink" xfId="7985" builtinId="9" hidden="1"/>
    <cellStyle name="Followed Hyperlink" xfId="7987" builtinId="9" hidden="1"/>
    <cellStyle name="Followed Hyperlink" xfId="7989" builtinId="9" hidden="1"/>
    <cellStyle name="Followed Hyperlink" xfId="7991" builtinId="9" hidden="1"/>
    <cellStyle name="Followed Hyperlink" xfId="7993" builtinId="9" hidden="1"/>
    <cellStyle name="Followed Hyperlink" xfId="7995" builtinId="9" hidden="1"/>
    <cellStyle name="Followed Hyperlink" xfId="7997" builtinId="9" hidden="1"/>
    <cellStyle name="Followed Hyperlink" xfId="7999" builtinId="9" hidden="1"/>
    <cellStyle name="Followed Hyperlink" xfId="8001" builtinId="9" hidden="1"/>
    <cellStyle name="Followed Hyperlink" xfId="8003" builtinId="9" hidden="1"/>
    <cellStyle name="Followed Hyperlink" xfId="8005" builtinId="9" hidden="1"/>
    <cellStyle name="Followed Hyperlink" xfId="8007" builtinId="9" hidden="1"/>
    <cellStyle name="Followed Hyperlink" xfId="8009" builtinId="9" hidden="1"/>
    <cellStyle name="Followed Hyperlink" xfId="8011" builtinId="9" hidden="1"/>
    <cellStyle name="Followed Hyperlink" xfId="8013" builtinId="9" hidden="1"/>
    <cellStyle name="Followed Hyperlink" xfId="8015" builtinId="9" hidden="1"/>
    <cellStyle name="Followed Hyperlink" xfId="8017" builtinId="9" hidden="1"/>
    <cellStyle name="Followed Hyperlink" xfId="8019" builtinId="9" hidden="1"/>
    <cellStyle name="Followed Hyperlink" xfId="8021" builtinId="9" hidden="1"/>
    <cellStyle name="Followed Hyperlink" xfId="8023" builtinId="9" hidden="1"/>
    <cellStyle name="Followed Hyperlink" xfId="8025" builtinId="9" hidden="1"/>
    <cellStyle name="Followed Hyperlink" xfId="8027" builtinId="9" hidden="1"/>
    <cellStyle name="Followed Hyperlink" xfId="8029" builtinId="9" hidden="1"/>
    <cellStyle name="Followed Hyperlink" xfId="8031" builtinId="9" hidden="1"/>
    <cellStyle name="Followed Hyperlink" xfId="8033" builtinId="9" hidden="1"/>
    <cellStyle name="Followed Hyperlink" xfId="8035" builtinId="9" hidden="1"/>
    <cellStyle name="Followed Hyperlink" xfId="8037" builtinId="9" hidden="1"/>
    <cellStyle name="Followed Hyperlink" xfId="8039" builtinId="9" hidden="1"/>
    <cellStyle name="Followed Hyperlink" xfId="8041" builtinId="9" hidden="1"/>
    <cellStyle name="Followed Hyperlink" xfId="8043" builtinId="9" hidden="1"/>
    <cellStyle name="Followed Hyperlink" xfId="8045" builtinId="9" hidden="1"/>
    <cellStyle name="Followed Hyperlink" xfId="8047" builtinId="9" hidden="1"/>
    <cellStyle name="Followed Hyperlink" xfId="8049" builtinId="9" hidden="1"/>
    <cellStyle name="Followed Hyperlink" xfId="8051" builtinId="9" hidden="1"/>
    <cellStyle name="Followed Hyperlink" xfId="8053" builtinId="9" hidden="1"/>
    <cellStyle name="Followed Hyperlink" xfId="8055" builtinId="9" hidden="1"/>
    <cellStyle name="Followed Hyperlink" xfId="8057" builtinId="9" hidden="1"/>
    <cellStyle name="Followed Hyperlink" xfId="8059" builtinId="9" hidden="1"/>
    <cellStyle name="Followed Hyperlink" xfId="8061" builtinId="9" hidden="1"/>
    <cellStyle name="Followed Hyperlink" xfId="8063" builtinId="9" hidden="1"/>
    <cellStyle name="Followed Hyperlink" xfId="8065" builtinId="9" hidden="1"/>
    <cellStyle name="Followed Hyperlink" xfId="8067" builtinId="9" hidden="1"/>
    <cellStyle name="Followed Hyperlink" xfId="8069" builtinId="9" hidden="1"/>
    <cellStyle name="Followed Hyperlink" xfId="8071" builtinId="9" hidden="1"/>
    <cellStyle name="Followed Hyperlink" xfId="8073" builtinId="9" hidden="1"/>
    <cellStyle name="Followed Hyperlink" xfId="8075" builtinId="9" hidden="1"/>
    <cellStyle name="Followed Hyperlink" xfId="8077" builtinId="9" hidden="1"/>
    <cellStyle name="Followed Hyperlink" xfId="8079" builtinId="9" hidden="1"/>
    <cellStyle name="Followed Hyperlink" xfId="8081" builtinId="9" hidden="1"/>
    <cellStyle name="Followed Hyperlink" xfId="8083" builtinId="9" hidden="1"/>
    <cellStyle name="Followed Hyperlink" xfId="8085" builtinId="9" hidden="1"/>
    <cellStyle name="Followed Hyperlink" xfId="8087" builtinId="9" hidden="1"/>
    <cellStyle name="Followed Hyperlink" xfId="8089" builtinId="9" hidden="1"/>
    <cellStyle name="Followed Hyperlink" xfId="8091" builtinId="9" hidden="1"/>
    <cellStyle name="Followed Hyperlink" xfId="8093" builtinId="9" hidden="1"/>
    <cellStyle name="Followed Hyperlink" xfId="8095" builtinId="9" hidden="1"/>
    <cellStyle name="Followed Hyperlink" xfId="8097" builtinId="9" hidden="1"/>
    <cellStyle name="Followed Hyperlink" xfId="8099" builtinId="9" hidden="1"/>
    <cellStyle name="Followed Hyperlink" xfId="8101" builtinId="9" hidden="1"/>
    <cellStyle name="Followed Hyperlink" xfId="8103" builtinId="9" hidden="1"/>
    <cellStyle name="Followed Hyperlink" xfId="8105" builtinId="9" hidden="1"/>
    <cellStyle name="Followed Hyperlink" xfId="8107" builtinId="9" hidden="1"/>
    <cellStyle name="Followed Hyperlink" xfId="8109" builtinId="9" hidden="1"/>
    <cellStyle name="Followed Hyperlink" xfId="8111" builtinId="9" hidden="1"/>
    <cellStyle name="Followed Hyperlink" xfId="8113" builtinId="9" hidden="1"/>
    <cellStyle name="Followed Hyperlink" xfId="8115" builtinId="9" hidden="1"/>
    <cellStyle name="Followed Hyperlink" xfId="8117" builtinId="9" hidden="1"/>
    <cellStyle name="Followed Hyperlink" xfId="8119" builtinId="9" hidden="1"/>
    <cellStyle name="Followed Hyperlink" xfId="8121" builtinId="9" hidden="1"/>
    <cellStyle name="Followed Hyperlink" xfId="8123" builtinId="9" hidden="1"/>
    <cellStyle name="Followed Hyperlink" xfId="8125" builtinId="9" hidden="1"/>
    <cellStyle name="Followed Hyperlink" xfId="8127" builtinId="9" hidden="1"/>
    <cellStyle name="Followed Hyperlink" xfId="8129" builtinId="9" hidden="1"/>
    <cellStyle name="Followed Hyperlink" xfId="8131" builtinId="9" hidden="1"/>
    <cellStyle name="Followed Hyperlink" xfId="8133" builtinId="9" hidden="1"/>
    <cellStyle name="Followed Hyperlink" xfId="8135" builtinId="9" hidden="1"/>
    <cellStyle name="Followed Hyperlink" xfId="8137" builtinId="9" hidden="1"/>
    <cellStyle name="Followed Hyperlink" xfId="8139" builtinId="9" hidden="1"/>
    <cellStyle name="Followed Hyperlink" xfId="8141" builtinId="9" hidden="1"/>
    <cellStyle name="Followed Hyperlink" xfId="8143" builtinId="9" hidden="1"/>
    <cellStyle name="Followed Hyperlink" xfId="8145" builtinId="9" hidden="1"/>
    <cellStyle name="Followed Hyperlink" xfId="8147" builtinId="9" hidden="1"/>
    <cellStyle name="Followed Hyperlink" xfId="8149" builtinId="9" hidden="1"/>
    <cellStyle name="Followed Hyperlink" xfId="8151" builtinId="9" hidden="1"/>
    <cellStyle name="Followed Hyperlink" xfId="8153" builtinId="9" hidden="1"/>
    <cellStyle name="Followed Hyperlink" xfId="8155" builtinId="9" hidden="1"/>
    <cellStyle name="Followed Hyperlink" xfId="8157" builtinId="9" hidden="1"/>
    <cellStyle name="Followed Hyperlink" xfId="8159" builtinId="9" hidden="1"/>
    <cellStyle name="Followed Hyperlink" xfId="8161" builtinId="9" hidden="1"/>
    <cellStyle name="Followed Hyperlink" xfId="8163" builtinId="9" hidden="1"/>
    <cellStyle name="Followed Hyperlink" xfId="8165" builtinId="9" hidden="1"/>
    <cellStyle name="Followed Hyperlink" xfId="8167" builtinId="9" hidden="1"/>
    <cellStyle name="Followed Hyperlink" xfId="8169" builtinId="9" hidden="1"/>
    <cellStyle name="Followed Hyperlink" xfId="8171" builtinId="9" hidden="1"/>
    <cellStyle name="Followed Hyperlink" xfId="8173" builtinId="9" hidden="1"/>
    <cellStyle name="Followed Hyperlink" xfId="8175" builtinId="9" hidden="1"/>
    <cellStyle name="Followed Hyperlink" xfId="8177" builtinId="9" hidden="1"/>
    <cellStyle name="Followed Hyperlink" xfId="8179" builtinId="9" hidden="1"/>
    <cellStyle name="Followed Hyperlink" xfId="8181" builtinId="9" hidden="1"/>
    <cellStyle name="Followed Hyperlink" xfId="8183" builtinId="9" hidden="1"/>
    <cellStyle name="Followed Hyperlink" xfId="8185" builtinId="9" hidden="1"/>
    <cellStyle name="Followed Hyperlink" xfId="8187" builtinId="9" hidden="1"/>
    <cellStyle name="Followed Hyperlink" xfId="8189" builtinId="9" hidden="1"/>
    <cellStyle name="Followed Hyperlink" xfId="8191" builtinId="9" hidden="1"/>
    <cellStyle name="Followed Hyperlink" xfId="8193" builtinId="9" hidden="1"/>
    <cellStyle name="Followed Hyperlink" xfId="8195" builtinId="9" hidden="1"/>
    <cellStyle name="Followed Hyperlink" xfId="8197" builtinId="9" hidden="1"/>
    <cellStyle name="Followed Hyperlink" xfId="8199" builtinId="9" hidden="1"/>
    <cellStyle name="Followed Hyperlink" xfId="8201" builtinId="9" hidden="1"/>
    <cellStyle name="Followed Hyperlink" xfId="8203" builtinId="9" hidden="1"/>
    <cellStyle name="Followed Hyperlink" xfId="8205" builtinId="9" hidden="1"/>
    <cellStyle name="Followed Hyperlink" xfId="8207" builtinId="9" hidden="1"/>
    <cellStyle name="Followed Hyperlink" xfId="8209" builtinId="9" hidden="1"/>
    <cellStyle name="Followed Hyperlink" xfId="8211" builtinId="9" hidden="1"/>
    <cellStyle name="Followed Hyperlink" xfId="8213" builtinId="9" hidden="1"/>
    <cellStyle name="Followed Hyperlink" xfId="8215" builtinId="9" hidden="1"/>
    <cellStyle name="Followed Hyperlink" xfId="8217" builtinId="9" hidden="1"/>
    <cellStyle name="Followed Hyperlink" xfId="8219" builtinId="9" hidden="1"/>
    <cellStyle name="Followed Hyperlink" xfId="8221" builtinId="9" hidden="1"/>
    <cellStyle name="Followed Hyperlink" xfId="8223" builtinId="9" hidden="1"/>
    <cellStyle name="Followed Hyperlink" xfId="8225" builtinId="9" hidden="1"/>
    <cellStyle name="Followed Hyperlink" xfId="8227" builtinId="9" hidden="1"/>
    <cellStyle name="Followed Hyperlink" xfId="8229" builtinId="9" hidden="1"/>
    <cellStyle name="Followed Hyperlink" xfId="8231" builtinId="9" hidden="1"/>
    <cellStyle name="Followed Hyperlink" xfId="8233" builtinId="9" hidden="1"/>
    <cellStyle name="Followed Hyperlink" xfId="8235" builtinId="9" hidden="1"/>
    <cellStyle name="Followed Hyperlink" xfId="8237" builtinId="9" hidden="1"/>
    <cellStyle name="Followed Hyperlink" xfId="8239" builtinId="9" hidden="1"/>
    <cellStyle name="Followed Hyperlink" xfId="8241" builtinId="9" hidden="1"/>
    <cellStyle name="Followed Hyperlink" xfId="8243" builtinId="9" hidden="1"/>
    <cellStyle name="Followed Hyperlink" xfId="8245" builtinId="9" hidden="1"/>
    <cellStyle name="Followed Hyperlink" xfId="8247" builtinId="9" hidden="1"/>
    <cellStyle name="Followed Hyperlink" xfId="8249" builtinId="9" hidden="1"/>
    <cellStyle name="Followed Hyperlink" xfId="8251" builtinId="9" hidden="1"/>
    <cellStyle name="Followed Hyperlink" xfId="8253" builtinId="9" hidden="1"/>
    <cellStyle name="Followed Hyperlink" xfId="8255" builtinId="9" hidden="1"/>
    <cellStyle name="Followed Hyperlink" xfId="8257" builtinId="9" hidden="1"/>
    <cellStyle name="Followed Hyperlink" xfId="8259" builtinId="9" hidden="1"/>
    <cellStyle name="Followed Hyperlink" xfId="8261" builtinId="9" hidden="1"/>
    <cellStyle name="Followed Hyperlink" xfId="8263" builtinId="9" hidden="1"/>
    <cellStyle name="Followed Hyperlink" xfId="8265" builtinId="9" hidden="1"/>
    <cellStyle name="Followed Hyperlink" xfId="8267" builtinId="9" hidden="1"/>
    <cellStyle name="Followed Hyperlink" xfId="8269" builtinId="9" hidden="1"/>
    <cellStyle name="Followed Hyperlink" xfId="8271" builtinId="9" hidden="1"/>
    <cellStyle name="Followed Hyperlink" xfId="8273" builtinId="9" hidden="1"/>
    <cellStyle name="Followed Hyperlink" xfId="8275" builtinId="9" hidden="1"/>
    <cellStyle name="Followed Hyperlink" xfId="8277" builtinId="9" hidden="1"/>
    <cellStyle name="Followed Hyperlink" xfId="8279" builtinId="9" hidden="1"/>
    <cellStyle name="Followed Hyperlink" xfId="8281" builtinId="9" hidden="1"/>
    <cellStyle name="Followed Hyperlink" xfId="8283" builtinId="9" hidden="1"/>
    <cellStyle name="Followed Hyperlink" xfId="8285" builtinId="9" hidden="1"/>
    <cellStyle name="Followed Hyperlink" xfId="8287" builtinId="9" hidden="1"/>
    <cellStyle name="Followed Hyperlink" xfId="8289" builtinId="9" hidden="1"/>
    <cellStyle name="Followed Hyperlink" xfId="8291" builtinId="9" hidden="1"/>
    <cellStyle name="Followed Hyperlink" xfId="8293" builtinId="9" hidden="1"/>
    <cellStyle name="Followed Hyperlink" xfId="8295" builtinId="9" hidden="1"/>
    <cellStyle name="Followed Hyperlink" xfId="8297" builtinId="9" hidden="1"/>
    <cellStyle name="Followed Hyperlink" xfId="8299" builtinId="9" hidden="1"/>
    <cellStyle name="Followed Hyperlink" xfId="8301" builtinId="9" hidden="1"/>
    <cellStyle name="Followed Hyperlink" xfId="8303" builtinId="9" hidden="1"/>
    <cellStyle name="Followed Hyperlink" xfId="8305" builtinId="9" hidden="1"/>
    <cellStyle name="Followed Hyperlink" xfId="8307" builtinId="9" hidden="1"/>
    <cellStyle name="Followed Hyperlink" xfId="8309" builtinId="9" hidden="1"/>
    <cellStyle name="Followed Hyperlink" xfId="8311" builtinId="9" hidden="1"/>
    <cellStyle name="Followed Hyperlink" xfId="8313" builtinId="9" hidden="1"/>
    <cellStyle name="Followed Hyperlink" xfId="8315" builtinId="9" hidden="1"/>
    <cellStyle name="Followed Hyperlink" xfId="8317" builtinId="9" hidden="1"/>
    <cellStyle name="Followed Hyperlink" xfId="8319" builtinId="9" hidden="1"/>
    <cellStyle name="Followed Hyperlink" xfId="8321" builtinId="9" hidden="1"/>
    <cellStyle name="Followed Hyperlink" xfId="8323" builtinId="9" hidden="1"/>
    <cellStyle name="Followed Hyperlink" xfId="8325" builtinId="9" hidden="1"/>
    <cellStyle name="Followed Hyperlink" xfId="8327" builtinId="9" hidden="1"/>
    <cellStyle name="Followed Hyperlink" xfId="8329" builtinId="9" hidden="1"/>
    <cellStyle name="Followed Hyperlink" xfId="8331" builtinId="9" hidden="1"/>
    <cellStyle name="Followed Hyperlink" xfId="8333" builtinId="9" hidden="1"/>
    <cellStyle name="Followed Hyperlink" xfId="8335" builtinId="9" hidden="1"/>
    <cellStyle name="Followed Hyperlink" xfId="8337" builtinId="9" hidden="1"/>
    <cellStyle name="Followed Hyperlink" xfId="8339" builtinId="9" hidden="1"/>
    <cellStyle name="Followed Hyperlink" xfId="8341" builtinId="9" hidden="1"/>
    <cellStyle name="Followed Hyperlink" xfId="8343" builtinId="9" hidden="1"/>
    <cellStyle name="Followed Hyperlink" xfId="8345" builtinId="9" hidden="1"/>
    <cellStyle name="Followed Hyperlink" xfId="8347" builtinId="9" hidden="1"/>
    <cellStyle name="Followed Hyperlink" xfId="8349" builtinId="9" hidden="1"/>
    <cellStyle name="Followed Hyperlink" xfId="8351" builtinId="9" hidden="1"/>
    <cellStyle name="Followed Hyperlink" xfId="8353" builtinId="9" hidden="1"/>
    <cellStyle name="Followed Hyperlink" xfId="8355" builtinId="9" hidden="1"/>
    <cellStyle name="Followed Hyperlink" xfId="8357" builtinId="9" hidden="1"/>
    <cellStyle name="Followed Hyperlink" xfId="8359" builtinId="9" hidden="1"/>
    <cellStyle name="Followed Hyperlink" xfId="8361" builtinId="9" hidden="1"/>
    <cellStyle name="Followed Hyperlink" xfId="8363" builtinId="9" hidden="1"/>
    <cellStyle name="Followed Hyperlink" xfId="8365" builtinId="9" hidden="1"/>
    <cellStyle name="Followed Hyperlink" xfId="8367" builtinId="9" hidden="1"/>
    <cellStyle name="Followed Hyperlink" xfId="8369" builtinId="9" hidden="1"/>
    <cellStyle name="Followed Hyperlink" xfId="8371" builtinId="9" hidden="1"/>
    <cellStyle name="Followed Hyperlink" xfId="8373" builtinId="9" hidden="1"/>
    <cellStyle name="Followed Hyperlink" xfId="8375" builtinId="9" hidden="1"/>
    <cellStyle name="Followed Hyperlink" xfId="8377" builtinId="9" hidden="1"/>
    <cellStyle name="Followed Hyperlink" xfId="8379" builtinId="9" hidden="1"/>
    <cellStyle name="Followed Hyperlink" xfId="8381" builtinId="9" hidden="1"/>
    <cellStyle name="Followed Hyperlink" xfId="8383" builtinId="9" hidden="1"/>
    <cellStyle name="Followed Hyperlink" xfId="8385" builtinId="9" hidden="1"/>
    <cellStyle name="Followed Hyperlink" xfId="8387" builtinId="9" hidden="1"/>
    <cellStyle name="Followed Hyperlink" xfId="8389" builtinId="9" hidden="1"/>
    <cellStyle name="Followed Hyperlink" xfId="8391" builtinId="9" hidden="1"/>
    <cellStyle name="Followed Hyperlink" xfId="8393" builtinId="9" hidden="1"/>
    <cellStyle name="Followed Hyperlink" xfId="8395" builtinId="9" hidden="1"/>
    <cellStyle name="Followed Hyperlink" xfId="8397" builtinId="9" hidden="1"/>
    <cellStyle name="Followed Hyperlink" xfId="8399" builtinId="9" hidden="1"/>
    <cellStyle name="Followed Hyperlink" xfId="8401" builtinId="9" hidden="1"/>
    <cellStyle name="Followed Hyperlink" xfId="8403" builtinId="9" hidden="1"/>
    <cellStyle name="Followed Hyperlink" xfId="8405" builtinId="9" hidden="1"/>
    <cellStyle name="Followed Hyperlink" xfId="8407" builtinId="9" hidden="1"/>
    <cellStyle name="Followed Hyperlink" xfId="8409" builtinId="9" hidden="1"/>
    <cellStyle name="Followed Hyperlink" xfId="8411" builtinId="9" hidden="1"/>
    <cellStyle name="Followed Hyperlink" xfId="8413" builtinId="9" hidden="1"/>
    <cellStyle name="Followed Hyperlink" xfId="8415" builtinId="9" hidden="1"/>
    <cellStyle name="Followed Hyperlink" xfId="8417" builtinId="9" hidden="1"/>
    <cellStyle name="Followed Hyperlink" xfId="8419" builtinId="9" hidden="1"/>
    <cellStyle name="Followed Hyperlink" xfId="8421" builtinId="9" hidden="1"/>
    <cellStyle name="Followed Hyperlink" xfId="8423" builtinId="9" hidden="1"/>
    <cellStyle name="Followed Hyperlink" xfId="8425" builtinId="9" hidden="1"/>
    <cellStyle name="Followed Hyperlink" xfId="8427" builtinId="9" hidden="1"/>
    <cellStyle name="Followed Hyperlink" xfId="8429" builtinId="9" hidden="1"/>
    <cellStyle name="Followed Hyperlink" xfId="8431" builtinId="9" hidden="1"/>
    <cellStyle name="Followed Hyperlink" xfId="8433" builtinId="9" hidden="1"/>
    <cellStyle name="Followed Hyperlink" xfId="8435" builtinId="9" hidden="1"/>
    <cellStyle name="Followed Hyperlink" xfId="8437" builtinId="9" hidden="1"/>
    <cellStyle name="Followed Hyperlink" xfId="8439" builtinId="9" hidden="1"/>
    <cellStyle name="Followed Hyperlink" xfId="8441" builtinId="9" hidden="1"/>
    <cellStyle name="Followed Hyperlink" xfId="8443" builtinId="9" hidden="1"/>
    <cellStyle name="Followed Hyperlink" xfId="8445" builtinId="9" hidden="1"/>
    <cellStyle name="Followed Hyperlink" xfId="8447" builtinId="9" hidden="1"/>
    <cellStyle name="Followed Hyperlink" xfId="8449" builtinId="9" hidden="1"/>
    <cellStyle name="Followed Hyperlink" xfId="8451" builtinId="9" hidden="1"/>
    <cellStyle name="Followed Hyperlink" xfId="8453" builtinId="9" hidden="1"/>
    <cellStyle name="Followed Hyperlink" xfId="8455" builtinId="9" hidden="1"/>
    <cellStyle name="Followed Hyperlink" xfId="8457" builtinId="9" hidden="1"/>
    <cellStyle name="Followed Hyperlink" xfId="8459" builtinId="9" hidden="1"/>
    <cellStyle name="Followed Hyperlink" xfId="8461" builtinId="9" hidden="1"/>
    <cellStyle name="Followed Hyperlink" xfId="8463" builtinId="9" hidden="1"/>
    <cellStyle name="Followed Hyperlink" xfId="8465" builtinId="9" hidden="1"/>
    <cellStyle name="Followed Hyperlink" xfId="8467" builtinId="9" hidden="1"/>
    <cellStyle name="Followed Hyperlink" xfId="8469" builtinId="9" hidden="1"/>
    <cellStyle name="Followed Hyperlink" xfId="8471" builtinId="9" hidden="1"/>
    <cellStyle name="Followed Hyperlink" xfId="8473" builtinId="9" hidden="1"/>
    <cellStyle name="Followed Hyperlink" xfId="8475" builtinId="9" hidden="1"/>
    <cellStyle name="Followed Hyperlink" xfId="8477" builtinId="9" hidden="1"/>
    <cellStyle name="Followed Hyperlink" xfId="8479" builtinId="9" hidden="1"/>
    <cellStyle name="Followed Hyperlink" xfId="8481" builtinId="9" hidden="1"/>
    <cellStyle name="Followed Hyperlink" xfId="8483" builtinId="9" hidden="1"/>
    <cellStyle name="Followed Hyperlink" xfId="8485" builtinId="9" hidden="1"/>
    <cellStyle name="Followed Hyperlink" xfId="8487" builtinId="9" hidden="1"/>
    <cellStyle name="Followed Hyperlink" xfId="8489" builtinId="9" hidden="1"/>
    <cellStyle name="Followed Hyperlink" xfId="8491" builtinId="9" hidden="1"/>
    <cellStyle name="Followed Hyperlink" xfId="8493" builtinId="9" hidden="1"/>
    <cellStyle name="Followed Hyperlink" xfId="8496" builtinId="9" hidden="1"/>
    <cellStyle name="Followed Hyperlink" xfId="8498" builtinId="9" hidden="1"/>
    <cellStyle name="Followed Hyperlink" xfId="8500" builtinId="9" hidden="1"/>
    <cellStyle name="Followed Hyperlink" xfId="8502" builtinId="9" hidden="1"/>
    <cellStyle name="Followed Hyperlink" xfId="8504" builtinId="9" hidden="1"/>
    <cellStyle name="Followed Hyperlink" xfId="8506" builtinId="9" hidden="1"/>
    <cellStyle name="Followed Hyperlink" xfId="8508" builtinId="9" hidden="1"/>
    <cellStyle name="Followed Hyperlink" xfId="8510" builtinId="9" hidden="1"/>
    <cellStyle name="Followed Hyperlink" xfId="8512" builtinId="9" hidden="1"/>
    <cellStyle name="Followed Hyperlink" xfId="8514" builtinId="9" hidden="1"/>
    <cellStyle name="Followed Hyperlink" xfId="8516" builtinId="9" hidden="1"/>
    <cellStyle name="Followed Hyperlink" xfId="8518" builtinId="9" hidden="1"/>
    <cellStyle name="Followed Hyperlink" xfId="8520" builtinId="9" hidden="1"/>
    <cellStyle name="Followed Hyperlink" xfId="8522" builtinId="9" hidden="1"/>
    <cellStyle name="Followed Hyperlink" xfId="8524" builtinId="9" hidden="1"/>
    <cellStyle name="Followed Hyperlink" xfId="8526" builtinId="9" hidden="1"/>
    <cellStyle name="Followed Hyperlink" xfId="8528" builtinId="9" hidden="1"/>
    <cellStyle name="Followed Hyperlink" xfId="8530" builtinId="9" hidden="1"/>
    <cellStyle name="Followed Hyperlink" xfId="8532" builtinId="9" hidden="1"/>
    <cellStyle name="Followed Hyperlink" xfId="8534" builtinId="9" hidden="1"/>
    <cellStyle name="Followed Hyperlink" xfId="8536" builtinId="9" hidden="1"/>
    <cellStyle name="Followed Hyperlink" xfId="8538" builtinId="9" hidden="1"/>
    <cellStyle name="Followed Hyperlink" xfId="8540" builtinId="9" hidden="1"/>
    <cellStyle name="Followed Hyperlink" xfId="8542" builtinId="9" hidden="1"/>
    <cellStyle name="Followed Hyperlink" xfId="8544" builtinId="9" hidden="1"/>
    <cellStyle name="Followed Hyperlink" xfId="8546" builtinId="9" hidden="1"/>
    <cellStyle name="Followed Hyperlink" xfId="8548" builtinId="9" hidden="1"/>
    <cellStyle name="Followed Hyperlink" xfId="8550" builtinId="9" hidden="1"/>
    <cellStyle name="Followed Hyperlink" xfId="8552" builtinId="9" hidden="1"/>
    <cellStyle name="Followed Hyperlink" xfId="8554" builtinId="9" hidden="1"/>
    <cellStyle name="Followed Hyperlink" xfId="8556" builtinId="9" hidden="1"/>
    <cellStyle name="Followed Hyperlink" xfId="8558" builtinId="9" hidden="1"/>
    <cellStyle name="Followed Hyperlink" xfId="8560" builtinId="9" hidden="1"/>
    <cellStyle name="Followed Hyperlink" xfId="8562" builtinId="9" hidden="1"/>
    <cellStyle name="Followed Hyperlink" xfId="8564" builtinId="9" hidden="1"/>
    <cellStyle name="Followed Hyperlink" xfId="8566" builtinId="9" hidden="1"/>
    <cellStyle name="Followed Hyperlink" xfId="8568" builtinId="9" hidden="1"/>
    <cellStyle name="Followed Hyperlink" xfId="8570" builtinId="9" hidden="1"/>
    <cellStyle name="Followed Hyperlink" xfId="8572" builtinId="9" hidden="1"/>
    <cellStyle name="Followed Hyperlink" xfId="8574" builtinId="9" hidden="1"/>
    <cellStyle name="Followed Hyperlink" xfId="8576" builtinId="9" hidden="1"/>
    <cellStyle name="Followed Hyperlink" xfId="8578" builtinId="9" hidden="1"/>
    <cellStyle name="Followed Hyperlink" xfId="8580" builtinId="9" hidden="1"/>
    <cellStyle name="Followed Hyperlink" xfId="8582" builtinId="9" hidden="1"/>
    <cellStyle name="Followed Hyperlink" xfId="8584" builtinId="9" hidden="1"/>
    <cellStyle name="Followed Hyperlink" xfId="8586" builtinId="9" hidden="1"/>
    <cellStyle name="Followed Hyperlink" xfId="8588" builtinId="9" hidden="1"/>
    <cellStyle name="Followed Hyperlink" xfId="8590" builtinId="9" hidden="1"/>
    <cellStyle name="Followed Hyperlink" xfId="8592" builtinId="9" hidden="1"/>
    <cellStyle name="Followed Hyperlink" xfId="8594" builtinId="9" hidden="1"/>
    <cellStyle name="Followed Hyperlink" xfId="8596" builtinId="9" hidden="1"/>
    <cellStyle name="Followed Hyperlink" xfId="8598" builtinId="9" hidden="1"/>
    <cellStyle name="Followed Hyperlink" xfId="8600" builtinId="9" hidden="1"/>
    <cellStyle name="Followed Hyperlink" xfId="8602" builtinId="9" hidden="1"/>
    <cellStyle name="Followed Hyperlink" xfId="8604" builtinId="9" hidden="1"/>
    <cellStyle name="Followed Hyperlink" xfId="8606" builtinId="9" hidden="1"/>
    <cellStyle name="Followed Hyperlink" xfId="8608" builtinId="9" hidden="1"/>
    <cellStyle name="Followed Hyperlink" xfId="8610" builtinId="9" hidden="1"/>
    <cellStyle name="Followed Hyperlink" xfId="8612" builtinId="9" hidden="1"/>
    <cellStyle name="Followed Hyperlink" xfId="8614" builtinId="9" hidden="1"/>
    <cellStyle name="Followed Hyperlink" xfId="8616" builtinId="9" hidden="1"/>
    <cellStyle name="Followed Hyperlink" xfId="8618" builtinId="9" hidden="1"/>
    <cellStyle name="Followed Hyperlink" xfId="8620" builtinId="9" hidden="1"/>
    <cellStyle name="Followed Hyperlink" xfId="8622" builtinId="9" hidden="1"/>
    <cellStyle name="Followed Hyperlink" xfId="8624" builtinId="9" hidden="1"/>
    <cellStyle name="Followed Hyperlink" xfId="8626" builtinId="9" hidden="1"/>
    <cellStyle name="Followed Hyperlink" xfId="8628" builtinId="9" hidden="1"/>
    <cellStyle name="Followed Hyperlink" xfId="8630" builtinId="9" hidden="1"/>
    <cellStyle name="Followed Hyperlink" xfId="8632" builtinId="9" hidden="1"/>
    <cellStyle name="Followed Hyperlink" xfId="8634" builtinId="9" hidden="1"/>
    <cellStyle name="Followed Hyperlink" xfId="8636" builtinId="9" hidden="1"/>
    <cellStyle name="Followed Hyperlink" xfId="8638" builtinId="9" hidden="1"/>
    <cellStyle name="Followed Hyperlink" xfId="8640" builtinId="9" hidden="1"/>
    <cellStyle name="Followed Hyperlink" xfId="8642" builtinId="9" hidden="1"/>
    <cellStyle name="Followed Hyperlink" xfId="8644" builtinId="9" hidden="1"/>
    <cellStyle name="Followed Hyperlink" xfId="8646" builtinId="9" hidden="1"/>
    <cellStyle name="Followed Hyperlink" xfId="8648" builtinId="9" hidden="1"/>
    <cellStyle name="Followed Hyperlink" xfId="8650" builtinId="9" hidden="1"/>
    <cellStyle name="Followed Hyperlink" xfId="8652" builtinId="9" hidden="1"/>
    <cellStyle name="Followed Hyperlink" xfId="8654" builtinId="9" hidden="1"/>
    <cellStyle name="Followed Hyperlink" xfId="8656" builtinId="9" hidden="1"/>
    <cellStyle name="Followed Hyperlink" xfId="8658" builtinId="9" hidden="1"/>
    <cellStyle name="Followed Hyperlink" xfId="8660" builtinId="9" hidden="1"/>
    <cellStyle name="Followed Hyperlink" xfId="8662" builtinId="9" hidden="1"/>
    <cellStyle name="Followed Hyperlink" xfId="8664" builtinId="9" hidden="1"/>
    <cellStyle name="Followed Hyperlink" xfId="8666" builtinId="9" hidden="1"/>
    <cellStyle name="Followed Hyperlink" xfId="8668" builtinId="9" hidden="1"/>
    <cellStyle name="Followed Hyperlink" xfId="8670" builtinId="9" hidden="1"/>
    <cellStyle name="Followed Hyperlink" xfId="8672" builtinId="9" hidden="1"/>
    <cellStyle name="Followed Hyperlink" xfId="8674" builtinId="9" hidden="1"/>
    <cellStyle name="Followed Hyperlink" xfId="8676" builtinId="9" hidden="1"/>
    <cellStyle name="Followed Hyperlink" xfId="8678" builtinId="9" hidden="1"/>
    <cellStyle name="Followed Hyperlink" xfId="8680" builtinId="9" hidden="1"/>
    <cellStyle name="Followed Hyperlink" xfId="8682" builtinId="9" hidden="1"/>
    <cellStyle name="Followed Hyperlink" xfId="8684" builtinId="9" hidden="1"/>
    <cellStyle name="Followed Hyperlink" xfId="8687" builtinId="9" hidden="1"/>
    <cellStyle name="Followed Hyperlink" xfId="8689" builtinId="9" hidden="1"/>
    <cellStyle name="Followed Hyperlink" xfId="8691" builtinId="9" hidden="1"/>
    <cellStyle name="Followed Hyperlink" xfId="8693" builtinId="9" hidden="1"/>
    <cellStyle name="Followed Hyperlink" xfId="8695" builtinId="9" hidden="1"/>
    <cellStyle name="Followed Hyperlink" xfId="8697" builtinId="9" hidden="1"/>
    <cellStyle name="Followed Hyperlink" xfId="8699" builtinId="9" hidden="1"/>
    <cellStyle name="Followed Hyperlink" xfId="8701" builtinId="9" hidden="1"/>
    <cellStyle name="Followed Hyperlink" xfId="8703" builtinId="9" hidden="1"/>
    <cellStyle name="Followed Hyperlink" xfId="8705" builtinId="9" hidden="1"/>
    <cellStyle name="Followed Hyperlink" xfId="8707" builtinId="9" hidden="1"/>
    <cellStyle name="Followed Hyperlink" xfId="8709" builtinId="9" hidden="1"/>
    <cellStyle name="Followed Hyperlink" xfId="8711"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74" builtinId="8" hidden="1"/>
    <cellStyle name="Hyperlink" xfId="676" builtinId="8" hidden="1"/>
    <cellStyle name="Hyperlink" xfId="678" builtinId="8" hidden="1"/>
    <cellStyle name="Hyperlink" xfId="680" builtinId="8" hidden="1"/>
    <cellStyle name="Hyperlink" xfId="68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0" builtinId="8" hidden="1"/>
    <cellStyle name="Hyperlink" xfId="732" builtinId="8" hidden="1"/>
    <cellStyle name="Hyperlink" xfId="734" builtinId="8" hidden="1"/>
    <cellStyle name="Hyperlink" xfId="736" builtinId="8" hidden="1"/>
    <cellStyle name="Hyperlink" xfId="738" builtinId="8" hidden="1"/>
    <cellStyle name="Hyperlink" xfId="740" builtinId="8" hidden="1"/>
    <cellStyle name="Hyperlink" xfId="742" builtinId="8" hidden="1"/>
    <cellStyle name="Hyperlink" xfId="744" builtinId="8" hidden="1"/>
    <cellStyle name="Hyperlink" xfId="746" builtinId="8" hidden="1"/>
    <cellStyle name="Hyperlink" xfId="748" builtinId="8" hidden="1"/>
    <cellStyle name="Hyperlink" xfId="750" builtinId="8" hidden="1"/>
    <cellStyle name="Hyperlink" xfId="752" builtinId="8" hidden="1"/>
    <cellStyle name="Hyperlink" xfId="754" builtinId="8" hidden="1"/>
    <cellStyle name="Hyperlink" xfId="756" builtinId="8" hidden="1"/>
    <cellStyle name="Hyperlink" xfId="758" builtinId="8" hidden="1"/>
    <cellStyle name="Hyperlink" xfId="760" builtinId="8" hidden="1"/>
    <cellStyle name="Hyperlink" xfId="762" builtinId="8" hidden="1"/>
    <cellStyle name="Hyperlink" xfId="764" builtinId="8" hidden="1"/>
    <cellStyle name="Hyperlink" xfId="766" builtinId="8" hidden="1"/>
    <cellStyle name="Hyperlink" xfId="768" builtinId="8" hidden="1"/>
    <cellStyle name="Hyperlink" xfId="770" builtinId="8" hidden="1"/>
    <cellStyle name="Hyperlink" xfId="772" builtinId="8" hidden="1"/>
    <cellStyle name="Hyperlink" xfId="774" builtinId="8" hidden="1"/>
    <cellStyle name="Hyperlink" xfId="776" builtinId="8" hidden="1"/>
    <cellStyle name="Hyperlink" xfId="778" builtinId="8" hidden="1"/>
    <cellStyle name="Hyperlink" xfId="780" builtinId="8" hidden="1"/>
    <cellStyle name="Hyperlink" xfId="782" builtinId="8" hidden="1"/>
    <cellStyle name="Hyperlink" xfId="784" builtinId="8" hidden="1"/>
    <cellStyle name="Hyperlink" xfId="786" builtinId="8" hidden="1"/>
    <cellStyle name="Hyperlink" xfId="788" builtinId="8" hidden="1"/>
    <cellStyle name="Hyperlink" xfId="790" builtinId="8" hidden="1"/>
    <cellStyle name="Hyperlink" xfId="792" builtinId="8" hidden="1"/>
    <cellStyle name="Hyperlink" xfId="794" builtinId="8" hidden="1"/>
    <cellStyle name="Hyperlink" xfId="796" builtinId="8" hidden="1"/>
    <cellStyle name="Hyperlink" xfId="798" builtinId="8" hidden="1"/>
    <cellStyle name="Hyperlink" xfId="800" builtinId="8" hidden="1"/>
    <cellStyle name="Hyperlink" xfId="802" builtinId="8" hidden="1"/>
    <cellStyle name="Hyperlink" xfId="804" builtinId="8" hidden="1"/>
    <cellStyle name="Hyperlink" xfId="806" builtinId="8" hidden="1"/>
    <cellStyle name="Hyperlink" xfId="808" builtinId="8" hidden="1"/>
    <cellStyle name="Hyperlink" xfId="810" builtinId="8" hidden="1"/>
    <cellStyle name="Hyperlink" xfId="812" builtinId="8" hidden="1"/>
    <cellStyle name="Hyperlink" xfId="814" builtinId="8" hidden="1"/>
    <cellStyle name="Hyperlink" xfId="816" builtinId="8" hidden="1"/>
    <cellStyle name="Hyperlink" xfId="818" builtinId="8" hidden="1"/>
    <cellStyle name="Hyperlink" xfId="820" builtinId="8" hidden="1"/>
    <cellStyle name="Hyperlink" xfId="822" builtinId="8" hidden="1"/>
    <cellStyle name="Hyperlink" xfId="824" builtinId="8" hidden="1"/>
    <cellStyle name="Hyperlink" xfId="826" builtinId="8" hidden="1"/>
    <cellStyle name="Hyperlink" xfId="828" builtinId="8" hidden="1"/>
    <cellStyle name="Hyperlink" xfId="830" builtinId="8" hidden="1"/>
    <cellStyle name="Hyperlink" xfId="832" builtinId="8" hidden="1"/>
    <cellStyle name="Hyperlink" xfId="834" builtinId="8" hidden="1"/>
    <cellStyle name="Hyperlink" xfId="836" builtinId="8" hidden="1"/>
    <cellStyle name="Hyperlink" xfId="838" builtinId="8" hidden="1"/>
    <cellStyle name="Hyperlink" xfId="840" builtinId="8" hidden="1"/>
    <cellStyle name="Hyperlink" xfId="842" builtinId="8" hidden="1"/>
    <cellStyle name="Hyperlink" xfId="844" builtinId="8" hidden="1"/>
    <cellStyle name="Hyperlink" xfId="846" builtinId="8" hidden="1"/>
    <cellStyle name="Hyperlink" xfId="848" builtinId="8" hidden="1"/>
    <cellStyle name="Hyperlink" xfId="850" builtinId="8" hidden="1"/>
    <cellStyle name="Hyperlink" xfId="852" builtinId="8" hidden="1"/>
    <cellStyle name="Hyperlink" xfId="854" builtinId="8" hidden="1"/>
    <cellStyle name="Hyperlink" xfId="856" builtinId="8" hidden="1"/>
    <cellStyle name="Hyperlink" xfId="858" builtinId="8" hidden="1"/>
    <cellStyle name="Hyperlink" xfId="860" builtinId="8" hidden="1"/>
    <cellStyle name="Hyperlink" xfId="862" builtinId="8" hidden="1"/>
    <cellStyle name="Hyperlink" xfId="864" builtinId="8" hidden="1"/>
    <cellStyle name="Hyperlink" xfId="866" builtinId="8" hidden="1"/>
    <cellStyle name="Hyperlink" xfId="868" builtinId="8" hidden="1"/>
    <cellStyle name="Hyperlink" xfId="870" builtinId="8" hidden="1"/>
    <cellStyle name="Hyperlink" xfId="872" builtinId="8" hidden="1"/>
    <cellStyle name="Hyperlink" xfId="874" builtinId="8" hidden="1"/>
    <cellStyle name="Hyperlink" xfId="876" builtinId="8" hidden="1"/>
    <cellStyle name="Hyperlink" xfId="878" builtinId="8" hidden="1"/>
    <cellStyle name="Hyperlink" xfId="880" builtinId="8" hidden="1"/>
    <cellStyle name="Hyperlink" xfId="882" builtinId="8" hidden="1"/>
    <cellStyle name="Hyperlink" xfId="884" builtinId="8" hidden="1"/>
    <cellStyle name="Hyperlink" xfId="886" builtinId="8" hidden="1"/>
    <cellStyle name="Hyperlink" xfId="888" builtinId="8" hidden="1"/>
    <cellStyle name="Hyperlink" xfId="890" builtinId="8" hidden="1"/>
    <cellStyle name="Hyperlink" xfId="892" builtinId="8" hidden="1"/>
    <cellStyle name="Hyperlink" xfId="894" builtinId="8" hidden="1"/>
    <cellStyle name="Hyperlink" xfId="896" builtinId="8" hidden="1"/>
    <cellStyle name="Hyperlink" xfId="898" builtinId="8" hidden="1"/>
    <cellStyle name="Hyperlink" xfId="900" builtinId="8" hidden="1"/>
    <cellStyle name="Hyperlink" xfId="902" builtinId="8" hidden="1"/>
    <cellStyle name="Hyperlink" xfId="904" builtinId="8" hidden="1"/>
    <cellStyle name="Hyperlink" xfId="906" builtinId="8" hidden="1"/>
    <cellStyle name="Hyperlink" xfId="908" builtinId="8" hidden="1"/>
    <cellStyle name="Hyperlink" xfId="910" builtinId="8" hidden="1"/>
    <cellStyle name="Hyperlink" xfId="912" builtinId="8" hidden="1"/>
    <cellStyle name="Hyperlink" xfId="914" builtinId="8" hidden="1"/>
    <cellStyle name="Hyperlink" xfId="916" builtinId="8" hidden="1"/>
    <cellStyle name="Hyperlink" xfId="918" builtinId="8" hidden="1"/>
    <cellStyle name="Hyperlink" xfId="920" builtinId="8" hidden="1"/>
    <cellStyle name="Hyperlink" xfId="922" builtinId="8" hidden="1"/>
    <cellStyle name="Hyperlink" xfId="924" builtinId="8" hidden="1"/>
    <cellStyle name="Hyperlink" xfId="926" builtinId="8" hidden="1"/>
    <cellStyle name="Hyperlink" xfId="928" builtinId="8" hidden="1"/>
    <cellStyle name="Hyperlink" xfId="930" builtinId="8" hidden="1"/>
    <cellStyle name="Hyperlink" xfId="932" builtinId="8" hidden="1"/>
    <cellStyle name="Hyperlink" xfId="934" builtinId="8" hidden="1"/>
    <cellStyle name="Hyperlink" xfId="936" builtinId="8" hidden="1"/>
    <cellStyle name="Hyperlink" xfId="938" builtinId="8" hidden="1"/>
    <cellStyle name="Hyperlink" xfId="940" builtinId="8" hidden="1"/>
    <cellStyle name="Hyperlink" xfId="942" builtinId="8" hidden="1"/>
    <cellStyle name="Hyperlink" xfId="944" builtinId="8" hidden="1"/>
    <cellStyle name="Hyperlink" xfId="946" builtinId="8" hidden="1"/>
    <cellStyle name="Hyperlink" xfId="948" builtinId="8" hidden="1"/>
    <cellStyle name="Hyperlink" xfId="950" builtinId="8" hidden="1"/>
    <cellStyle name="Hyperlink" xfId="952" builtinId="8" hidden="1"/>
    <cellStyle name="Hyperlink" xfId="954" builtinId="8" hidden="1"/>
    <cellStyle name="Hyperlink" xfId="956" builtinId="8" hidden="1"/>
    <cellStyle name="Hyperlink" xfId="958" builtinId="8" hidden="1"/>
    <cellStyle name="Hyperlink" xfId="960" builtinId="8" hidden="1"/>
    <cellStyle name="Hyperlink" xfId="962" builtinId="8" hidden="1"/>
    <cellStyle name="Hyperlink" xfId="964" builtinId="8" hidden="1"/>
    <cellStyle name="Hyperlink" xfId="966" builtinId="8" hidden="1"/>
    <cellStyle name="Hyperlink" xfId="968" builtinId="8" hidden="1"/>
    <cellStyle name="Hyperlink" xfId="970" builtinId="8" hidden="1"/>
    <cellStyle name="Hyperlink" xfId="972" builtinId="8" hidden="1"/>
    <cellStyle name="Hyperlink" xfId="974" builtinId="8" hidden="1"/>
    <cellStyle name="Hyperlink" xfId="976" builtinId="8" hidden="1"/>
    <cellStyle name="Hyperlink" xfId="978" builtinId="8" hidden="1"/>
    <cellStyle name="Hyperlink" xfId="980" builtinId="8" hidden="1"/>
    <cellStyle name="Hyperlink" xfId="982" builtinId="8" hidden="1"/>
    <cellStyle name="Hyperlink" xfId="984" builtinId="8" hidden="1"/>
    <cellStyle name="Hyperlink" xfId="986" builtinId="8" hidden="1"/>
    <cellStyle name="Hyperlink" xfId="988" builtinId="8" hidden="1"/>
    <cellStyle name="Hyperlink" xfId="990" builtinId="8" hidden="1"/>
    <cellStyle name="Hyperlink" xfId="992" builtinId="8" hidden="1"/>
    <cellStyle name="Hyperlink" xfId="994" builtinId="8" hidden="1"/>
    <cellStyle name="Hyperlink" xfId="996" builtinId="8" hidden="1"/>
    <cellStyle name="Hyperlink" xfId="998" builtinId="8" hidden="1"/>
    <cellStyle name="Hyperlink" xfId="1000" builtinId="8" hidden="1"/>
    <cellStyle name="Hyperlink" xfId="1002" builtinId="8" hidden="1"/>
    <cellStyle name="Hyperlink" xfId="1004" builtinId="8" hidden="1"/>
    <cellStyle name="Hyperlink" xfId="1006" builtinId="8" hidden="1"/>
    <cellStyle name="Hyperlink" xfId="1008" builtinId="8" hidden="1"/>
    <cellStyle name="Hyperlink" xfId="1010" builtinId="8" hidden="1"/>
    <cellStyle name="Hyperlink" xfId="1012" builtinId="8" hidden="1"/>
    <cellStyle name="Hyperlink" xfId="1014" builtinId="8" hidden="1"/>
    <cellStyle name="Hyperlink" xfId="1016" builtinId="8" hidden="1"/>
    <cellStyle name="Hyperlink" xfId="1018" builtinId="8" hidden="1"/>
    <cellStyle name="Hyperlink" xfId="1020" builtinId="8" hidden="1"/>
    <cellStyle name="Hyperlink" xfId="1022" builtinId="8" hidden="1"/>
    <cellStyle name="Hyperlink" xfId="1024" builtinId="8" hidden="1"/>
    <cellStyle name="Hyperlink" xfId="1026" builtinId="8" hidden="1"/>
    <cellStyle name="Hyperlink" xfId="1028" builtinId="8" hidden="1"/>
    <cellStyle name="Hyperlink" xfId="1030" builtinId="8" hidden="1"/>
    <cellStyle name="Hyperlink" xfId="1032" builtinId="8" hidden="1"/>
    <cellStyle name="Hyperlink" xfId="1034" builtinId="8" hidden="1"/>
    <cellStyle name="Hyperlink" xfId="1036" builtinId="8" hidden="1"/>
    <cellStyle name="Hyperlink" xfId="1038" builtinId="8" hidden="1"/>
    <cellStyle name="Hyperlink" xfId="1040" builtinId="8" hidden="1"/>
    <cellStyle name="Hyperlink" xfId="1042" builtinId="8" hidden="1"/>
    <cellStyle name="Hyperlink" xfId="1044" builtinId="8" hidden="1"/>
    <cellStyle name="Hyperlink" xfId="1046" builtinId="8" hidden="1"/>
    <cellStyle name="Hyperlink" xfId="1048" builtinId="8" hidden="1"/>
    <cellStyle name="Hyperlink" xfId="1050" builtinId="8" hidden="1"/>
    <cellStyle name="Hyperlink" xfId="1052" builtinId="8" hidden="1"/>
    <cellStyle name="Hyperlink" xfId="1054" builtinId="8" hidden="1"/>
    <cellStyle name="Hyperlink" xfId="1056" builtinId="8" hidden="1"/>
    <cellStyle name="Hyperlink" xfId="1058" builtinId="8" hidden="1"/>
    <cellStyle name="Hyperlink" xfId="1060" builtinId="8" hidden="1"/>
    <cellStyle name="Hyperlink" xfId="1062" builtinId="8" hidden="1"/>
    <cellStyle name="Hyperlink" xfId="1064" builtinId="8" hidden="1"/>
    <cellStyle name="Hyperlink" xfId="1066" builtinId="8" hidden="1"/>
    <cellStyle name="Hyperlink" xfId="1068" builtinId="8" hidden="1"/>
    <cellStyle name="Hyperlink" xfId="1070" builtinId="8" hidden="1"/>
    <cellStyle name="Hyperlink" xfId="1072" builtinId="8" hidden="1"/>
    <cellStyle name="Hyperlink" xfId="1074" builtinId="8" hidden="1"/>
    <cellStyle name="Hyperlink" xfId="1076" builtinId="8" hidden="1"/>
    <cellStyle name="Hyperlink" xfId="1078" builtinId="8" hidden="1"/>
    <cellStyle name="Hyperlink" xfId="1080" builtinId="8" hidden="1"/>
    <cellStyle name="Hyperlink" xfId="1082" builtinId="8" hidden="1"/>
    <cellStyle name="Hyperlink" xfId="1084" builtinId="8" hidden="1"/>
    <cellStyle name="Hyperlink" xfId="1086" builtinId="8" hidden="1"/>
    <cellStyle name="Hyperlink" xfId="1088" builtinId="8" hidden="1"/>
    <cellStyle name="Hyperlink" xfId="1090" builtinId="8" hidden="1"/>
    <cellStyle name="Hyperlink" xfId="1092" builtinId="8" hidden="1"/>
    <cellStyle name="Hyperlink" xfId="1094" builtinId="8" hidden="1"/>
    <cellStyle name="Hyperlink" xfId="1096" builtinId="8" hidden="1"/>
    <cellStyle name="Hyperlink" xfId="1098" builtinId="8" hidden="1"/>
    <cellStyle name="Hyperlink" xfId="1100" builtinId="8" hidden="1"/>
    <cellStyle name="Hyperlink" xfId="1102" builtinId="8" hidden="1"/>
    <cellStyle name="Hyperlink" xfId="1104" builtinId="8" hidden="1"/>
    <cellStyle name="Hyperlink" xfId="1106" builtinId="8" hidden="1"/>
    <cellStyle name="Hyperlink" xfId="1108" builtinId="8" hidden="1"/>
    <cellStyle name="Hyperlink" xfId="1110" builtinId="8" hidden="1"/>
    <cellStyle name="Hyperlink" xfId="1112" builtinId="8" hidden="1"/>
    <cellStyle name="Hyperlink" xfId="1114" builtinId="8" hidden="1"/>
    <cellStyle name="Hyperlink" xfId="1116" builtinId="8" hidden="1"/>
    <cellStyle name="Hyperlink" xfId="1118" builtinId="8" hidden="1"/>
    <cellStyle name="Hyperlink" xfId="1120" builtinId="8" hidden="1"/>
    <cellStyle name="Hyperlink" xfId="1122" builtinId="8" hidden="1"/>
    <cellStyle name="Hyperlink" xfId="1124" builtinId="8" hidden="1"/>
    <cellStyle name="Hyperlink" xfId="1126" builtinId="8" hidden="1"/>
    <cellStyle name="Hyperlink" xfId="1128" builtinId="8" hidden="1"/>
    <cellStyle name="Hyperlink" xfId="1130" builtinId="8" hidden="1"/>
    <cellStyle name="Hyperlink" xfId="1132" builtinId="8" hidden="1"/>
    <cellStyle name="Hyperlink" xfId="1134" builtinId="8" hidden="1"/>
    <cellStyle name="Hyperlink" xfId="1136" builtinId="8" hidden="1"/>
    <cellStyle name="Hyperlink" xfId="1138" builtinId="8" hidden="1"/>
    <cellStyle name="Hyperlink" xfId="1140" builtinId="8" hidden="1"/>
    <cellStyle name="Hyperlink" xfId="1142" builtinId="8" hidden="1"/>
    <cellStyle name="Hyperlink" xfId="1144" builtinId="8" hidden="1"/>
    <cellStyle name="Hyperlink" xfId="1146" builtinId="8" hidden="1"/>
    <cellStyle name="Hyperlink" xfId="1148" builtinId="8" hidden="1"/>
    <cellStyle name="Hyperlink" xfId="1150" builtinId="8" hidden="1"/>
    <cellStyle name="Hyperlink" xfId="1152" builtinId="8" hidden="1"/>
    <cellStyle name="Hyperlink" xfId="1154" builtinId="8" hidden="1"/>
    <cellStyle name="Hyperlink" xfId="1156" builtinId="8" hidden="1"/>
    <cellStyle name="Hyperlink" xfId="1158" builtinId="8" hidden="1"/>
    <cellStyle name="Hyperlink" xfId="1160" builtinId="8" hidden="1"/>
    <cellStyle name="Hyperlink" xfId="1162" builtinId="8" hidden="1"/>
    <cellStyle name="Hyperlink" xfId="1164" builtinId="8" hidden="1"/>
    <cellStyle name="Hyperlink" xfId="1166" builtinId="8" hidden="1"/>
    <cellStyle name="Hyperlink" xfId="1168" builtinId="8" hidden="1"/>
    <cellStyle name="Hyperlink" xfId="1170" builtinId="8" hidden="1"/>
    <cellStyle name="Hyperlink" xfId="1172" builtinId="8" hidden="1"/>
    <cellStyle name="Hyperlink" xfId="1174" builtinId="8" hidden="1"/>
    <cellStyle name="Hyperlink" xfId="1176" builtinId="8" hidden="1"/>
    <cellStyle name="Hyperlink" xfId="1178" builtinId="8" hidden="1"/>
    <cellStyle name="Hyperlink" xfId="1180" builtinId="8" hidden="1"/>
    <cellStyle name="Hyperlink" xfId="1182" builtinId="8" hidden="1"/>
    <cellStyle name="Hyperlink" xfId="1184" builtinId="8" hidden="1"/>
    <cellStyle name="Hyperlink" xfId="1186" builtinId="8" hidden="1"/>
    <cellStyle name="Hyperlink" xfId="1188" builtinId="8" hidden="1"/>
    <cellStyle name="Hyperlink" xfId="1190" builtinId="8" hidden="1"/>
    <cellStyle name="Hyperlink" xfId="1192" builtinId="8" hidden="1"/>
    <cellStyle name="Hyperlink" xfId="1194" builtinId="8" hidden="1"/>
    <cellStyle name="Hyperlink" xfId="1196" builtinId="8" hidden="1"/>
    <cellStyle name="Hyperlink" xfId="1198" builtinId="8" hidden="1"/>
    <cellStyle name="Hyperlink" xfId="1200" builtinId="8" hidden="1"/>
    <cellStyle name="Hyperlink" xfId="1202" builtinId="8" hidden="1"/>
    <cellStyle name="Hyperlink" xfId="1204" builtinId="8" hidden="1"/>
    <cellStyle name="Hyperlink" xfId="1206" builtinId="8" hidden="1"/>
    <cellStyle name="Hyperlink" xfId="1208" builtinId="8" hidden="1"/>
    <cellStyle name="Hyperlink" xfId="1210" builtinId="8" hidden="1"/>
    <cellStyle name="Hyperlink" xfId="1212" builtinId="8" hidden="1"/>
    <cellStyle name="Hyperlink" xfId="1214" builtinId="8" hidden="1"/>
    <cellStyle name="Hyperlink" xfId="1216" builtinId="8" hidden="1"/>
    <cellStyle name="Hyperlink" xfId="1218" builtinId="8" hidden="1"/>
    <cellStyle name="Hyperlink" xfId="1220" builtinId="8" hidden="1"/>
    <cellStyle name="Hyperlink" xfId="1222" builtinId="8" hidden="1"/>
    <cellStyle name="Hyperlink" xfId="1224" builtinId="8" hidden="1"/>
    <cellStyle name="Hyperlink" xfId="1226" builtinId="8" hidden="1"/>
    <cellStyle name="Hyperlink" xfId="1228" builtinId="8" hidden="1"/>
    <cellStyle name="Hyperlink" xfId="1230" builtinId="8" hidden="1"/>
    <cellStyle name="Hyperlink" xfId="1232" builtinId="8" hidden="1"/>
    <cellStyle name="Hyperlink" xfId="1234" builtinId="8" hidden="1"/>
    <cellStyle name="Hyperlink" xfId="1236" builtinId="8" hidden="1"/>
    <cellStyle name="Hyperlink" xfId="1238" builtinId="8" hidden="1"/>
    <cellStyle name="Hyperlink" xfId="1240" builtinId="8" hidden="1"/>
    <cellStyle name="Hyperlink" xfId="1242" builtinId="8" hidden="1"/>
    <cellStyle name="Hyperlink" xfId="1244" builtinId="8" hidden="1"/>
    <cellStyle name="Hyperlink" xfId="1246" builtinId="8" hidden="1"/>
    <cellStyle name="Hyperlink" xfId="1248" builtinId="8" hidden="1"/>
    <cellStyle name="Hyperlink" xfId="1250" builtinId="8" hidden="1"/>
    <cellStyle name="Hyperlink" xfId="1252" builtinId="8" hidden="1"/>
    <cellStyle name="Hyperlink" xfId="1254" builtinId="8" hidden="1"/>
    <cellStyle name="Hyperlink" xfId="1256" builtinId="8" hidden="1"/>
    <cellStyle name="Hyperlink" xfId="1258" builtinId="8" hidden="1"/>
    <cellStyle name="Hyperlink" xfId="1260" builtinId="8" hidden="1"/>
    <cellStyle name="Hyperlink" xfId="1262" builtinId="8" hidden="1"/>
    <cellStyle name="Hyperlink" xfId="1264" builtinId="8" hidden="1"/>
    <cellStyle name="Hyperlink" xfId="1266" builtinId="8" hidden="1"/>
    <cellStyle name="Hyperlink" xfId="1268" builtinId="8" hidden="1"/>
    <cellStyle name="Hyperlink" xfId="1270" builtinId="8" hidden="1"/>
    <cellStyle name="Hyperlink" xfId="1272" builtinId="8" hidden="1"/>
    <cellStyle name="Hyperlink" xfId="1274" builtinId="8" hidden="1"/>
    <cellStyle name="Hyperlink" xfId="1276" builtinId="8" hidden="1"/>
    <cellStyle name="Hyperlink" xfId="1278" builtinId="8" hidden="1"/>
    <cellStyle name="Hyperlink" xfId="1280" builtinId="8" hidden="1"/>
    <cellStyle name="Hyperlink" xfId="1282" builtinId="8" hidden="1"/>
    <cellStyle name="Hyperlink" xfId="1284" builtinId="8" hidden="1"/>
    <cellStyle name="Hyperlink" xfId="1286" builtinId="8" hidden="1"/>
    <cellStyle name="Hyperlink" xfId="1288" builtinId="8" hidden="1"/>
    <cellStyle name="Hyperlink" xfId="1290" builtinId="8" hidden="1"/>
    <cellStyle name="Hyperlink" xfId="1292" builtinId="8" hidden="1"/>
    <cellStyle name="Hyperlink" xfId="1294" builtinId="8" hidden="1"/>
    <cellStyle name="Hyperlink" xfId="1296" builtinId="8" hidden="1"/>
    <cellStyle name="Hyperlink" xfId="1298" builtinId="8" hidden="1"/>
    <cellStyle name="Hyperlink" xfId="1300" builtinId="8" hidden="1"/>
    <cellStyle name="Hyperlink" xfId="1302" builtinId="8" hidden="1"/>
    <cellStyle name="Hyperlink" xfId="1304" builtinId="8" hidden="1"/>
    <cellStyle name="Hyperlink" xfId="1306" builtinId="8" hidden="1"/>
    <cellStyle name="Hyperlink" xfId="1308" builtinId="8" hidden="1"/>
    <cellStyle name="Hyperlink" xfId="1310" builtinId="8" hidden="1"/>
    <cellStyle name="Hyperlink" xfId="1312" builtinId="8" hidden="1"/>
    <cellStyle name="Hyperlink" xfId="1314" builtinId="8" hidden="1"/>
    <cellStyle name="Hyperlink" xfId="1316" builtinId="8" hidden="1"/>
    <cellStyle name="Hyperlink" xfId="1318" builtinId="8" hidden="1"/>
    <cellStyle name="Hyperlink" xfId="1320" builtinId="8" hidden="1"/>
    <cellStyle name="Hyperlink" xfId="1322" builtinId="8" hidden="1"/>
    <cellStyle name="Hyperlink" xfId="1324" builtinId="8" hidden="1"/>
    <cellStyle name="Hyperlink" xfId="1326" builtinId="8" hidden="1"/>
    <cellStyle name="Hyperlink" xfId="1328" builtinId="8" hidden="1"/>
    <cellStyle name="Hyperlink" xfId="1330" builtinId="8" hidden="1"/>
    <cellStyle name="Hyperlink" xfId="1332" builtinId="8" hidden="1"/>
    <cellStyle name="Hyperlink" xfId="1334" builtinId="8" hidden="1"/>
    <cellStyle name="Hyperlink" xfId="1336" builtinId="8" hidden="1"/>
    <cellStyle name="Hyperlink" xfId="1338" builtinId="8" hidden="1"/>
    <cellStyle name="Hyperlink" xfId="1340" builtinId="8" hidden="1"/>
    <cellStyle name="Hyperlink" xfId="1342" builtinId="8" hidden="1"/>
    <cellStyle name="Hyperlink" xfId="1344" builtinId="8" hidden="1"/>
    <cellStyle name="Hyperlink" xfId="1346" builtinId="8" hidden="1"/>
    <cellStyle name="Hyperlink" xfId="1348" builtinId="8" hidden="1"/>
    <cellStyle name="Hyperlink" xfId="1350" builtinId="8" hidden="1"/>
    <cellStyle name="Hyperlink" xfId="1352" builtinId="8" hidden="1"/>
    <cellStyle name="Hyperlink" xfId="1354" builtinId="8" hidden="1"/>
    <cellStyle name="Hyperlink" xfId="1356" builtinId="8" hidden="1"/>
    <cellStyle name="Hyperlink" xfId="1358" builtinId="8" hidden="1"/>
    <cellStyle name="Hyperlink" xfId="1360" builtinId="8" hidden="1"/>
    <cellStyle name="Hyperlink" xfId="1362" builtinId="8" hidden="1"/>
    <cellStyle name="Hyperlink" xfId="1364" builtinId="8" hidden="1"/>
    <cellStyle name="Hyperlink" xfId="1366" builtinId="8" hidden="1"/>
    <cellStyle name="Hyperlink" xfId="1368" builtinId="8" hidden="1"/>
    <cellStyle name="Hyperlink" xfId="1370" builtinId="8" hidden="1"/>
    <cellStyle name="Hyperlink" xfId="1372" builtinId="8" hidden="1"/>
    <cellStyle name="Hyperlink" xfId="1374" builtinId="8" hidden="1"/>
    <cellStyle name="Hyperlink" xfId="1376" builtinId="8" hidden="1"/>
    <cellStyle name="Hyperlink" xfId="1378" builtinId="8" hidden="1"/>
    <cellStyle name="Hyperlink" xfId="1380" builtinId="8" hidden="1"/>
    <cellStyle name="Hyperlink" xfId="1382" builtinId="8" hidden="1"/>
    <cellStyle name="Hyperlink" xfId="1384" builtinId="8" hidden="1"/>
    <cellStyle name="Hyperlink" xfId="1386" builtinId="8" hidden="1"/>
    <cellStyle name="Hyperlink" xfId="1388" builtinId="8" hidden="1"/>
    <cellStyle name="Hyperlink" xfId="1390" builtinId="8" hidden="1"/>
    <cellStyle name="Hyperlink" xfId="1392" builtinId="8" hidden="1"/>
    <cellStyle name="Hyperlink" xfId="1394" builtinId="8" hidden="1"/>
    <cellStyle name="Hyperlink" xfId="1396" builtinId="8" hidden="1"/>
    <cellStyle name="Hyperlink" xfId="1398" builtinId="8" hidden="1"/>
    <cellStyle name="Hyperlink" xfId="1400" builtinId="8" hidden="1"/>
    <cellStyle name="Hyperlink" xfId="1402" builtinId="8" hidden="1"/>
    <cellStyle name="Hyperlink" xfId="1404" builtinId="8" hidden="1"/>
    <cellStyle name="Hyperlink" xfId="1406" builtinId="8" hidden="1"/>
    <cellStyle name="Hyperlink" xfId="1408" builtinId="8" hidden="1"/>
    <cellStyle name="Hyperlink" xfId="1410" builtinId="8" hidden="1"/>
    <cellStyle name="Hyperlink" xfId="1412" builtinId="8" hidden="1"/>
    <cellStyle name="Hyperlink" xfId="1414" builtinId="8" hidden="1"/>
    <cellStyle name="Hyperlink" xfId="1416" builtinId="8" hidden="1"/>
    <cellStyle name="Hyperlink" xfId="1418" builtinId="8" hidden="1"/>
    <cellStyle name="Hyperlink" xfId="1420" builtinId="8" hidden="1"/>
    <cellStyle name="Hyperlink" xfId="1422" builtinId="8" hidden="1"/>
    <cellStyle name="Hyperlink" xfId="1424" builtinId="8" hidden="1"/>
    <cellStyle name="Hyperlink" xfId="1426" builtinId="8" hidden="1"/>
    <cellStyle name="Hyperlink" xfId="1428" builtinId="8" hidden="1"/>
    <cellStyle name="Hyperlink" xfId="1430" builtinId="8" hidden="1"/>
    <cellStyle name="Hyperlink" xfId="1432" builtinId="8" hidden="1"/>
    <cellStyle name="Hyperlink" xfId="1434" builtinId="8" hidden="1"/>
    <cellStyle name="Hyperlink" xfId="1436" builtinId="8" hidden="1"/>
    <cellStyle name="Hyperlink" xfId="1438" builtinId="8" hidden="1"/>
    <cellStyle name="Hyperlink" xfId="1440" builtinId="8" hidden="1"/>
    <cellStyle name="Hyperlink" xfId="1442" builtinId="8" hidden="1"/>
    <cellStyle name="Hyperlink" xfId="1444" builtinId="8" hidden="1"/>
    <cellStyle name="Hyperlink" xfId="1446" builtinId="8" hidden="1"/>
    <cellStyle name="Hyperlink" xfId="1448" builtinId="8" hidden="1"/>
    <cellStyle name="Hyperlink" xfId="1450" builtinId="8" hidden="1"/>
    <cellStyle name="Hyperlink" xfId="1452" builtinId="8" hidden="1"/>
    <cellStyle name="Hyperlink" xfId="1454" builtinId="8" hidden="1"/>
    <cellStyle name="Hyperlink" xfId="1456" builtinId="8" hidden="1"/>
    <cellStyle name="Hyperlink" xfId="1458" builtinId="8" hidden="1"/>
    <cellStyle name="Hyperlink" xfId="1460" builtinId="8" hidden="1"/>
    <cellStyle name="Hyperlink" xfId="1462" builtinId="8" hidden="1"/>
    <cellStyle name="Hyperlink" xfId="1464" builtinId="8" hidden="1"/>
    <cellStyle name="Hyperlink" xfId="1466" builtinId="8" hidden="1"/>
    <cellStyle name="Hyperlink" xfId="1468" builtinId="8" hidden="1"/>
    <cellStyle name="Hyperlink" xfId="1470" builtinId="8" hidden="1"/>
    <cellStyle name="Hyperlink" xfId="1472" builtinId="8" hidden="1"/>
    <cellStyle name="Hyperlink" xfId="1474" builtinId="8" hidden="1"/>
    <cellStyle name="Hyperlink" xfId="1476" builtinId="8" hidden="1"/>
    <cellStyle name="Hyperlink" xfId="1478" builtinId="8" hidden="1"/>
    <cellStyle name="Hyperlink" xfId="1480" builtinId="8" hidden="1"/>
    <cellStyle name="Hyperlink" xfId="1482" builtinId="8" hidden="1"/>
    <cellStyle name="Hyperlink" xfId="1484" builtinId="8" hidden="1"/>
    <cellStyle name="Hyperlink" xfId="1486" builtinId="8" hidden="1"/>
    <cellStyle name="Hyperlink" xfId="1488" builtinId="8" hidden="1"/>
    <cellStyle name="Hyperlink" xfId="1490" builtinId="8" hidden="1"/>
    <cellStyle name="Hyperlink" xfId="1492" builtinId="8" hidden="1"/>
    <cellStyle name="Hyperlink" xfId="1494" builtinId="8" hidden="1"/>
    <cellStyle name="Hyperlink" xfId="1496" builtinId="8" hidden="1"/>
    <cellStyle name="Hyperlink" xfId="1498" builtinId="8" hidden="1"/>
    <cellStyle name="Hyperlink" xfId="1500" builtinId="8" hidden="1"/>
    <cellStyle name="Hyperlink" xfId="1502" builtinId="8" hidden="1"/>
    <cellStyle name="Hyperlink" xfId="1504" builtinId="8" hidden="1"/>
    <cellStyle name="Hyperlink" xfId="1506" builtinId="8" hidden="1"/>
    <cellStyle name="Hyperlink" xfId="1508" builtinId="8" hidden="1"/>
    <cellStyle name="Hyperlink" xfId="1510" builtinId="8" hidden="1"/>
    <cellStyle name="Hyperlink" xfId="1512" builtinId="8" hidden="1"/>
    <cellStyle name="Hyperlink" xfId="1514" builtinId="8" hidden="1"/>
    <cellStyle name="Hyperlink" xfId="1516" builtinId="8" hidden="1"/>
    <cellStyle name="Hyperlink" xfId="1518" builtinId="8" hidden="1"/>
    <cellStyle name="Hyperlink" xfId="1520" builtinId="8" hidden="1"/>
    <cellStyle name="Hyperlink" xfId="1522" builtinId="8" hidden="1"/>
    <cellStyle name="Hyperlink" xfId="1524" builtinId="8" hidden="1"/>
    <cellStyle name="Hyperlink" xfId="1526" builtinId="8" hidden="1"/>
    <cellStyle name="Hyperlink" xfId="1528" builtinId="8" hidden="1"/>
    <cellStyle name="Hyperlink" xfId="1530" builtinId="8" hidden="1"/>
    <cellStyle name="Hyperlink" xfId="1532" builtinId="8" hidden="1"/>
    <cellStyle name="Hyperlink" xfId="1534" builtinId="8" hidden="1"/>
    <cellStyle name="Hyperlink" xfId="1536" builtinId="8" hidden="1"/>
    <cellStyle name="Hyperlink" xfId="1538" builtinId="8" hidden="1"/>
    <cellStyle name="Hyperlink" xfId="1540" builtinId="8" hidden="1"/>
    <cellStyle name="Hyperlink" xfId="1542" builtinId="8" hidden="1"/>
    <cellStyle name="Hyperlink" xfId="1544" builtinId="8" hidden="1"/>
    <cellStyle name="Hyperlink" xfId="1546" builtinId="8" hidden="1"/>
    <cellStyle name="Hyperlink" xfId="1548" builtinId="8" hidden="1"/>
    <cellStyle name="Hyperlink" xfId="1550" builtinId="8" hidden="1"/>
    <cellStyle name="Hyperlink" xfId="1552" builtinId="8" hidden="1"/>
    <cellStyle name="Hyperlink" xfId="1554" builtinId="8" hidden="1"/>
    <cellStyle name="Hyperlink" xfId="1556" builtinId="8" hidden="1"/>
    <cellStyle name="Hyperlink" xfId="1558" builtinId="8" hidden="1"/>
    <cellStyle name="Hyperlink" xfId="1560" builtinId="8" hidden="1"/>
    <cellStyle name="Hyperlink" xfId="1562" builtinId="8" hidden="1"/>
    <cellStyle name="Hyperlink" xfId="1564" builtinId="8" hidden="1"/>
    <cellStyle name="Hyperlink" xfId="1566" builtinId="8" hidden="1"/>
    <cellStyle name="Hyperlink" xfId="1568" builtinId="8" hidden="1"/>
    <cellStyle name="Hyperlink" xfId="1570" builtinId="8" hidden="1"/>
    <cellStyle name="Hyperlink" xfId="1572" builtinId="8" hidden="1"/>
    <cellStyle name="Hyperlink" xfId="1574" builtinId="8" hidden="1"/>
    <cellStyle name="Hyperlink" xfId="1576" builtinId="8" hidden="1"/>
    <cellStyle name="Hyperlink" xfId="1578" builtinId="8" hidden="1"/>
    <cellStyle name="Hyperlink" xfId="1580" builtinId="8" hidden="1"/>
    <cellStyle name="Hyperlink" xfId="1582" builtinId="8" hidden="1"/>
    <cellStyle name="Hyperlink" xfId="1584" builtinId="8" hidden="1"/>
    <cellStyle name="Hyperlink" xfId="1586" builtinId="8" hidden="1"/>
    <cellStyle name="Hyperlink" xfId="1588" builtinId="8" hidden="1"/>
    <cellStyle name="Hyperlink" xfId="1590" builtinId="8" hidden="1"/>
    <cellStyle name="Hyperlink" xfId="1592" builtinId="8" hidden="1"/>
    <cellStyle name="Hyperlink" xfId="1594" builtinId="8" hidden="1"/>
    <cellStyle name="Hyperlink" xfId="1596" builtinId="8" hidden="1"/>
    <cellStyle name="Hyperlink" xfId="1598" builtinId="8" hidden="1"/>
    <cellStyle name="Hyperlink" xfId="1600" builtinId="8" hidden="1"/>
    <cellStyle name="Hyperlink" xfId="1602" builtinId="8" hidden="1"/>
    <cellStyle name="Hyperlink" xfId="1604" builtinId="8" hidden="1"/>
    <cellStyle name="Hyperlink" xfId="1606" builtinId="8" hidden="1"/>
    <cellStyle name="Hyperlink" xfId="1608" builtinId="8" hidden="1"/>
    <cellStyle name="Hyperlink" xfId="1610" builtinId="8" hidden="1"/>
    <cellStyle name="Hyperlink" xfId="1612" builtinId="8" hidden="1"/>
    <cellStyle name="Hyperlink" xfId="1614" builtinId="8" hidden="1"/>
    <cellStyle name="Hyperlink" xfId="1616" builtinId="8" hidden="1"/>
    <cellStyle name="Hyperlink" xfId="1618" builtinId="8" hidden="1"/>
    <cellStyle name="Hyperlink" xfId="1620" builtinId="8" hidden="1"/>
    <cellStyle name="Hyperlink" xfId="1622" builtinId="8" hidden="1"/>
    <cellStyle name="Hyperlink" xfId="1624" builtinId="8" hidden="1"/>
    <cellStyle name="Hyperlink" xfId="1626" builtinId="8" hidden="1"/>
    <cellStyle name="Hyperlink" xfId="1628" builtinId="8" hidden="1"/>
    <cellStyle name="Hyperlink" xfId="1630" builtinId="8" hidden="1"/>
    <cellStyle name="Hyperlink" xfId="1632" builtinId="8" hidden="1"/>
    <cellStyle name="Hyperlink" xfId="1634" builtinId="8" hidden="1"/>
    <cellStyle name="Hyperlink" xfId="1636" builtinId="8" hidden="1"/>
    <cellStyle name="Hyperlink" xfId="1638" builtinId="8" hidden="1"/>
    <cellStyle name="Hyperlink" xfId="1640" builtinId="8" hidden="1"/>
    <cellStyle name="Hyperlink" xfId="1642" builtinId="8" hidden="1"/>
    <cellStyle name="Hyperlink" xfId="1644" builtinId="8" hidden="1"/>
    <cellStyle name="Hyperlink" xfId="1646" builtinId="8" hidden="1"/>
    <cellStyle name="Hyperlink" xfId="1648" builtinId="8" hidden="1"/>
    <cellStyle name="Hyperlink" xfId="1650" builtinId="8" hidden="1"/>
    <cellStyle name="Hyperlink" xfId="1652" builtinId="8" hidden="1"/>
    <cellStyle name="Hyperlink" xfId="1654" builtinId="8" hidden="1"/>
    <cellStyle name="Hyperlink" xfId="1656" builtinId="8" hidden="1"/>
    <cellStyle name="Hyperlink" xfId="1658" builtinId="8" hidden="1"/>
    <cellStyle name="Hyperlink" xfId="1660" builtinId="8" hidden="1"/>
    <cellStyle name="Hyperlink" xfId="1662" builtinId="8" hidden="1"/>
    <cellStyle name="Hyperlink" xfId="1664" builtinId="8" hidden="1"/>
    <cellStyle name="Hyperlink" xfId="1666" builtinId="8" hidden="1"/>
    <cellStyle name="Hyperlink" xfId="1668" builtinId="8" hidden="1"/>
    <cellStyle name="Hyperlink" xfId="1670" builtinId="8" hidden="1"/>
    <cellStyle name="Hyperlink" xfId="1672" builtinId="8" hidden="1"/>
    <cellStyle name="Hyperlink" xfId="1674" builtinId="8" hidden="1"/>
    <cellStyle name="Hyperlink" xfId="1676" builtinId="8" hidden="1"/>
    <cellStyle name="Hyperlink" xfId="1678" builtinId="8" hidden="1"/>
    <cellStyle name="Hyperlink" xfId="1680" builtinId="8" hidden="1"/>
    <cellStyle name="Hyperlink" xfId="1682" builtinId="8" hidden="1"/>
    <cellStyle name="Hyperlink" xfId="1684" builtinId="8" hidden="1"/>
    <cellStyle name="Hyperlink" xfId="1686" builtinId="8" hidden="1"/>
    <cellStyle name="Hyperlink" xfId="1688" builtinId="8" hidden="1"/>
    <cellStyle name="Hyperlink" xfId="1690" builtinId="8" hidden="1"/>
    <cellStyle name="Hyperlink" xfId="1692" builtinId="8" hidden="1"/>
    <cellStyle name="Hyperlink" xfId="1694" builtinId="8" hidden="1"/>
    <cellStyle name="Hyperlink" xfId="1696" builtinId="8" hidden="1"/>
    <cellStyle name="Hyperlink" xfId="1698" builtinId="8" hidden="1"/>
    <cellStyle name="Hyperlink" xfId="1700" builtinId="8" hidden="1"/>
    <cellStyle name="Hyperlink" xfId="1702" builtinId="8" hidden="1"/>
    <cellStyle name="Hyperlink" xfId="1704" builtinId="8" hidden="1"/>
    <cellStyle name="Hyperlink" xfId="1706" builtinId="8" hidden="1"/>
    <cellStyle name="Hyperlink" xfId="1708" builtinId="8" hidden="1"/>
    <cellStyle name="Hyperlink" xfId="1710" builtinId="8" hidden="1"/>
    <cellStyle name="Hyperlink" xfId="1712" builtinId="8" hidden="1"/>
    <cellStyle name="Hyperlink" xfId="1714" builtinId="8" hidden="1"/>
    <cellStyle name="Hyperlink" xfId="1716" builtinId="8" hidden="1"/>
    <cellStyle name="Hyperlink" xfId="1718" builtinId="8" hidden="1"/>
    <cellStyle name="Hyperlink" xfId="1720" builtinId="8" hidden="1"/>
    <cellStyle name="Hyperlink" xfId="1722" builtinId="8" hidden="1"/>
    <cellStyle name="Hyperlink" xfId="1724" builtinId="8" hidden="1"/>
    <cellStyle name="Hyperlink" xfId="1726" builtinId="8" hidden="1"/>
    <cellStyle name="Hyperlink" xfId="1728" builtinId="8" hidden="1"/>
    <cellStyle name="Hyperlink" xfId="1730" builtinId="8" hidden="1"/>
    <cellStyle name="Hyperlink" xfId="1732" builtinId="8" hidden="1"/>
    <cellStyle name="Hyperlink" xfId="1734" builtinId="8" hidden="1"/>
    <cellStyle name="Hyperlink" xfId="1736" builtinId="8" hidden="1"/>
    <cellStyle name="Hyperlink" xfId="1738" builtinId="8" hidden="1"/>
    <cellStyle name="Hyperlink" xfId="1740" builtinId="8" hidden="1"/>
    <cellStyle name="Hyperlink" xfId="1742" builtinId="8" hidden="1"/>
    <cellStyle name="Hyperlink" xfId="1744" builtinId="8" hidden="1"/>
    <cellStyle name="Hyperlink" xfId="1746" builtinId="8" hidden="1"/>
    <cellStyle name="Hyperlink" xfId="1748" builtinId="8" hidden="1"/>
    <cellStyle name="Hyperlink" xfId="1750" builtinId="8" hidden="1"/>
    <cellStyle name="Hyperlink" xfId="1752" builtinId="8" hidden="1"/>
    <cellStyle name="Hyperlink" xfId="1754" builtinId="8" hidden="1"/>
    <cellStyle name="Hyperlink" xfId="1756" builtinId="8" hidden="1"/>
    <cellStyle name="Hyperlink" xfId="1758" builtinId="8" hidden="1"/>
    <cellStyle name="Hyperlink" xfId="1760" builtinId="8" hidden="1"/>
    <cellStyle name="Hyperlink" xfId="1762" builtinId="8" hidden="1"/>
    <cellStyle name="Hyperlink" xfId="1764" builtinId="8" hidden="1"/>
    <cellStyle name="Hyperlink" xfId="1766" builtinId="8" hidden="1"/>
    <cellStyle name="Hyperlink" xfId="1768" builtinId="8" hidden="1"/>
    <cellStyle name="Hyperlink" xfId="1770" builtinId="8" hidden="1"/>
    <cellStyle name="Hyperlink" xfId="1772" builtinId="8" hidden="1"/>
    <cellStyle name="Hyperlink" xfId="1774" builtinId="8" hidden="1"/>
    <cellStyle name="Hyperlink" xfId="1776" builtinId="8" hidden="1"/>
    <cellStyle name="Hyperlink" xfId="1778" builtinId="8" hidden="1"/>
    <cellStyle name="Hyperlink" xfId="1780" builtinId="8" hidden="1"/>
    <cellStyle name="Hyperlink" xfId="1782" builtinId="8" hidden="1"/>
    <cellStyle name="Hyperlink" xfId="1784" builtinId="8" hidden="1"/>
    <cellStyle name="Hyperlink" xfId="1786" builtinId="8" hidden="1"/>
    <cellStyle name="Hyperlink" xfId="1788" builtinId="8" hidden="1"/>
    <cellStyle name="Hyperlink" xfId="1790" builtinId="8" hidden="1"/>
    <cellStyle name="Hyperlink" xfId="1792" builtinId="8" hidden="1"/>
    <cellStyle name="Hyperlink" xfId="1794" builtinId="8" hidden="1"/>
    <cellStyle name="Hyperlink" xfId="1796" builtinId="8" hidden="1"/>
    <cellStyle name="Hyperlink" xfId="1798" builtinId="8" hidden="1"/>
    <cellStyle name="Hyperlink" xfId="1800" builtinId="8" hidden="1"/>
    <cellStyle name="Hyperlink" xfId="1802" builtinId="8" hidden="1"/>
    <cellStyle name="Hyperlink" xfId="1804" builtinId="8" hidden="1"/>
    <cellStyle name="Hyperlink" xfId="1806" builtinId="8" hidden="1"/>
    <cellStyle name="Hyperlink" xfId="1808" builtinId="8" hidden="1"/>
    <cellStyle name="Hyperlink" xfId="1810" builtinId="8" hidden="1"/>
    <cellStyle name="Hyperlink" xfId="1812" builtinId="8" hidden="1"/>
    <cellStyle name="Hyperlink" xfId="1814" builtinId="8" hidden="1"/>
    <cellStyle name="Hyperlink" xfId="1816" builtinId="8" hidden="1"/>
    <cellStyle name="Hyperlink" xfId="1818" builtinId="8" hidden="1"/>
    <cellStyle name="Hyperlink" xfId="1820" builtinId="8" hidden="1"/>
    <cellStyle name="Hyperlink" xfId="1822" builtinId="8" hidden="1"/>
    <cellStyle name="Hyperlink" xfId="1824" builtinId="8" hidden="1"/>
    <cellStyle name="Hyperlink" xfId="1826" builtinId="8" hidden="1"/>
    <cellStyle name="Hyperlink" xfId="1828" builtinId="8" hidden="1"/>
    <cellStyle name="Hyperlink" xfId="1830" builtinId="8" hidden="1"/>
    <cellStyle name="Hyperlink" xfId="1832" builtinId="8" hidden="1"/>
    <cellStyle name="Hyperlink" xfId="1834" builtinId="8" hidden="1"/>
    <cellStyle name="Hyperlink" xfId="1836" builtinId="8" hidden="1"/>
    <cellStyle name="Hyperlink" xfId="1838" builtinId="8" hidden="1"/>
    <cellStyle name="Hyperlink" xfId="1840" builtinId="8" hidden="1"/>
    <cellStyle name="Hyperlink" xfId="1842" builtinId="8" hidden="1"/>
    <cellStyle name="Hyperlink" xfId="1844" builtinId="8" hidden="1"/>
    <cellStyle name="Hyperlink" xfId="1846" builtinId="8" hidden="1"/>
    <cellStyle name="Hyperlink" xfId="1848" builtinId="8" hidden="1"/>
    <cellStyle name="Hyperlink" xfId="1850" builtinId="8" hidden="1"/>
    <cellStyle name="Hyperlink" xfId="1852" builtinId="8" hidden="1"/>
    <cellStyle name="Hyperlink" xfId="1854" builtinId="8" hidden="1"/>
    <cellStyle name="Hyperlink" xfId="1856" builtinId="8" hidden="1"/>
    <cellStyle name="Hyperlink" xfId="1858" builtinId="8" hidden="1"/>
    <cellStyle name="Hyperlink" xfId="1860" builtinId="8" hidden="1"/>
    <cellStyle name="Hyperlink" xfId="1862" builtinId="8" hidden="1"/>
    <cellStyle name="Hyperlink" xfId="1864" builtinId="8" hidden="1"/>
    <cellStyle name="Hyperlink" xfId="1866" builtinId="8" hidden="1"/>
    <cellStyle name="Hyperlink" xfId="1868" builtinId="8" hidden="1"/>
    <cellStyle name="Hyperlink" xfId="1870" builtinId="8" hidden="1"/>
    <cellStyle name="Hyperlink" xfId="1872" builtinId="8" hidden="1"/>
    <cellStyle name="Hyperlink" xfId="1874" builtinId="8" hidden="1"/>
    <cellStyle name="Hyperlink" xfId="1876" builtinId="8" hidden="1"/>
    <cellStyle name="Hyperlink" xfId="1878" builtinId="8" hidden="1"/>
    <cellStyle name="Hyperlink" xfId="1880" builtinId="8" hidden="1"/>
    <cellStyle name="Hyperlink" xfId="1882" builtinId="8" hidden="1"/>
    <cellStyle name="Hyperlink" xfId="1884" builtinId="8" hidden="1"/>
    <cellStyle name="Hyperlink" xfId="1886" builtinId="8" hidden="1"/>
    <cellStyle name="Hyperlink" xfId="1888" builtinId="8" hidden="1"/>
    <cellStyle name="Hyperlink" xfId="1890" builtinId="8" hidden="1"/>
    <cellStyle name="Hyperlink" xfId="1892" builtinId="8" hidden="1"/>
    <cellStyle name="Hyperlink" xfId="1894" builtinId="8" hidden="1"/>
    <cellStyle name="Hyperlink" xfId="1896" builtinId="8" hidden="1"/>
    <cellStyle name="Hyperlink" xfId="1898" builtinId="8" hidden="1"/>
    <cellStyle name="Hyperlink" xfId="1900" builtinId="8" hidden="1"/>
    <cellStyle name="Hyperlink" xfId="1902" builtinId="8" hidden="1"/>
    <cellStyle name="Hyperlink" xfId="1904" builtinId="8" hidden="1"/>
    <cellStyle name="Hyperlink" xfId="1906" builtinId="8" hidden="1"/>
    <cellStyle name="Hyperlink" xfId="1908" builtinId="8" hidden="1"/>
    <cellStyle name="Hyperlink" xfId="1910" builtinId="8" hidden="1"/>
    <cellStyle name="Hyperlink" xfId="1912" builtinId="8" hidden="1"/>
    <cellStyle name="Hyperlink" xfId="1914" builtinId="8" hidden="1"/>
    <cellStyle name="Hyperlink" xfId="1916" builtinId="8" hidden="1"/>
    <cellStyle name="Hyperlink" xfId="1918" builtinId="8" hidden="1"/>
    <cellStyle name="Hyperlink" xfId="1920" builtinId="8" hidden="1"/>
    <cellStyle name="Hyperlink" xfId="1922" builtinId="8" hidden="1"/>
    <cellStyle name="Hyperlink" xfId="1924" builtinId="8" hidden="1"/>
    <cellStyle name="Hyperlink" xfId="1926" builtinId="8" hidden="1"/>
    <cellStyle name="Hyperlink" xfId="1928" builtinId="8" hidden="1"/>
    <cellStyle name="Hyperlink" xfId="1930" builtinId="8" hidden="1"/>
    <cellStyle name="Hyperlink" xfId="1932" builtinId="8" hidden="1"/>
    <cellStyle name="Hyperlink" xfId="1934" builtinId="8" hidden="1"/>
    <cellStyle name="Hyperlink" xfId="1936" builtinId="8" hidden="1"/>
    <cellStyle name="Hyperlink" xfId="1938" builtinId="8" hidden="1"/>
    <cellStyle name="Hyperlink" xfId="1940" builtinId="8" hidden="1"/>
    <cellStyle name="Hyperlink" xfId="1942" builtinId="8" hidden="1"/>
    <cellStyle name="Hyperlink" xfId="1944" builtinId="8" hidden="1"/>
    <cellStyle name="Hyperlink" xfId="1946" builtinId="8" hidden="1"/>
    <cellStyle name="Hyperlink" xfId="1948" builtinId="8" hidden="1"/>
    <cellStyle name="Hyperlink" xfId="1950" builtinId="8" hidden="1"/>
    <cellStyle name="Hyperlink" xfId="1952" builtinId="8" hidden="1"/>
    <cellStyle name="Hyperlink" xfId="1954" builtinId="8" hidden="1"/>
    <cellStyle name="Hyperlink" xfId="1956" builtinId="8" hidden="1"/>
    <cellStyle name="Hyperlink" xfId="1958" builtinId="8" hidden="1"/>
    <cellStyle name="Hyperlink" xfId="1960" builtinId="8" hidden="1"/>
    <cellStyle name="Hyperlink" xfId="1962" builtinId="8" hidden="1"/>
    <cellStyle name="Hyperlink" xfId="1964" builtinId="8" hidden="1"/>
    <cellStyle name="Hyperlink" xfId="1966" builtinId="8" hidden="1"/>
    <cellStyle name="Hyperlink" xfId="1968" builtinId="8" hidden="1"/>
    <cellStyle name="Hyperlink" xfId="1970" builtinId="8" hidden="1"/>
    <cellStyle name="Hyperlink" xfId="1972" builtinId="8" hidden="1"/>
    <cellStyle name="Hyperlink" xfId="1974" builtinId="8" hidden="1"/>
    <cellStyle name="Hyperlink" xfId="1976" builtinId="8" hidden="1"/>
    <cellStyle name="Hyperlink" xfId="1978" builtinId="8" hidden="1"/>
    <cellStyle name="Hyperlink" xfId="1980" builtinId="8" hidden="1"/>
    <cellStyle name="Hyperlink" xfId="1982" builtinId="8" hidden="1"/>
    <cellStyle name="Hyperlink" xfId="1984" builtinId="8" hidden="1"/>
    <cellStyle name="Hyperlink" xfId="1986" builtinId="8" hidden="1"/>
    <cellStyle name="Hyperlink" xfId="1988" builtinId="8" hidden="1"/>
    <cellStyle name="Hyperlink" xfId="1990" builtinId="8" hidden="1"/>
    <cellStyle name="Hyperlink" xfId="1992" builtinId="8" hidden="1"/>
    <cellStyle name="Hyperlink" xfId="1994" builtinId="8" hidden="1"/>
    <cellStyle name="Hyperlink" xfId="1996" builtinId="8" hidden="1"/>
    <cellStyle name="Hyperlink" xfId="1998" builtinId="8" hidden="1"/>
    <cellStyle name="Hyperlink" xfId="2000" builtinId="8" hidden="1"/>
    <cellStyle name="Hyperlink" xfId="2002" builtinId="8" hidden="1"/>
    <cellStyle name="Hyperlink" xfId="2004" builtinId="8" hidden="1"/>
    <cellStyle name="Hyperlink" xfId="2006" builtinId="8" hidden="1"/>
    <cellStyle name="Hyperlink" xfId="2008" builtinId="8" hidden="1"/>
    <cellStyle name="Hyperlink" xfId="2010" builtinId="8" hidden="1"/>
    <cellStyle name="Hyperlink" xfId="2012" builtinId="8" hidden="1"/>
    <cellStyle name="Hyperlink" xfId="2014" builtinId="8" hidden="1"/>
    <cellStyle name="Hyperlink" xfId="2016" builtinId="8" hidden="1"/>
    <cellStyle name="Hyperlink" xfId="2018" builtinId="8" hidden="1"/>
    <cellStyle name="Hyperlink" xfId="2020" builtinId="8" hidden="1"/>
    <cellStyle name="Hyperlink" xfId="2022" builtinId="8" hidden="1"/>
    <cellStyle name="Hyperlink" xfId="2024" builtinId="8" hidden="1"/>
    <cellStyle name="Hyperlink" xfId="2026" builtinId="8" hidden="1"/>
    <cellStyle name="Hyperlink" xfId="2028" builtinId="8" hidden="1"/>
    <cellStyle name="Hyperlink" xfId="2030" builtinId="8" hidden="1"/>
    <cellStyle name="Hyperlink" xfId="2032" builtinId="8" hidden="1"/>
    <cellStyle name="Hyperlink" xfId="2034" builtinId="8" hidden="1"/>
    <cellStyle name="Hyperlink" xfId="2036" builtinId="8" hidden="1"/>
    <cellStyle name="Hyperlink" xfId="2038" builtinId="8" hidden="1"/>
    <cellStyle name="Hyperlink" xfId="2040" builtinId="8" hidden="1"/>
    <cellStyle name="Hyperlink" xfId="2042" builtinId="8" hidden="1"/>
    <cellStyle name="Hyperlink" xfId="2044" builtinId="8" hidden="1"/>
    <cellStyle name="Hyperlink" xfId="2046" builtinId="8" hidden="1"/>
    <cellStyle name="Hyperlink" xfId="2048" builtinId="8" hidden="1"/>
    <cellStyle name="Hyperlink" xfId="2050" builtinId="8" hidden="1"/>
    <cellStyle name="Hyperlink" xfId="2052" builtinId="8" hidden="1"/>
    <cellStyle name="Hyperlink" xfId="2054" builtinId="8" hidden="1"/>
    <cellStyle name="Hyperlink" xfId="2056" builtinId="8" hidden="1"/>
    <cellStyle name="Hyperlink" xfId="2058" builtinId="8" hidden="1"/>
    <cellStyle name="Hyperlink" xfId="2060" builtinId="8" hidden="1"/>
    <cellStyle name="Hyperlink" xfId="2062" builtinId="8" hidden="1"/>
    <cellStyle name="Hyperlink" xfId="2064" builtinId="8" hidden="1"/>
    <cellStyle name="Hyperlink" xfId="2066" builtinId="8" hidden="1"/>
    <cellStyle name="Hyperlink" xfId="2068" builtinId="8" hidden="1"/>
    <cellStyle name="Hyperlink" xfId="2070" builtinId="8" hidden="1"/>
    <cellStyle name="Hyperlink" xfId="2072" builtinId="8" hidden="1"/>
    <cellStyle name="Hyperlink" xfId="2074" builtinId="8" hidden="1"/>
    <cellStyle name="Hyperlink" xfId="2076" builtinId="8" hidden="1"/>
    <cellStyle name="Hyperlink" xfId="2078" builtinId="8" hidden="1"/>
    <cellStyle name="Hyperlink" xfId="2080" builtinId="8" hidden="1"/>
    <cellStyle name="Hyperlink" xfId="2082" builtinId="8" hidden="1"/>
    <cellStyle name="Hyperlink" xfId="2084" builtinId="8" hidden="1"/>
    <cellStyle name="Hyperlink" xfId="2086" builtinId="8" hidden="1"/>
    <cellStyle name="Hyperlink" xfId="2088" builtinId="8" hidden="1"/>
    <cellStyle name="Hyperlink" xfId="2090" builtinId="8" hidden="1"/>
    <cellStyle name="Hyperlink" xfId="2092" builtinId="8" hidden="1"/>
    <cellStyle name="Hyperlink" xfId="2094" builtinId="8" hidden="1"/>
    <cellStyle name="Hyperlink" xfId="2096" builtinId="8" hidden="1"/>
    <cellStyle name="Hyperlink" xfId="2098" builtinId="8" hidden="1"/>
    <cellStyle name="Hyperlink" xfId="2100" builtinId="8" hidden="1"/>
    <cellStyle name="Hyperlink" xfId="2102" builtinId="8" hidden="1"/>
    <cellStyle name="Hyperlink" xfId="2104" builtinId="8" hidden="1"/>
    <cellStyle name="Hyperlink" xfId="2106" builtinId="8" hidden="1"/>
    <cellStyle name="Hyperlink" xfId="2108" builtinId="8" hidden="1"/>
    <cellStyle name="Hyperlink" xfId="2110" builtinId="8" hidden="1"/>
    <cellStyle name="Hyperlink" xfId="2112" builtinId="8" hidden="1"/>
    <cellStyle name="Hyperlink" xfId="2114" builtinId="8" hidden="1"/>
    <cellStyle name="Hyperlink" xfId="2116" builtinId="8" hidden="1"/>
    <cellStyle name="Hyperlink" xfId="2118" builtinId="8" hidden="1"/>
    <cellStyle name="Hyperlink" xfId="2120" builtinId="8" hidden="1"/>
    <cellStyle name="Hyperlink" xfId="2122" builtinId="8" hidden="1"/>
    <cellStyle name="Hyperlink" xfId="2124" builtinId="8" hidden="1"/>
    <cellStyle name="Hyperlink" xfId="2126" builtinId="8" hidden="1"/>
    <cellStyle name="Hyperlink" xfId="2128" builtinId="8" hidden="1"/>
    <cellStyle name="Hyperlink" xfId="2130" builtinId="8" hidden="1"/>
    <cellStyle name="Hyperlink" xfId="2132" builtinId="8" hidden="1"/>
    <cellStyle name="Hyperlink" xfId="2134" builtinId="8" hidden="1"/>
    <cellStyle name="Hyperlink" xfId="2136" builtinId="8" hidden="1"/>
    <cellStyle name="Hyperlink" xfId="2138" builtinId="8" hidden="1"/>
    <cellStyle name="Hyperlink" xfId="2140" builtinId="8" hidden="1"/>
    <cellStyle name="Hyperlink" xfId="2142" builtinId="8" hidden="1"/>
    <cellStyle name="Hyperlink" xfId="2144" builtinId="8" hidden="1"/>
    <cellStyle name="Hyperlink" xfId="2146" builtinId="8" hidden="1"/>
    <cellStyle name="Hyperlink" xfId="2148" builtinId="8" hidden="1"/>
    <cellStyle name="Hyperlink" xfId="2150" builtinId="8" hidden="1"/>
    <cellStyle name="Hyperlink" xfId="2152" builtinId="8" hidden="1"/>
    <cellStyle name="Hyperlink" xfId="2154" builtinId="8" hidden="1"/>
    <cellStyle name="Hyperlink" xfId="2156" builtinId="8" hidden="1"/>
    <cellStyle name="Hyperlink" xfId="2158" builtinId="8" hidden="1"/>
    <cellStyle name="Hyperlink" xfId="2160" builtinId="8" hidden="1"/>
    <cellStyle name="Hyperlink" xfId="2162" builtinId="8" hidden="1"/>
    <cellStyle name="Hyperlink" xfId="2164" builtinId="8" hidden="1"/>
    <cellStyle name="Hyperlink" xfId="2166" builtinId="8" hidden="1"/>
    <cellStyle name="Hyperlink" xfId="2168" builtinId="8" hidden="1"/>
    <cellStyle name="Hyperlink" xfId="2170" builtinId="8" hidden="1"/>
    <cellStyle name="Hyperlink" xfId="2172" builtinId="8" hidden="1"/>
    <cellStyle name="Hyperlink" xfId="2174" builtinId="8" hidden="1"/>
    <cellStyle name="Hyperlink" xfId="2176" builtinId="8" hidden="1"/>
    <cellStyle name="Hyperlink" xfId="2178" builtinId="8" hidden="1"/>
    <cellStyle name="Hyperlink" xfId="2180" builtinId="8" hidden="1"/>
    <cellStyle name="Hyperlink" xfId="2182" builtinId="8" hidden="1"/>
    <cellStyle name="Hyperlink" xfId="2184" builtinId="8" hidden="1"/>
    <cellStyle name="Hyperlink" xfId="2186" builtinId="8" hidden="1"/>
    <cellStyle name="Hyperlink" xfId="2188" builtinId="8" hidden="1"/>
    <cellStyle name="Hyperlink" xfId="2190" builtinId="8" hidden="1"/>
    <cellStyle name="Hyperlink" xfId="2192" builtinId="8" hidden="1"/>
    <cellStyle name="Hyperlink" xfId="2194" builtinId="8" hidden="1"/>
    <cellStyle name="Hyperlink" xfId="2196" builtinId="8" hidden="1"/>
    <cellStyle name="Hyperlink" xfId="2198" builtinId="8" hidden="1"/>
    <cellStyle name="Hyperlink" xfId="2200" builtinId="8" hidden="1"/>
    <cellStyle name="Hyperlink" xfId="2202" builtinId="8" hidden="1"/>
    <cellStyle name="Hyperlink" xfId="2204" builtinId="8" hidden="1"/>
    <cellStyle name="Hyperlink" xfId="2206" builtinId="8" hidden="1"/>
    <cellStyle name="Hyperlink" xfId="2208" builtinId="8" hidden="1"/>
    <cellStyle name="Hyperlink" xfId="2210" builtinId="8" hidden="1"/>
    <cellStyle name="Hyperlink" xfId="2212" builtinId="8" hidden="1"/>
    <cellStyle name="Hyperlink" xfId="2214" builtinId="8" hidden="1"/>
    <cellStyle name="Hyperlink" xfId="2216" builtinId="8" hidden="1"/>
    <cellStyle name="Hyperlink" xfId="2218" builtinId="8" hidden="1"/>
    <cellStyle name="Hyperlink" xfId="2220" builtinId="8" hidden="1"/>
    <cellStyle name="Hyperlink" xfId="2222" builtinId="8" hidden="1"/>
    <cellStyle name="Hyperlink" xfId="2224" builtinId="8" hidden="1"/>
    <cellStyle name="Hyperlink" xfId="2226" builtinId="8" hidden="1"/>
    <cellStyle name="Hyperlink" xfId="2228" builtinId="8" hidden="1"/>
    <cellStyle name="Hyperlink" xfId="2230" builtinId="8" hidden="1"/>
    <cellStyle name="Hyperlink" xfId="2232" builtinId="8" hidden="1"/>
    <cellStyle name="Hyperlink" xfId="2234" builtinId="8" hidden="1"/>
    <cellStyle name="Hyperlink" xfId="2236" builtinId="8" hidden="1"/>
    <cellStyle name="Hyperlink" xfId="2238" builtinId="8" hidden="1"/>
    <cellStyle name="Hyperlink" xfId="2240" builtinId="8" hidden="1"/>
    <cellStyle name="Hyperlink" xfId="2242" builtinId="8" hidden="1"/>
    <cellStyle name="Hyperlink" xfId="2244" builtinId="8" hidden="1"/>
    <cellStyle name="Hyperlink" xfId="2246" builtinId="8" hidden="1"/>
    <cellStyle name="Hyperlink" xfId="2248" builtinId="8" hidden="1"/>
    <cellStyle name="Hyperlink" xfId="2250" builtinId="8" hidden="1"/>
    <cellStyle name="Hyperlink" xfId="2252" builtinId="8" hidden="1"/>
    <cellStyle name="Hyperlink" xfId="2254" builtinId="8" hidden="1"/>
    <cellStyle name="Hyperlink" xfId="2256" builtinId="8" hidden="1"/>
    <cellStyle name="Hyperlink" xfId="2258" builtinId="8" hidden="1"/>
    <cellStyle name="Hyperlink" xfId="2260" builtinId="8" hidden="1"/>
    <cellStyle name="Hyperlink" xfId="2262" builtinId="8" hidden="1"/>
    <cellStyle name="Hyperlink" xfId="2264" builtinId="8" hidden="1"/>
    <cellStyle name="Hyperlink" xfId="2266" builtinId="8" hidden="1"/>
    <cellStyle name="Hyperlink" xfId="2268" builtinId="8" hidden="1"/>
    <cellStyle name="Hyperlink" xfId="2270" builtinId="8" hidden="1"/>
    <cellStyle name="Hyperlink" xfId="2272" builtinId="8" hidden="1"/>
    <cellStyle name="Hyperlink" xfId="2274" builtinId="8" hidden="1"/>
    <cellStyle name="Hyperlink" xfId="2276" builtinId="8" hidden="1"/>
    <cellStyle name="Hyperlink" xfId="2278" builtinId="8" hidden="1"/>
    <cellStyle name="Hyperlink" xfId="2280" builtinId="8" hidden="1"/>
    <cellStyle name="Hyperlink" xfId="2282" builtinId="8" hidden="1"/>
    <cellStyle name="Hyperlink" xfId="2284" builtinId="8" hidden="1"/>
    <cellStyle name="Hyperlink" xfId="2286" builtinId="8" hidden="1"/>
    <cellStyle name="Hyperlink" xfId="2288" builtinId="8" hidden="1"/>
    <cellStyle name="Hyperlink" xfId="2290" builtinId="8" hidden="1"/>
    <cellStyle name="Hyperlink" xfId="2292" builtinId="8" hidden="1"/>
    <cellStyle name="Hyperlink" xfId="2294" builtinId="8" hidden="1"/>
    <cellStyle name="Hyperlink" xfId="2296" builtinId="8" hidden="1"/>
    <cellStyle name="Hyperlink" xfId="2298" builtinId="8" hidden="1"/>
    <cellStyle name="Hyperlink" xfId="2300" builtinId="8" hidden="1"/>
    <cellStyle name="Hyperlink" xfId="2302" builtinId="8" hidden="1"/>
    <cellStyle name="Hyperlink" xfId="2304" builtinId="8" hidden="1"/>
    <cellStyle name="Hyperlink" xfId="2306" builtinId="8" hidden="1"/>
    <cellStyle name="Hyperlink" xfId="2308" builtinId="8" hidden="1"/>
    <cellStyle name="Hyperlink" xfId="2310" builtinId="8" hidden="1"/>
    <cellStyle name="Hyperlink" xfId="2312" builtinId="8" hidden="1"/>
    <cellStyle name="Hyperlink" xfId="2314" builtinId="8" hidden="1"/>
    <cellStyle name="Hyperlink" xfId="2316" builtinId="8" hidden="1"/>
    <cellStyle name="Hyperlink" xfId="2318" builtinId="8" hidden="1"/>
    <cellStyle name="Hyperlink" xfId="2320" builtinId="8" hidden="1"/>
    <cellStyle name="Hyperlink" xfId="2322" builtinId="8" hidden="1"/>
    <cellStyle name="Hyperlink" xfId="2324" builtinId="8" hidden="1"/>
    <cellStyle name="Hyperlink" xfId="2326" builtinId="8" hidden="1"/>
    <cellStyle name="Hyperlink" xfId="2328" builtinId="8" hidden="1"/>
    <cellStyle name="Hyperlink" xfId="2330" builtinId="8" hidden="1"/>
    <cellStyle name="Hyperlink" xfId="2332" builtinId="8" hidden="1"/>
    <cellStyle name="Hyperlink" xfId="2334" builtinId="8" hidden="1"/>
    <cellStyle name="Hyperlink" xfId="2336" builtinId="8" hidden="1"/>
    <cellStyle name="Hyperlink" xfId="2338" builtinId="8" hidden="1"/>
    <cellStyle name="Hyperlink" xfId="2340" builtinId="8" hidden="1"/>
    <cellStyle name="Hyperlink" xfId="2342" builtinId="8" hidden="1"/>
    <cellStyle name="Hyperlink" xfId="2344" builtinId="8" hidden="1"/>
    <cellStyle name="Hyperlink" xfId="2346" builtinId="8" hidden="1"/>
    <cellStyle name="Hyperlink" xfId="2348" builtinId="8" hidden="1"/>
    <cellStyle name="Hyperlink" xfId="2350" builtinId="8" hidden="1"/>
    <cellStyle name="Hyperlink" xfId="2352" builtinId="8" hidden="1"/>
    <cellStyle name="Hyperlink" xfId="2354" builtinId="8" hidden="1"/>
    <cellStyle name="Hyperlink" xfId="2356" builtinId="8" hidden="1"/>
    <cellStyle name="Hyperlink" xfId="2358" builtinId="8" hidden="1"/>
    <cellStyle name="Hyperlink" xfId="2360" builtinId="8" hidden="1"/>
    <cellStyle name="Hyperlink" xfId="2362" builtinId="8" hidden="1"/>
    <cellStyle name="Hyperlink" xfId="2364" builtinId="8" hidden="1"/>
    <cellStyle name="Hyperlink" xfId="2366" builtinId="8" hidden="1"/>
    <cellStyle name="Hyperlink" xfId="2368" builtinId="8" hidden="1"/>
    <cellStyle name="Hyperlink" xfId="2370" builtinId="8" hidden="1"/>
    <cellStyle name="Hyperlink" xfId="2372" builtinId="8" hidden="1"/>
    <cellStyle name="Hyperlink" xfId="2374" builtinId="8" hidden="1"/>
    <cellStyle name="Hyperlink" xfId="2376" builtinId="8" hidden="1"/>
    <cellStyle name="Hyperlink" xfId="2378" builtinId="8" hidden="1"/>
    <cellStyle name="Hyperlink" xfId="2380" builtinId="8" hidden="1"/>
    <cellStyle name="Hyperlink" xfId="2382" builtinId="8" hidden="1"/>
    <cellStyle name="Hyperlink" xfId="2384" builtinId="8" hidden="1"/>
    <cellStyle name="Hyperlink" xfId="2386" builtinId="8" hidden="1"/>
    <cellStyle name="Hyperlink" xfId="2388" builtinId="8" hidden="1"/>
    <cellStyle name="Hyperlink" xfId="2390" builtinId="8" hidden="1"/>
    <cellStyle name="Hyperlink" xfId="2392" builtinId="8" hidden="1"/>
    <cellStyle name="Hyperlink" xfId="2394" builtinId="8" hidden="1"/>
    <cellStyle name="Hyperlink" xfId="2396" builtinId="8" hidden="1"/>
    <cellStyle name="Hyperlink" xfId="2398" builtinId="8" hidden="1"/>
    <cellStyle name="Hyperlink" xfId="2400" builtinId="8" hidden="1"/>
    <cellStyle name="Hyperlink" xfId="2402" builtinId="8" hidden="1"/>
    <cellStyle name="Hyperlink" xfId="2404" builtinId="8" hidden="1"/>
    <cellStyle name="Hyperlink" xfId="2406" builtinId="8" hidden="1"/>
    <cellStyle name="Hyperlink" xfId="2408" builtinId="8" hidden="1"/>
    <cellStyle name="Hyperlink" xfId="2410" builtinId="8" hidden="1"/>
    <cellStyle name="Hyperlink" xfId="2412" builtinId="8" hidden="1"/>
    <cellStyle name="Hyperlink" xfId="2414" builtinId="8" hidden="1"/>
    <cellStyle name="Hyperlink" xfId="2416" builtinId="8" hidden="1"/>
    <cellStyle name="Hyperlink" xfId="2418" builtinId="8" hidden="1"/>
    <cellStyle name="Hyperlink" xfId="2420" builtinId="8" hidden="1"/>
    <cellStyle name="Hyperlink" xfId="2422" builtinId="8" hidden="1"/>
    <cellStyle name="Hyperlink" xfId="2424" builtinId="8" hidden="1"/>
    <cellStyle name="Hyperlink" xfId="2426" builtinId="8" hidden="1"/>
    <cellStyle name="Hyperlink" xfId="2428" builtinId="8" hidden="1"/>
    <cellStyle name="Hyperlink" xfId="2430" builtinId="8" hidden="1"/>
    <cellStyle name="Hyperlink" xfId="2432" builtinId="8" hidden="1"/>
    <cellStyle name="Hyperlink" xfId="2434" builtinId="8" hidden="1"/>
    <cellStyle name="Hyperlink" xfId="2436" builtinId="8" hidden="1"/>
    <cellStyle name="Hyperlink" xfId="2438" builtinId="8" hidden="1"/>
    <cellStyle name="Hyperlink" xfId="2440" builtinId="8" hidden="1"/>
    <cellStyle name="Hyperlink" xfId="2442" builtinId="8" hidden="1"/>
    <cellStyle name="Hyperlink" xfId="2444" builtinId="8" hidden="1"/>
    <cellStyle name="Hyperlink" xfId="2446" builtinId="8" hidden="1"/>
    <cellStyle name="Hyperlink" xfId="2448" builtinId="8" hidden="1"/>
    <cellStyle name="Hyperlink" xfId="2450" builtinId="8" hidden="1"/>
    <cellStyle name="Hyperlink" xfId="2452" builtinId="8" hidden="1"/>
    <cellStyle name="Hyperlink" xfId="2454" builtinId="8" hidden="1"/>
    <cellStyle name="Hyperlink" xfId="2456" builtinId="8" hidden="1"/>
    <cellStyle name="Hyperlink" xfId="2458" builtinId="8" hidden="1"/>
    <cellStyle name="Hyperlink" xfId="2460" builtinId="8" hidden="1"/>
    <cellStyle name="Hyperlink" xfId="2462" builtinId="8" hidden="1"/>
    <cellStyle name="Hyperlink" xfId="2464" builtinId="8" hidden="1"/>
    <cellStyle name="Hyperlink" xfId="2466" builtinId="8" hidden="1"/>
    <cellStyle name="Hyperlink" xfId="2468" builtinId="8" hidden="1"/>
    <cellStyle name="Hyperlink" xfId="2470" builtinId="8" hidden="1"/>
    <cellStyle name="Hyperlink" xfId="2472" builtinId="8" hidden="1"/>
    <cellStyle name="Hyperlink" xfId="2474" builtinId="8" hidden="1"/>
    <cellStyle name="Hyperlink" xfId="2476" builtinId="8" hidden="1"/>
    <cellStyle name="Hyperlink" xfId="2478" builtinId="8" hidden="1"/>
    <cellStyle name="Hyperlink" xfId="2480" builtinId="8" hidden="1"/>
    <cellStyle name="Hyperlink" xfId="2482" builtinId="8" hidden="1"/>
    <cellStyle name="Hyperlink" xfId="2484" builtinId="8" hidden="1"/>
    <cellStyle name="Hyperlink" xfId="2486" builtinId="8" hidden="1"/>
    <cellStyle name="Hyperlink" xfId="2488" builtinId="8" hidden="1"/>
    <cellStyle name="Hyperlink" xfId="2490" builtinId="8" hidden="1"/>
    <cellStyle name="Hyperlink" xfId="2492" builtinId="8" hidden="1"/>
    <cellStyle name="Hyperlink" xfId="2494" builtinId="8" hidden="1"/>
    <cellStyle name="Hyperlink" xfId="2496" builtinId="8" hidden="1"/>
    <cellStyle name="Hyperlink" xfId="2498" builtinId="8" hidden="1"/>
    <cellStyle name="Hyperlink" xfId="2500" builtinId="8" hidden="1"/>
    <cellStyle name="Hyperlink" xfId="2502" builtinId="8" hidden="1"/>
    <cellStyle name="Hyperlink" xfId="2504" builtinId="8" hidden="1"/>
    <cellStyle name="Hyperlink" xfId="2506" builtinId="8" hidden="1"/>
    <cellStyle name="Hyperlink" xfId="2508" builtinId="8" hidden="1"/>
    <cellStyle name="Hyperlink" xfId="2510" builtinId="8" hidden="1"/>
    <cellStyle name="Hyperlink" xfId="2512" builtinId="8" hidden="1"/>
    <cellStyle name="Hyperlink" xfId="2514" builtinId="8" hidden="1"/>
    <cellStyle name="Hyperlink" xfId="2516" builtinId="8" hidden="1"/>
    <cellStyle name="Hyperlink" xfId="2518" builtinId="8" hidden="1"/>
    <cellStyle name="Hyperlink" xfId="2520" builtinId="8" hidden="1"/>
    <cellStyle name="Hyperlink" xfId="2522" builtinId="8" hidden="1"/>
    <cellStyle name="Hyperlink" xfId="2524" builtinId="8" hidden="1"/>
    <cellStyle name="Hyperlink" xfId="2526" builtinId="8" hidden="1"/>
    <cellStyle name="Hyperlink" xfId="2528" builtinId="8" hidden="1"/>
    <cellStyle name="Hyperlink" xfId="2530" builtinId="8" hidden="1"/>
    <cellStyle name="Hyperlink" xfId="2532" builtinId="8" hidden="1"/>
    <cellStyle name="Hyperlink" xfId="2534" builtinId="8" hidden="1"/>
    <cellStyle name="Hyperlink" xfId="2536" builtinId="8" hidden="1"/>
    <cellStyle name="Hyperlink" xfId="2538" builtinId="8" hidden="1"/>
    <cellStyle name="Hyperlink" xfId="2540" builtinId="8" hidden="1"/>
    <cellStyle name="Hyperlink" xfId="2542" builtinId="8" hidden="1"/>
    <cellStyle name="Hyperlink" xfId="2544" builtinId="8" hidden="1"/>
    <cellStyle name="Hyperlink" xfId="2546" builtinId="8" hidden="1"/>
    <cellStyle name="Hyperlink" xfId="2548" builtinId="8" hidden="1"/>
    <cellStyle name="Hyperlink" xfId="2550" builtinId="8" hidden="1"/>
    <cellStyle name="Hyperlink" xfId="2552" builtinId="8" hidden="1"/>
    <cellStyle name="Hyperlink" xfId="2554" builtinId="8" hidden="1"/>
    <cellStyle name="Hyperlink" xfId="2556" builtinId="8" hidden="1"/>
    <cellStyle name="Hyperlink" xfId="2558" builtinId="8" hidden="1"/>
    <cellStyle name="Hyperlink" xfId="2560" builtinId="8" hidden="1"/>
    <cellStyle name="Hyperlink" xfId="2562" builtinId="8" hidden="1"/>
    <cellStyle name="Hyperlink" xfId="2564" builtinId="8" hidden="1"/>
    <cellStyle name="Hyperlink" xfId="2566" builtinId="8" hidden="1"/>
    <cellStyle name="Hyperlink" xfId="2568" builtinId="8" hidden="1"/>
    <cellStyle name="Hyperlink" xfId="2570" builtinId="8" hidden="1"/>
    <cellStyle name="Hyperlink" xfId="2572" builtinId="8" hidden="1"/>
    <cellStyle name="Hyperlink" xfId="2574" builtinId="8" hidden="1"/>
    <cellStyle name="Hyperlink" xfId="2576" builtinId="8" hidden="1"/>
    <cellStyle name="Hyperlink" xfId="2578" builtinId="8" hidden="1"/>
    <cellStyle name="Hyperlink" xfId="2580" builtinId="8" hidden="1"/>
    <cellStyle name="Hyperlink" xfId="2582" builtinId="8" hidden="1"/>
    <cellStyle name="Hyperlink" xfId="2584" builtinId="8" hidden="1"/>
    <cellStyle name="Hyperlink" xfId="2586" builtinId="8" hidden="1"/>
    <cellStyle name="Hyperlink" xfId="2588" builtinId="8" hidden="1"/>
    <cellStyle name="Hyperlink" xfId="2590" builtinId="8" hidden="1"/>
    <cellStyle name="Hyperlink" xfId="2592" builtinId="8" hidden="1"/>
    <cellStyle name="Hyperlink" xfId="2594" builtinId="8" hidden="1"/>
    <cellStyle name="Hyperlink" xfId="2596" builtinId="8" hidden="1"/>
    <cellStyle name="Hyperlink" xfId="2598" builtinId="8" hidden="1"/>
    <cellStyle name="Hyperlink" xfId="2600" builtinId="8" hidden="1"/>
    <cellStyle name="Hyperlink" xfId="2602" builtinId="8" hidden="1"/>
    <cellStyle name="Hyperlink" xfId="2604" builtinId="8" hidden="1"/>
    <cellStyle name="Hyperlink" xfId="2606" builtinId="8" hidden="1"/>
    <cellStyle name="Hyperlink" xfId="2608" builtinId="8" hidden="1"/>
    <cellStyle name="Hyperlink" xfId="2610" builtinId="8" hidden="1"/>
    <cellStyle name="Hyperlink" xfId="2612" builtinId="8" hidden="1"/>
    <cellStyle name="Hyperlink" xfId="2614" builtinId="8" hidden="1"/>
    <cellStyle name="Hyperlink" xfId="2616" builtinId="8" hidden="1"/>
    <cellStyle name="Hyperlink" xfId="2618" builtinId="8" hidden="1"/>
    <cellStyle name="Hyperlink" xfId="2620" builtinId="8" hidden="1"/>
    <cellStyle name="Hyperlink" xfId="2622" builtinId="8" hidden="1"/>
    <cellStyle name="Hyperlink" xfId="2624" builtinId="8" hidden="1"/>
    <cellStyle name="Hyperlink" xfId="2626" builtinId="8" hidden="1"/>
    <cellStyle name="Hyperlink" xfId="2628" builtinId="8" hidden="1"/>
    <cellStyle name="Hyperlink" xfId="2630" builtinId="8" hidden="1"/>
    <cellStyle name="Hyperlink" xfId="2632" builtinId="8" hidden="1"/>
    <cellStyle name="Hyperlink" xfId="2634" builtinId="8" hidden="1"/>
    <cellStyle name="Hyperlink" xfId="2636" builtinId="8" hidden="1"/>
    <cellStyle name="Hyperlink" xfId="2638" builtinId="8" hidden="1"/>
    <cellStyle name="Hyperlink" xfId="2640" builtinId="8" hidden="1"/>
    <cellStyle name="Hyperlink" xfId="2642" builtinId="8" hidden="1"/>
    <cellStyle name="Hyperlink" xfId="2644" builtinId="8" hidden="1"/>
    <cellStyle name="Hyperlink" xfId="2646" builtinId="8" hidden="1"/>
    <cellStyle name="Hyperlink" xfId="2648" builtinId="8" hidden="1"/>
    <cellStyle name="Hyperlink" xfId="2650" builtinId="8" hidden="1"/>
    <cellStyle name="Hyperlink" xfId="2652" builtinId="8" hidden="1"/>
    <cellStyle name="Hyperlink" xfId="2654" builtinId="8" hidden="1"/>
    <cellStyle name="Hyperlink" xfId="2656" builtinId="8" hidden="1"/>
    <cellStyle name="Hyperlink" xfId="2658" builtinId="8" hidden="1"/>
    <cellStyle name="Hyperlink" xfId="2660" builtinId="8" hidden="1"/>
    <cellStyle name="Hyperlink" xfId="2662" builtinId="8" hidden="1"/>
    <cellStyle name="Hyperlink" xfId="2664" builtinId="8" hidden="1"/>
    <cellStyle name="Hyperlink" xfId="2666" builtinId="8" hidden="1"/>
    <cellStyle name="Hyperlink" xfId="2668" builtinId="8" hidden="1"/>
    <cellStyle name="Hyperlink" xfId="2670" builtinId="8" hidden="1"/>
    <cellStyle name="Hyperlink" xfId="2672" builtinId="8" hidden="1"/>
    <cellStyle name="Hyperlink" xfId="2674" builtinId="8" hidden="1"/>
    <cellStyle name="Hyperlink" xfId="2676" builtinId="8" hidden="1"/>
    <cellStyle name="Hyperlink" xfId="2678" builtinId="8" hidden="1"/>
    <cellStyle name="Hyperlink" xfId="2680" builtinId="8" hidden="1"/>
    <cellStyle name="Hyperlink" xfId="2682" builtinId="8" hidden="1"/>
    <cellStyle name="Hyperlink" xfId="2684" builtinId="8" hidden="1"/>
    <cellStyle name="Hyperlink" xfId="2686" builtinId="8" hidden="1"/>
    <cellStyle name="Hyperlink" xfId="2688" builtinId="8" hidden="1"/>
    <cellStyle name="Hyperlink" xfId="2690" builtinId="8" hidden="1"/>
    <cellStyle name="Hyperlink" xfId="2692" builtinId="8" hidden="1"/>
    <cellStyle name="Hyperlink" xfId="2694" builtinId="8" hidden="1"/>
    <cellStyle name="Hyperlink" xfId="2696" builtinId="8" hidden="1"/>
    <cellStyle name="Hyperlink" xfId="2698" builtinId="8" hidden="1"/>
    <cellStyle name="Hyperlink" xfId="2700" builtinId="8" hidden="1"/>
    <cellStyle name="Hyperlink" xfId="2702" builtinId="8" hidden="1"/>
    <cellStyle name="Hyperlink" xfId="2704" builtinId="8" hidden="1"/>
    <cellStyle name="Hyperlink" xfId="2706" builtinId="8" hidden="1"/>
    <cellStyle name="Hyperlink" xfId="2708" builtinId="8" hidden="1"/>
    <cellStyle name="Hyperlink" xfId="2710" builtinId="8" hidden="1"/>
    <cellStyle name="Hyperlink" xfId="2712" builtinId="8" hidden="1"/>
    <cellStyle name="Hyperlink" xfId="2714" builtinId="8" hidden="1"/>
    <cellStyle name="Hyperlink" xfId="2716" builtinId="8" hidden="1"/>
    <cellStyle name="Hyperlink" xfId="2718" builtinId="8" hidden="1"/>
    <cellStyle name="Hyperlink" xfId="2720" builtinId="8" hidden="1"/>
    <cellStyle name="Hyperlink" xfId="2722" builtinId="8" hidden="1"/>
    <cellStyle name="Hyperlink" xfId="2724" builtinId="8" hidden="1"/>
    <cellStyle name="Hyperlink" xfId="2726" builtinId="8" hidden="1"/>
    <cellStyle name="Hyperlink" xfId="2728" builtinId="8" hidden="1"/>
    <cellStyle name="Hyperlink" xfId="2730" builtinId="8" hidden="1"/>
    <cellStyle name="Hyperlink" xfId="2732" builtinId="8" hidden="1"/>
    <cellStyle name="Hyperlink" xfId="2734" builtinId="8" hidden="1"/>
    <cellStyle name="Hyperlink" xfId="2736" builtinId="8" hidden="1"/>
    <cellStyle name="Hyperlink" xfId="2738" builtinId="8" hidden="1"/>
    <cellStyle name="Hyperlink" xfId="2740" builtinId="8" hidden="1"/>
    <cellStyle name="Hyperlink" xfId="2742" builtinId="8" hidden="1"/>
    <cellStyle name="Hyperlink" xfId="2744" builtinId="8" hidden="1"/>
    <cellStyle name="Hyperlink" xfId="2746" builtinId="8" hidden="1"/>
    <cellStyle name="Hyperlink" xfId="2748" builtinId="8" hidden="1"/>
    <cellStyle name="Hyperlink" xfId="2750" builtinId="8" hidden="1"/>
    <cellStyle name="Hyperlink" xfId="2752" builtinId="8" hidden="1"/>
    <cellStyle name="Hyperlink" xfId="2754" builtinId="8" hidden="1"/>
    <cellStyle name="Hyperlink" xfId="2756" builtinId="8" hidden="1"/>
    <cellStyle name="Hyperlink" xfId="2758" builtinId="8" hidden="1"/>
    <cellStyle name="Hyperlink" xfId="2760" builtinId="8" hidden="1"/>
    <cellStyle name="Hyperlink" xfId="2762" builtinId="8" hidden="1"/>
    <cellStyle name="Hyperlink" xfId="2764" builtinId="8" hidden="1"/>
    <cellStyle name="Hyperlink" xfId="2766" builtinId="8" hidden="1"/>
    <cellStyle name="Hyperlink" xfId="2768" builtinId="8" hidden="1"/>
    <cellStyle name="Hyperlink" xfId="2770" builtinId="8" hidden="1"/>
    <cellStyle name="Hyperlink" xfId="2772" builtinId="8" hidden="1"/>
    <cellStyle name="Hyperlink" xfId="2774" builtinId="8" hidden="1"/>
    <cellStyle name="Hyperlink" xfId="2776" builtinId="8" hidden="1"/>
    <cellStyle name="Hyperlink" xfId="2778" builtinId="8" hidden="1"/>
    <cellStyle name="Hyperlink" xfId="2780" builtinId="8" hidden="1"/>
    <cellStyle name="Hyperlink" xfId="2782" builtinId="8" hidden="1"/>
    <cellStyle name="Hyperlink" xfId="2784" builtinId="8" hidden="1"/>
    <cellStyle name="Hyperlink" xfId="2786" builtinId="8" hidden="1"/>
    <cellStyle name="Hyperlink" xfId="2788" builtinId="8" hidden="1"/>
    <cellStyle name="Hyperlink" xfId="2790" builtinId="8" hidden="1"/>
    <cellStyle name="Hyperlink" xfId="2792" builtinId="8" hidden="1"/>
    <cellStyle name="Hyperlink" xfId="2794" builtinId="8" hidden="1"/>
    <cellStyle name="Hyperlink" xfId="2796" builtinId="8" hidden="1"/>
    <cellStyle name="Hyperlink" xfId="2798" builtinId="8" hidden="1"/>
    <cellStyle name="Hyperlink" xfId="2800" builtinId="8" hidden="1"/>
    <cellStyle name="Hyperlink" xfId="2802" builtinId="8" hidden="1"/>
    <cellStyle name="Hyperlink" xfId="2804" builtinId="8" hidden="1"/>
    <cellStyle name="Hyperlink" xfId="2806" builtinId="8" hidden="1"/>
    <cellStyle name="Hyperlink" xfId="2808" builtinId="8" hidden="1"/>
    <cellStyle name="Hyperlink" xfId="2810" builtinId="8" hidden="1"/>
    <cellStyle name="Hyperlink" xfId="2812" builtinId="8" hidden="1"/>
    <cellStyle name="Hyperlink" xfId="2814" builtinId="8" hidden="1"/>
    <cellStyle name="Hyperlink" xfId="2816" builtinId="8" hidden="1"/>
    <cellStyle name="Hyperlink" xfId="2818" builtinId="8" hidden="1"/>
    <cellStyle name="Hyperlink" xfId="2820" builtinId="8" hidden="1"/>
    <cellStyle name="Hyperlink" xfId="2822" builtinId="8" hidden="1"/>
    <cellStyle name="Hyperlink" xfId="2824" builtinId="8" hidden="1"/>
    <cellStyle name="Hyperlink" xfId="2826" builtinId="8" hidden="1"/>
    <cellStyle name="Hyperlink" xfId="2828" builtinId="8" hidden="1"/>
    <cellStyle name="Hyperlink" xfId="2830" builtinId="8" hidden="1"/>
    <cellStyle name="Hyperlink" xfId="2832" builtinId="8" hidden="1"/>
    <cellStyle name="Hyperlink" xfId="2834" builtinId="8" hidden="1"/>
    <cellStyle name="Hyperlink" xfId="2836" builtinId="8" hidden="1"/>
    <cellStyle name="Hyperlink" xfId="2838" builtinId="8" hidden="1"/>
    <cellStyle name="Hyperlink" xfId="2840" builtinId="8" hidden="1"/>
    <cellStyle name="Hyperlink" xfId="2842" builtinId="8" hidden="1"/>
    <cellStyle name="Hyperlink" xfId="2844" builtinId="8" hidden="1"/>
    <cellStyle name="Hyperlink" xfId="2846" builtinId="8" hidden="1"/>
    <cellStyle name="Hyperlink" xfId="2848" builtinId="8" hidden="1"/>
    <cellStyle name="Hyperlink" xfId="2850" builtinId="8" hidden="1"/>
    <cellStyle name="Hyperlink" xfId="2852" builtinId="8" hidden="1"/>
    <cellStyle name="Hyperlink" xfId="2854" builtinId="8" hidden="1"/>
    <cellStyle name="Hyperlink" xfId="2856" builtinId="8" hidden="1"/>
    <cellStyle name="Hyperlink" xfId="2858" builtinId="8" hidden="1"/>
    <cellStyle name="Hyperlink" xfId="2860" builtinId="8" hidden="1"/>
    <cellStyle name="Hyperlink" xfId="2862" builtinId="8" hidden="1"/>
    <cellStyle name="Hyperlink" xfId="2864" builtinId="8" hidden="1"/>
    <cellStyle name="Hyperlink" xfId="2866" builtinId="8" hidden="1"/>
    <cellStyle name="Hyperlink" xfId="2868" builtinId="8" hidden="1"/>
    <cellStyle name="Hyperlink" xfId="2870" builtinId="8" hidden="1"/>
    <cellStyle name="Hyperlink" xfId="2872" builtinId="8" hidden="1"/>
    <cellStyle name="Hyperlink" xfId="2874" builtinId="8" hidden="1"/>
    <cellStyle name="Hyperlink" xfId="2876" builtinId="8" hidden="1"/>
    <cellStyle name="Hyperlink" xfId="2878" builtinId="8" hidden="1"/>
    <cellStyle name="Hyperlink" xfId="2880" builtinId="8" hidden="1"/>
    <cellStyle name="Hyperlink" xfId="2882" builtinId="8" hidden="1"/>
    <cellStyle name="Hyperlink" xfId="2884" builtinId="8" hidden="1"/>
    <cellStyle name="Hyperlink" xfId="2886" builtinId="8" hidden="1"/>
    <cellStyle name="Hyperlink" xfId="2888" builtinId="8" hidden="1"/>
    <cellStyle name="Hyperlink" xfId="2890" builtinId="8" hidden="1"/>
    <cellStyle name="Hyperlink" xfId="2892" builtinId="8" hidden="1"/>
    <cellStyle name="Hyperlink" xfId="2894" builtinId="8" hidden="1"/>
    <cellStyle name="Hyperlink" xfId="2896" builtinId="8" hidden="1"/>
    <cellStyle name="Hyperlink" xfId="2898" builtinId="8" hidden="1"/>
    <cellStyle name="Hyperlink" xfId="2900" builtinId="8" hidden="1"/>
    <cellStyle name="Hyperlink" xfId="2902" builtinId="8" hidden="1"/>
    <cellStyle name="Hyperlink" xfId="2904" builtinId="8" hidden="1"/>
    <cellStyle name="Hyperlink" xfId="2906" builtinId="8" hidden="1"/>
    <cellStyle name="Hyperlink" xfId="2908" builtinId="8" hidden="1"/>
    <cellStyle name="Hyperlink" xfId="2910" builtinId="8" hidden="1"/>
    <cellStyle name="Hyperlink" xfId="2912" builtinId="8" hidden="1"/>
    <cellStyle name="Hyperlink" xfId="2914" builtinId="8" hidden="1"/>
    <cellStyle name="Hyperlink" xfId="2916" builtinId="8" hidden="1"/>
    <cellStyle name="Hyperlink" xfId="2918" builtinId="8" hidden="1"/>
    <cellStyle name="Hyperlink" xfId="2920" builtinId="8" hidden="1"/>
    <cellStyle name="Hyperlink" xfId="2922" builtinId="8" hidden="1"/>
    <cellStyle name="Hyperlink" xfId="2924" builtinId="8" hidden="1"/>
    <cellStyle name="Hyperlink" xfId="2926" builtinId="8" hidden="1"/>
    <cellStyle name="Hyperlink" xfId="2928" builtinId="8" hidden="1"/>
    <cellStyle name="Hyperlink" xfId="2930" builtinId="8" hidden="1"/>
    <cellStyle name="Hyperlink" xfId="2932" builtinId="8" hidden="1"/>
    <cellStyle name="Hyperlink" xfId="2934" builtinId="8" hidden="1"/>
    <cellStyle name="Hyperlink" xfId="2936" builtinId="8" hidden="1"/>
    <cellStyle name="Hyperlink" xfId="2938" builtinId="8" hidden="1"/>
    <cellStyle name="Hyperlink" xfId="2940" builtinId="8" hidden="1"/>
    <cellStyle name="Hyperlink" xfId="2942" builtinId="8" hidden="1"/>
    <cellStyle name="Hyperlink" xfId="2944" builtinId="8" hidden="1"/>
    <cellStyle name="Hyperlink" xfId="2946" builtinId="8" hidden="1"/>
    <cellStyle name="Hyperlink" xfId="2948" builtinId="8" hidden="1"/>
    <cellStyle name="Hyperlink" xfId="2950" builtinId="8" hidden="1"/>
    <cellStyle name="Hyperlink" xfId="2952" builtinId="8" hidden="1"/>
    <cellStyle name="Hyperlink" xfId="2954" builtinId="8" hidden="1"/>
    <cellStyle name="Hyperlink" xfId="2956" builtinId="8" hidden="1"/>
    <cellStyle name="Hyperlink" xfId="2958" builtinId="8" hidden="1"/>
    <cellStyle name="Hyperlink" xfId="2960" builtinId="8" hidden="1"/>
    <cellStyle name="Hyperlink" xfId="2962" builtinId="8" hidden="1"/>
    <cellStyle name="Hyperlink" xfId="2964" builtinId="8" hidden="1"/>
    <cellStyle name="Hyperlink" xfId="2966" builtinId="8" hidden="1"/>
    <cellStyle name="Hyperlink" xfId="2968" builtinId="8" hidden="1"/>
    <cellStyle name="Hyperlink" xfId="2970" builtinId="8" hidden="1"/>
    <cellStyle name="Hyperlink" xfId="2972" builtinId="8" hidden="1"/>
    <cellStyle name="Hyperlink" xfId="2974" builtinId="8" hidden="1"/>
    <cellStyle name="Hyperlink" xfId="2976" builtinId="8" hidden="1"/>
    <cellStyle name="Hyperlink" xfId="2978" builtinId="8" hidden="1"/>
    <cellStyle name="Hyperlink" xfId="2980" builtinId="8" hidden="1"/>
    <cellStyle name="Hyperlink" xfId="2982" builtinId="8" hidden="1"/>
    <cellStyle name="Hyperlink" xfId="2984" builtinId="8" hidden="1"/>
    <cellStyle name="Hyperlink" xfId="2986" builtinId="8" hidden="1"/>
    <cellStyle name="Hyperlink" xfId="2988" builtinId="8" hidden="1"/>
    <cellStyle name="Hyperlink" xfId="2990" builtinId="8" hidden="1"/>
    <cellStyle name="Hyperlink" xfId="2992" builtinId="8" hidden="1"/>
    <cellStyle name="Hyperlink" xfId="2994" builtinId="8" hidden="1"/>
    <cellStyle name="Hyperlink" xfId="2996" builtinId="8" hidden="1"/>
    <cellStyle name="Hyperlink" xfId="2998" builtinId="8" hidden="1"/>
    <cellStyle name="Hyperlink" xfId="3000" builtinId="8" hidden="1"/>
    <cellStyle name="Hyperlink" xfId="3002" builtinId="8" hidden="1"/>
    <cellStyle name="Hyperlink" xfId="3004" builtinId="8" hidden="1"/>
    <cellStyle name="Hyperlink" xfId="3006" builtinId="8" hidden="1"/>
    <cellStyle name="Hyperlink" xfId="3008" builtinId="8" hidden="1"/>
    <cellStyle name="Hyperlink" xfId="3010" builtinId="8" hidden="1"/>
    <cellStyle name="Hyperlink" xfId="3012" builtinId="8" hidden="1"/>
    <cellStyle name="Hyperlink" xfId="3014" builtinId="8" hidden="1"/>
    <cellStyle name="Hyperlink" xfId="3016" builtinId="8" hidden="1"/>
    <cellStyle name="Hyperlink" xfId="3018" builtinId="8" hidden="1"/>
    <cellStyle name="Hyperlink" xfId="3020" builtinId="8" hidden="1"/>
    <cellStyle name="Hyperlink" xfId="3022" builtinId="8" hidden="1"/>
    <cellStyle name="Hyperlink" xfId="3024" builtinId="8" hidden="1"/>
    <cellStyle name="Hyperlink" xfId="3026" builtinId="8" hidden="1"/>
    <cellStyle name="Hyperlink" xfId="3028" builtinId="8" hidden="1"/>
    <cellStyle name="Hyperlink" xfId="3030" builtinId="8" hidden="1"/>
    <cellStyle name="Hyperlink" xfId="3032" builtinId="8" hidden="1"/>
    <cellStyle name="Hyperlink" xfId="3034" builtinId="8" hidden="1"/>
    <cellStyle name="Hyperlink" xfId="3036" builtinId="8" hidden="1"/>
    <cellStyle name="Hyperlink" xfId="3038" builtinId="8" hidden="1"/>
    <cellStyle name="Hyperlink" xfId="3040" builtinId="8" hidden="1"/>
    <cellStyle name="Hyperlink" xfId="3042" builtinId="8" hidden="1"/>
    <cellStyle name="Hyperlink" xfId="3044" builtinId="8" hidden="1"/>
    <cellStyle name="Hyperlink" xfId="3046" builtinId="8" hidden="1"/>
    <cellStyle name="Hyperlink" xfId="3048" builtinId="8" hidden="1"/>
    <cellStyle name="Hyperlink" xfId="3050" builtinId="8" hidden="1"/>
    <cellStyle name="Hyperlink" xfId="3052" builtinId="8" hidden="1"/>
    <cellStyle name="Hyperlink" xfId="3054" builtinId="8" hidden="1"/>
    <cellStyle name="Hyperlink" xfId="3056" builtinId="8" hidden="1"/>
    <cellStyle name="Hyperlink" xfId="3058" builtinId="8" hidden="1"/>
    <cellStyle name="Hyperlink" xfId="3060" builtinId="8" hidden="1"/>
    <cellStyle name="Hyperlink" xfId="3062" builtinId="8" hidden="1"/>
    <cellStyle name="Hyperlink" xfId="3064" builtinId="8" hidden="1"/>
    <cellStyle name="Hyperlink" xfId="3066" builtinId="8" hidden="1"/>
    <cellStyle name="Hyperlink" xfId="3068" builtinId="8" hidden="1"/>
    <cellStyle name="Hyperlink" xfId="3070" builtinId="8" hidden="1"/>
    <cellStyle name="Hyperlink" xfId="3072" builtinId="8" hidden="1"/>
    <cellStyle name="Hyperlink" xfId="3074" builtinId="8" hidden="1"/>
    <cellStyle name="Hyperlink" xfId="3076" builtinId="8" hidden="1"/>
    <cellStyle name="Hyperlink" xfId="3078" builtinId="8" hidden="1"/>
    <cellStyle name="Hyperlink" xfId="3080" builtinId="8" hidden="1"/>
    <cellStyle name="Hyperlink" xfId="3082" builtinId="8" hidden="1"/>
    <cellStyle name="Hyperlink" xfId="3084" builtinId="8" hidden="1"/>
    <cellStyle name="Hyperlink" xfId="3086" builtinId="8" hidden="1"/>
    <cellStyle name="Hyperlink" xfId="3088" builtinId="8" hidden="1"/>
    <cellStyle name="Hyperlink" xfId="3090" builtinId="8" hidden="1"/>
    <cellStyle name="Hyperlink" xfId="3092" builtinId="8" hidden="1"/>
    <cellStyle name="Hyperlink" xfId="3094" builtinId="8" hidden="1"/>
    <cellStyle name="Hyperlink" xfId="3096" builtinId="8" hidden="1"/>
    <cellStyle name="Hyperlink" xfId="3098" builtinId="8" hidden="1"/>
    <cellStyle name="Hyperlink" xfId="3100" builtinId="8" hidden="1"/>
    <cellStyle name="Hyperlink" xfId="3102" builtinId="8" hidden="1"/>
    <cellStyle name="Hyperlink" xfId="3104" builtinId="8" hidden="1"/>
    <cellStyle name="Hyperlink" xfId="3106" builtinId="8" hidden="1"/>
    <cellStyle name="Hyperlink" xfId="3108" builtinId="8" hidden="1"/>
    <cellStyle name="Hyperlink" xfId="3110" builtinId="8" hidden="1"/>
    <cellStyle name="Hyperlink" xfId="3112" builtinId="8" hidden="1"/>
    <cellStyle name="Hyperlink" xfId="3114" builtinId="8" hidden="1"/>
    <cellStyle name="Hyperlink" xfId="3116" builtinId="8" hidden="1"/>
    <cellStyle name="Hyperlink" xfId="3118" builtinId="8" hidden="1"/>
    <cellStyle name="Hyperlink" xfId="3120" builtinId="8" hidden="1"/>
    <cellStyle name="Hyperlink" xfId="3122" builtinId="8" hidden="1"/>
    <cellStyle name="Hyperlink" xfId="3124" builtinId="8" hidden="1"/>
    <cellStyle name="Hyperlink" xfId="3126" builtinId="8" hidden="1"/>
    <cellStyle name="Hyperlink" xfId="3128" builtinId="8" hidden="1"/>
    <cellStyle name="Hyperlink" xfId="3130" builtinId="8" hidden="1"/>
    <cellStyle name="Hyperlink" xfId="3132" builtinId="8" hidden="1"/>
    <cellStyle name="Hyperlink" xfId="3134" builtinId="8" hidden="1"/>
    <cellStyle name="Hyperlink" xfId="3136" builtinId="8" hidden="1"/>
    <cellStyle name="Hyperlink" xfId="3138" builtinId="8" hidden="1"/>
    <cellStyle name="Hyperlink" xfId="3140" builtinId="8" hidden="1"/>
    <cellStyle name="Hyperlink" xfId="3142" builtinId="8" hidden="1"/>
    <cellStyle name="Hyperlink" xfId="3144" builtinId="8" hidden="1"/>
    <cellStyle name="Hyperlink" xfId="3146" builtinId="8" hidden="1"/>
    <cellStyle name="Hyperlink" xfId="3148" builtinId="8" hidden="1"/>
    <cellStyle name="Hyperlink" xfId="3150" builtinId="8" hidden="1"/>
    <cellStyle name="Hyperlink" xfId="3152" builtinId="8" hidden="1"/>
    <cellStyle name="Hyperlink" xfId="3154" builtinId="8" hidden="1"/>
    <cellStyle name="Hyperlink" xfId="3156" builtinId="8" hidden="1"/>
    <cellStyle name="Hyperlink" xfId="3158" builtinId="8" hidden="1"/>
    <cellStyle name="Hyperlink" xfId="3160" builtinId="8" hidden="1"/>
    <cellStyle name="Hyperlink" xfId="3162" builtinId="8" hidden="1"/>
    <cellStyle name="Hyperlink" xfId="3164" builtinId="8" hidden="1"/>
    <cellStyle name="Hyperlink" xfId="3166" builtinId="8" hidden="1"/>
    <cellStyle name="Hyperlink" xfId="3168" builtinId="8" hidden="1"/>
    <cellStyle name="Hyperlink" xfId="3170" builtinId="8" hidden="1"/>
    <cellStyle name="Hyperlink" xfId="3172" builtinId="8" hidden="1"/>
    <cellStyle name="Hyperlink" xfId="3174" builtinId="8" hidden="1"/>
    <cellStyle name="Hyperlink" xfId="3176" builtinId="8" hidden="1"/>
    <cellStyle name="Hyperlink" xfId="3178" builtinId="8" hidden="1"/>
    <cellStyle name="Hyperlink" xfId="3180" builtinId="8" hidden="1"/>
    <cellStyle name="Hyperlink" xfId="3182" builtinId="8" hidden="1"/>
    <cellStyle name="Hyperlink" xfId="3184" builtinId="8" hidden="1"/>
    <cellStyle name="Hyperlink" xfId="3186" builtinId="8" hidden="1"/>
    <cellStyle name="Hyperlink" xfId="3188" builtinId="8" hidden="1"/>
    <cellStyle name="Hyperlink" xfId="3190" builtinId="8" hidden="1"/>
    <cellStyle name="Hyperlink" xfId="3192" builtinId="8" hidden="1"/>
    <cellStyle name="Hyperlink" xfId="3194" builtinId="8" hidden="1"/>
    <cellStyle name="Hyperlink" xfId="3196" builtinId="8" hidden="1"/>
    <cellStyle name="Hyperlink" xfId="3198" builtinId="8" hidden="1"/>
    <cellStyle name="Hyperlink" xfId="3200" builtinId="8" hidden="1"/>
    <cellStyle name="Hyperlink" xfId="3202" builtinId="8" hidden="1"/>
    <cellStyle name="Hyperlink" xfId="3204" builtinId="8" hidden="1"/>
    <cellStyle name="Hyperlink" xfId="3206" builtinId="8" hidden="1"/>
    <cellStyle name="Hyperlink" xfId="3208" builtinId="8" hidden="1"/>
    <cellStyle name="Hyperlink" xfId="3210" builtinId="8" hidden="1"/>
    <cellStyle name="Hyperlink" xfId="3212" builtinId="8" hidden="1"/>
    <cellStyle name="Hyperlink" xfId="3214" builtinId="8" hidden="1"/>
    <cellStyle name="Hyperlink" xfId="3216" builtinId="8" hidden="1"/>
    <cellStyle name="Hyperlink" xfId="3218" builtinId="8" hidden="1"/>
    <cellStyle name="Hyperlink" xfId="3220" builtinId="8" hidden="1"/>
    <cellStyle name="Hyperlink" xfId="3222" builtinId="8" hidden="1"/>
    <cellStyle name="Hyperlink" xfId="3224" builtinId="8" hidden="1"/>
    <cellStyle name="Hyperlink" xfId="3226" builtinId="8" hidden="1"/>
    <cellStyle name="Hyperlink" xfId="3228" builtinId="8" hidden="1"/>
    <cellStyle name="Hyperlink" xfId="3230" builtinId="8" hidden="1"/>
    <cellStyle name="Hyperlink" xfId="3232" builtinId="8" hidden="1"/>
    <cellStyle name="Hyperlink" xfId="3234" builtinId="8" hidden="1"/>
    <cellStyle name="Hyperlink" xfId="3236" builtinId="8" hidden="1"/>
    <cellStyle name="Hyperlink" xfId="3238" builtinId="8" hidden="1"/>
    <cellStyle name="Hyperlink" xfId="3240" builtinId="8" hidden="1"/>
    <cellStyle name="Hyperlink" xfId="3242" builtinId="8" hidden="1"/>
    <cellStyle name="Hyperlink" xfId="3244" builtinId="8" hidden="1"/>
    <cellStyle name="Hyperlink" xfId="3246" builtinId="8" hidden="1"/>
    <cellStyle name="Hyperlink" xfId="3248" builtinId="8" hidden="1"/>
    <cellStyle name="Hyperlink" xfId="3250" builtinId="8" hidden="1"/>
    <cellStyle name="Hyperlink" xfId="3252" builtinId="8" hidden="1"/>
    <cellStyle name="Hyperlink" xfId="3254" builtinId="8" hidden="1"/>
    <cellStyle name="Hyperlink" xfId="3256" builtinId="8" hidden="1"/>
    <cellStyle name="Hyperlink" xfId="3258" builtinId="8" hidden="1"/>
    <cellStyle name="Hyperlink" xfId="3260" builtinId="8" hidden="1"/>
    <cellStyle name="Hyperlink" xfId="3262" builtinId="8" hidden="1"/>
    <cellStyle name="Hyperlink" xfId="3264" builtinId="8" hidden="1"/>
    <cellStyle name="Hyperlink" xfId="3266" builtinId="8" hidden="1"/>
    <cellStyle name="Hyperlink" xfId="3268" builtinId="8" hidden="1"/>
    <cellStyle name="Hyperlink" xfId="3270" builtinId="8" hidden="1"/>
    <cellStyle name="Hyperlink" xfId="3272" builtinId="8" hidden="1"/>
    <cellStyle name="Hyperlink" xfId="3274" builtinId="8" hidden="1"/>
    <cellStyle name="Hyperlink" xfId="3276" builtinId="8" hidden="1"/>
    <cellStyle name="Hyperlink" xfId="3278" builtinId="8" hidden="1"/>
    <cellStyle name="Hyperlink" xfId="3280" builtinId="8" hidden="1"/>
    <cellStyle name="Hyperlink" xfId="3282" builtinId="8" hidden="1"/>
    <cellStyle name="Hyperlink" xfId="3284" builtinId="8" hidden="1"/>
    <cellStyle name="Hyperlink" xfId="3286" builtinId="8" hidden="1"/>
    <cellStyle name="Hyperlink" xfId="3288" builtinId="8" hidden="1"/>
    <cellStyle name="Hyperlink" xfId="3290" builtinId="8" hidden="1"/>
    <cellStyle name="Hyperlink" xfId="3292" builtinId="8" hidden="1"/>
    <cellStyle name="Hyperlink" xfId="3294" builtinId="8" hidden="1"/>
    <cellStyle name="Hyperlink" xfId="3296" builtinId="8" hidden="1"/>
    <cellStyle name="Hyperlink" xfId="3298" builtinId="8" hidden="1"/>
    <cellStyle name="Hyperlink" xfId="3300" builtinId="8" hidden="1"/>
    <cellStyle name="Hyperlink" xfId="3302" builtinId="8" hidden="1"/>
    <cellStyle name="Hyperlink" xfId="3304" builtinId="8" hidden="1"/>
    <cellStyle name="Hyperlink" xfId="3306" builtinId="8" hidden="1"/>
    <cellStyle name="Hyperlink" xfId="3308" builtinId="8" hidden="1"/>
    <cellStyle name="Hyperlink" xfId="3310" builtinId="8" hidden="1"/>
    <cellStyle name="Hyperlink" xfId="3312" builtinId="8" hidden="1"/>
    <cellStyle name="Hyperlink" xfId="3314" builtinId="8" hidden="1"/>
    <cellStyle name="Hyperlink" xfId="3316" builtinId="8" hidden="1"/>
    <cellStyle name="Hyperlink" xfId="3318" builtinId="8" hidden="1"/>
    <cellStyle name="Hyperlink" xfId="3320" builtinId="8" hidden="1"/>
    <cellStyle name="Hyperlink" xfId="3322" builtinId="8" hidden="1"/>
    <cellStyle name="Hyperlink" xfId="3324" builtinId="8" hidden="1"/>
    <cellStyle name="Hyperlink" xfId="3326" builtinId="8" hidden="1"/>
    <cellStyle name="Hyperlink" xfId="3328" builtinId="8" hidden="1"/>
    <cellStyle name="Hyperlink" xfId="3330" builtinId="8" hidden="1"/>
    <cellStyle name="Hyperlink" xfId="3332" builtinId="8" hidden="1"/>
    <cellStyle name="Hyperlink" xfId="3334" builtinId="8" hidden="1"/>
    <cellStyle name="Hyperlink" xfId="3336" builtinId="8" hidden="1"/>
    <cellStyle name="Hyperlink" xfId="3338" builtinId="8" hidden="1"/>
    <cellStyle name="Hyperlink" xfId="3340" builtinId="8" hidden="1"/>
    <cellStyle name="Hyperlink" xfId="3342" builtinId="8" hidden="1"/>
    <cellStyle name="Hyperlink" xfId="3344" builtinId="8" hidden="1"/>
    <cellStyle name="Hyperlink" xfId="3346" builtinId="8" hidden="1"/>
    <cellStyle name="Hyperlink" xfId="3348" builtinId="8" hidden="1"/>
    <cellStyle name="Hyperlink" xfId="3350" builtinId="8" hidden="1"/>
    <cellStyle name="Hyperlink" xfId="3352" builtinId="8" hidden="1"/>
    <cellStyle name="Hyperlink" xfId="3354" builtinId="8" hidden="1"/>
    <cellStyle name="Hyperlink" xfId="3356" builtinId="8" hidden="1"/>
    <cellStyle name="Hyperlink" xfId="3358" builtinId="8" hidden="1"/>
    <cellStyle name="Hyperlink" xfId="3360" builtinId="8" hidden="1"/>
    <cellStyle name="Hyperlink" xfId="3362" builtinId="8" hidden="1"/>
    <cellStyle name="Hyperlink" xfId="3364" builtinId="8" hidden="1"/>
    <cellStyle name="Hyperlink" xfId="3366" builtinId="8" hidden="1"/>
    <cellStyle name="Hyperlink" xfId="3368" builtinId="8" hidden="1"/>
    <cellStyle name="Hyperlink" xfId="3370" builtinId="8" hidden="1"/>
    <cellStyle name="Hyperlink" xfId="3372" builtinId="8" hidden="1"/>
    <cellStyle name="Hyperlink" xfId="3374" builtinId="8" hidden="1"/>
    <cellStyle name="Hyperlink" xfId="3376" builtinId="8" hidden="1"/>
    <cellStyle name="Hyperlink" xfId="3378" builtinId="8" hidden="1"/>
    <cellStyle name="Hyperlink" xfId="3380" builtinId="8" hidden="1"/>
    <cellStyle name="Hyperlink" xfId="3382" builtinId="8" hidden="1"/>
    <cellStyle name="Hyperlink" xfId="3384" builtinId="8" hidden="1"/>
    <cellStyle name="Hyperlink" xfId="3386" builtinId="8" hidden="1"/>
    <cellStyle name="Hyperlink" xfId="3388" builtinId="8" hidden="1"/>
    <cellStyle name="Hyperlink" xfId="3390" builtinId="8" hidden="1"/>
    <cellStyle name="Hyperlink" xfId="3392" builtinId="8" hidden="1"/>
    <cellStyle name="Hyperlink" xfId="3394" builtinId="8" hidden="1"/>
    <cellStyle name="Hyperlink" xfId="3396" builtinId="8" hidden="1"/>
    <cellStyle name="Hyperlink" xfId="3398" builtinId="8" hidden="1"/>
    <cellStyle name="Hyperlink" xfId="3400" builtinId="8" hidden="1"/>
    <cellStyle name="Hyperlink" xfId="3402" builtinId="8" hidden="1"/>
    <cellStyle name="Hyperlink" xfId="3404" builtinId="8" hidden="1"/>
    <cellStyle name="Hyperlink" xfId="3406" builtinId="8" hidden="1"/>
    <cellStyle name="Hyperlink" xfId="3408" builtinId="8" hidden="1"/>
    <cellStyle name="Hyperlink" xfId="3410" builtinId="8" hidden="1"/>
    <cellStyle name="Hyperlink" xfId="3412" builtinId="8" hidden="1"/>
    <cellStyle name="Hyperlink" xfId="3414" builtinId="8" hidden="1"/>
    <cellStyle name="Hyperlink" xfId="3416" builtinId="8" hidden="1"/>
    <cellStyle name="Hyperlink" xfId="3418" builtinId="8" hidden="1"/>
    <cellStyle name="Hyperlink" xfId="3420" builtinId="8" hidden="1"/>
    <cellStyle name="Hyperlink" xfId="3422" builtinId="8" hidden="1"/>
    <cellStyle name="Hyperlink" xfId="3424" builtinId="8" hidden="1"/>
    <cellStyle name="Hyperlink" xfId="3426" builtinId="8" hidden="1"/>
    <cellStyle name="Hyperlink" xfId="3428" builtinId="8" hidden="1"/>
    <cellStyle name="Hyperlink" xfId="3430" builtinId="8" hidden="1"/>
    <cellStyle name="Hyperlink" xfId="3432" builtinId="8" hidden="1"/>
    <cellStyle name="Hyperlink" xfId="3434" builtinId="8" hidden="1"/>
    <cellStyle name="Hyperlink" xfId="3436" builtinId="8" hidden="1"/>
    <cellStyle name="Hyperlink" xfId="3438" builtinId="8" hidden="1"/>
    <cellStyle name="Hyperlink" xfId="3440" builtinId="8" hidden="1"/>
    <cellStyle name="Hyperlink" xfId="3442" builtinId="8" hidden="1"/>
    <cellStyle name="Hyperlink" xfId="3444" builtinId="8" hidden="1"/>
    <cellStyle name="Hyperlink" xfId="3446" builtinId="8" hidden="1"/>
    <cellStyle name="Hyperlink" xfId="3448" builtinId="8" hidden="1"/>
    <cellStyle name="Hyperlink" xfId="3450" builtinId="8" hidden="1"/>
    <cellStyle name="Hyperlink" xfId="3452" builtinId="8" hidden="1"/>
    <cellStyle name="Hyperlink" xfId="3454" builtinId="8" hidden="1"/>
    <cellStyle name="Hyperlink" xfId="3456" builtinId="8" hidden="1"/>
    <cellStyle name="Hyperlink" xfId="3458" builtinId="8" hidden="1"/>
    <cellStyle name="Hyperlink" xfId="3460" builtinId="8" hidden="1"/>
    <cellStyle name="Hyperlink" xfId="3462" builtinId="8" hidden="1"/>
    <cellStyle name="Hyperlink" xfId="3464" builtinId="8" hidden="1"/>
    <cellStyle name="Hyperlink" xfId="3466" builtinId="8" hidden="1"/>
    <cellStyle name="Hyperlink" xfId="3468" builtinId="8" hidden="1"/>
    <cellStyle name="Hyperlink" xfId="3470" builtinId="8" hidden="1"/>
    <cellStyle name="Hyperlink" xfId="3472" builtinId="8" hidden="1"/>
    <cellStyle name="Hyperlink" xfId="3474" builtinId="8" hidden="1"/>
    <cellStyle name="Hyperlink" xfId="3476" builtinId="8" hidden="1"/>
    <cellStyle name="Hyperlink" xfId="3478" builtinId="8" hidden="1"/>
    <cellStyle name="Hyperlink" xfId="3480" builtinId="8" hidden="1"/>
    <cellStyle name="Hyperlink" xfId="3482" builtinId="8" hidden="1"/>
    <cellStyle name="Hyperlink" xfId="3484" builtinId="8" hidden="1"/>
    <cellStyle name="Hyperlink" xfId="3486" builtinId="8" hidden="1"/>
    <cellStyle name="Hyperlink" xfId="3488" builtinId="8" hidden="1"/>
    <cellStyle name="Hyperlink" xfId="3490" builtinId="8" hidden="1"/>
    <cellStyle name="Hyperlink" xfId="3492" builtinId="8" hidden="1"/>
    <cellStyle name="Hyperlink" xfId="3494" builtinId="8" hidden="1"/>
    <cellStyle name="Hyperlink" xfId="3496" builtinId="8" hidden="1"/>
    <cellStyle name="Hyperlink" xfId="3498" builtinId="8" hidden="1"/>
    <cellStyle name="Hyperlink" xfId="3500" builtinId="8" hidden="1"/>
    <cellStyle name="Hyperlink" xfId="3502" builtinId="8" hidden="1"/>
    <cellStyle name="Hyperlink" xfId="3504" builtinId="8" hidden="1"/>
    <cellStyle name="Hyperlink" xfId="3506" builtinId="8" hidden="1"/>
    <cellStyle name="Hyperlink" xfId="3508" builtinId="8" hidden="1"/>
    <cellStyle name="Hyperlink" xfId="3510" builtinId="8" hidden="1"/>
    <cellStyle name="Hyperlink" xfId="3512" builtinId="8" hidden="1"/>
    <cellStyle name="Hyperlink" xfId="3514" builtinId="8" hidden="1"/>
    <cellStyle name="Hyperlink" xfId="3516" builtinId="8" hidden="1"/>
    <cellStyle name="Hyperlink" xfId="3518" builtinId="8" hidden="1"/>
    <cellStyle name="Hyperlink" xfId="3520" builtinId="8" hidden="1"/>
    <cellStyle name="Hyperlink" xfId="3522" builtinId="8" hidden="1"/>
    <cellStyle name="Hyperlink" xfId="3524" builtinId="8" hidden="1"/>
    <cellStyle name="Hyperlink" xfId="3526" builtinId="8" hidden="1"/>
    <cellStyle name="Hyperlink" xfId="3528" builtinId="8" hidden="1"/>
    <cellStyle name="Hyperlink" xfId="3530" builtinId="8" hidden="1"/>
    <cellStyle name="Hyperlink" xfId="3532" builtinId="8" hidden="1"/>
    <cellStyle name="Hyperlink" xfId="3534" builtinId="8" hidden="1"/>
    <cellStyle name="Hyperlink" xfId="3536" builtinId="8" hidden="1"/>
    <cellStyle name="Hyperlink" xfId="3538" builtinId="8" hidden="1"/>
    <cellStyle name="Hyperlink" xfId="3540" builtinId="8" hidden="1"/>
    <cellStyle name="Hyperlink" xfId="3542" builtinId="8" hidden="1"/>
    <cellStyle name="Hyperlink" xfId="3544" builtinId="8" hidden="1"/>
    <cellStyle name="Hyperlink" xfId="3546" builtinId="8" hidden="1"/>
    <cellStyle name="Hyperlink" xfId="3548" builtinId="8" hidden="1"/>
    <cellStyle name="Hyperlink" xfId="3550" builtinId="8" hidden="1"/>
    <cellStyle name="Hyperlink" xfId="3552" builtinId="8" hidden="1"/>
    <cellStyle name="Hyperlink" xfId="3554" builtinId="8" hidden="1"/>
    <cellStyle name="Hyperlink" xfId="3556" builtinId="8" hidden="1"/>
    <cellStyle name="Hyperlink" xfId="3558" builtinId="8" hidden="1"/>
    <cellStyle name="Hyperlink" xfId="3560" builtinId="8" hidden="1"/>
    <cellStyle name="Hyperlink" xfId="3562" builtinId="8" hidden="1"/>
    <cellStyle name="Hyperlink" xfId="3564" builtinId="8" hidden="1"/>
    <cellStyle name="Hyperlink" xfId="3566" builtinId="8" hidden="1"/>
    <cellStyle name="Hyperlink" xfId="3568" builtinId="8" hidden="1"/>
    <cellStyle name="Hyperlink" xfId="3570" builtinId="8" hidden="1"/>
    <cellStyle name="Hyperlink" xfId="3572" builtinId="8" hidden="1"/>
    <cellStyle name="Hyperlink" xfId="3574" builtinId="8" hidden="1"/>
    <cellStyle name="Hyperlink" xfId="3576" builtinId="8" hidden="1"/>
    <cellStyle name="Hyperlink" xfId="3578" builtinId="8" hidden="1"/>
    <cellStyle name="Hyperlink" xfId="3580" builtinId="8" hidden="1"/>
    <cellStyle name="Hyperlink" xfId="3582" builtinId="8" hidden="1"/>
    <cellStyle name="Hyperlink" xfId="3584" builtinId="8" hidden="1"/>
    <cellStyle name="Hyperlink" xfId="3586" builtinId="8" hidden="1"/>
    <cellStyle name="Hyperlink" xfId="3588" builtinId="8" hidden="1"/>
    <cellStyle name="Hyperlink" xfId="3590" builtinId="8" hidden="1"/>
    <cellStyle name="Hyperlink" xfId="3592" builtinId="8" hidden="1"/>
    <cellStyle name="Hyperlink" xfId="3594" builtinId="8" hidden="1"/>
    <cellStyle name="Hyperlink" xfId="3596" builtinId="8" hidden="1"/>
    <cellStyle name="Hyperlink" xfId="3598" builtinId="8" hidden="1"/>
    <cellStyle name="Hyperlink" xfId="3600" builtinId="8" hidden="1"/>
    <cellStyle name="Hyperlink" xfId="3602" builtinId="8" hidden="1"/>
    <cellStyle name="Hyperlink" xfId="3604" builtinId="8" hidden="1"/>
    <cellStyle name="Hyperlink" xfId="3606" builtinId="8" hidden="1"/>
    <cellStyle name="Hyperlink" xfId="3608" builtinId="8" hidden="1"/>
    <cellStyle name="Hyperlink" xfId="3610" builtinId="8" hidden="1"/>
    <cellStyle name="Hyperlink" xfId="3612" builtinId="8" hidden="1"/>
    <cellStyle name="Hyperlink" xfId="3614" builtinId="8" hidden="1"/>
    <cellStyle name="Hyperlink" xfId="3616" builtinId="8" hidden="1"/>
    <cellStyle name="Hyperlink" xfId="3618" builtinId="8" hidden="1"/>
    <cellStyle name="Hyperlink" xfId="3620" builtinId="8" hidden="1"/>
    <cellStyle name="Hyperlink" xfId="3622" builtinId="8" hidden="1"/>
    <cellStyle name="Hyperlink" xfId="3624" builtinId="8" hidden="1"/>
    <cellStyle name="Hyperlink" xfId="3626" builtinId="8" hidden="1"/>
    <cellStyle name="Hyperlink" xfId="3628" builtinId="8" hidden="1"/>
    <cellStyle name="Hyperlink" xfId="3630" builtinId="8" hidden="1"/>
    <cellStyle name="Hyperlink" xfId="3632" builtinId="8" hidden="1"/>
    <cellStyle name="Hyperlink" xfId="3634" builtinId="8" hidden="1"/>
    <cellStyle name="Hyperlink" xfId="3636" builtinId="8" hidden="1"/>
    <cellStyle name="Hyperlink" xfId="3638" builtinId="8" hidden="1"/>
    <cellStyle name="Hyperlink" xfId="3640" builtinId="8" hidden="1"/>
    <cellStyle name="Hyperlink" xfId="3642" builtinId="8" hidden="1"/>
    <cellStyle name="Hyperlink" xfId="3644" builtinId="8" hidden="1"/>
    <cellStyle name="Hyperlink" xfId="3646" builtinId="8" hidden="1"/>
    <cellStyle name="Hyperlink" xfId="3648" builtinId="8" hidden="1"/>
    <cellStyle name="Hyperlink" xfId="3650" builtinId="8" hidden="1"/>
    <cellStyle name="Hyperlink" xfId="3652" builtinId="8" hidden="1"/>
    <cellStyle name="Hyperlink" xfId="3654" builtinId="8" hidden="1"/>
    <cellStyle name="Hyperlink" xfId="3656" builtinId="8" hidden="1"/>
    <cellStyle name="Hyperlink" xfId="3658" builtinId="8" hidden="1"/>
    <cellStyle name="Hyperlink" xfId="3660" builtinId="8" hidden="1"/>
    <cellStyle name="Hyperlink" xfId="3662" builtinId="8" hidden="1"/>
    <cellStyle name="Hyperlink" xfId="3664" builtinId="8" hidden="1"/>
    <cellStyle name="Hyperlink" xfId="3666" builtinId="8" hidden="1"/>
    <cellStyle name="Hyperlink" xfId="3668" builtinId="8" hidden="1"/>
    <cellStyle name="Hyperlink" xfId="3670" builtinId="8" hidden="1"/>
    <cellStyle name="Hyperlink" xfId="3672" builtinId="8" hidden="1"/>
    <cellStyle name="Hyperlink" xfId="3674" builtinId="8" hidden="1"/>
    <cellStyle name="Hyperlink" xfId="3676" builtinId="8" hidden="1"/>
    <cellStyle name="Hyperlink" xfId="3678" builtinId="8" hidden="1"/>
    <cellStyle name="Hyperlink" xfId="3680" builtinId="8" hidden="1"/>
    <cellStyle name="Hyperlink" xfId="3682" builtinId="8" hidden="1"/>
    <cellStyle name="Hyperlink" xfId="3684" builtinId="8" hidden="1"/>
    <cellStyle name="Hyperlink" xfId="3686" builtinId="8" hidden="1"/>
    <cellStyle name="Hyperlink" xfId="3688" builtinId="8" hidden="1"/>
    <cellStyle name="Hyperlink" xfId="3690" builtinId="8" hidden="1"/>
    <cellStyle name="Hyperlink" xfId="3692" builtinId="8" hidden="1"/>
    <cellStyle name="Hyperlink" xfId="3694" builtinId="8" hidden="1"/>
    <cellStyle name="Hyperlink" xfId="3696" builtinId="8" hidden="1"/>
    <cellStyle name="Hyperlink" xfId="3698" builtinId="8" hidden="1"/>
    <cellStyle name="Hyperlink" xfId="3700" builtinId="8" hidden="1"/>
    <cellStyle name="Hyperlink" xfId="3702" builtinId="8" hidden="1"/>
    <cellStyle name="Hyperlink" xfId="3704" builtinId="8" hidden="1"/>
    <cellStyle name="Hyperlink" xfId="3706" builtinId="8" hidden="1"/>
    <cellStyle name="Hyperlink" xfId="3708" builtinId="8" hidden="1"/>
    <cellStyle name="Hyperlink" xfId="3710" builtinId="8" hidden="1"/>
    <cellStyle name="Hyperlink" xfId="3712" builtinId="8" hidden="1"/>
    <cellStyle name="Hyperlink" xfId="3714" builtinId="8" hidden="1"/>
    <cellStyle name="Hyperlink" xfId="3716" builtinId="8" hidden="1"/>
    <cellStyle name="Hyperlink" xfId="3718" builtinId="8" hidden="1"/>
    <cellStyle name="Hyperlink" xfId="3720" builtinId="8" hidden="1"/>
    <cellStyle name="Hyperlink" xfId="3722" builtinId="8" hidden="1"/>
    <cellStyle name="Hyperlink" xfId="3724" builtinId="8" hidden="1"/>
    <cellStyle name="Hyperlink" xfId="3726" builtinId="8" hidden="1"/>
    <cellStyle name="Hyperlink" xfId="3728" builtinId="8" hidden="1"/>
    <cellStyle name="Hyperlink" xfId="3730" builtinId="8" hidden="1"/>
    <cellStyle name="Hyperlink" xfId="3732" builtinId="8" hidden="1"/>
    <cellStyle name="Hyperlink" xfId="3734" builtinId="8" hidden="1"/>
    <cellStyle name="Hyperlink" xfId="3736" builtinId="8" hidden="1"/>
    <cellStyle name="Hyperlink" xfId="3738" builtinId="8" hidden="1"/>
    <cellStyle name="Hyperlink" xfId="3740" builtinId="8" hidden="1"/>
    <cellStyle name="Hyperlink" xfId="3742" builtinId="8" hidden="1"/>
    <cellStyle name="Hyperlink" xfId="3744" builtinId="8" hidden="1"/>
    <cellStyle name="Hyperlink" xfId="3746" builtinId="8" hidden="1"/>
    <cellStyle name="Hyperlink" xfId="3748" builtinId="8" hidden="1"/>
    <cellStyle name="Hyperlink" xfId="3750" builtinId="8" hidden="1"/>
    <cellStyle name="Hyperlink" xfId="3752" builtinId="8" hidden="1"/>
    <cellStyle name="Hyperlink" xfId="3754" builtinId="8" hidden="1"/>
    <cellStyle name="Hyperlink" xfId="3756" builtinId="8" hidden="1"/>
    <cellStyle name="Hyperlink" xfId="3758" builtinId="8" hidden="1"/>
    <cellStyle name="Hyperlink" xfId="3760" builtinId="8" hidden="1"/>
    <cellStyle name="Hyperlink" xfId="3762" builtinId="8" hidden="1"/>
    <cellStyle name="Hyperlink" xfId="3764" builtinId="8" hidden="1"/>
    <cellStyle name="Hyperlink" xfId="3766" builtinId="8" hidden="1"/>
    <cellStyle name="Hyperlink" xfId="3768" builtinId="8" hidden="1"/>
    <cellStyle name="Hyperlink" xfId="3770" builtinId="8" hidden="1"/>
    <cellStyle name="Hyperlink" xfId="3772" builtinId="8" hidden="1"/>
    <cellStyle name="Hyperlink" xfId="3774" builtinId="8" hidden="1"/>
    <cellStyle name="Hyperlink" xfId="3776" builtinId="8" hidden="1"/>
    <cellStyle name="Hyperlink" xfId="3778" builtinId="8" hidden="1"/>
    <cellStyle name="Hyperlink" xfId="3780" builtinId="8" hidden="1"/>
    <cellStyle name="Hyperlink" xfId="3782" builtinId="8" hidden="1"/>
    <cellStyle name="Hyperlink" xfId="3784" builtinId="8" hidden="1"/>
    <cellStyle name="Hyperlink" xfId="3786" builtinId="8" hidden="1"/>
    <cellStyle name="Hyperlink" xfId="3788" builtinId="8" hidden="1"/>
    <cellStyle name="Hyperlink" xfId="3790" builtinId="8" hidden="1"/>
    <cellStyle name="Hyperlink" xfId="3792" builtinId="8" hidden="1"/>
    <cellStyle name="Hyperlink" xfId="3794" builtinId="8" hidden="1"/>
    <cellStyle name="Hyperlink" xfId="3796" builtinId="8" hidden="1"/>
    <cellStyle name="Hyperlink" xfId="3798" builtinId="8" hidden="1"/>
    <cellStyle name="Hyperlink" xfId="3800" builtinId="8" hidden="1"/>
    <cellStyle name="Hyperlink" xfId="3802" builtinId="8" hidden="1"/>
    <cellStyle name="Hyperlink" xfId="3804" builtinId="8" hidden="1"/>
    <cellStyle name="Hyperlink" xfId="3806" builtinId="8" hidden="1"/>
    <cellStyle name="Hyperlink" xfId="3808" builtinId="8" hidden="1"/>
    <cellStyle name="Hyperlink" xfId="3810" builtinId="8" hidden="1"/>
    <cellStyle name="Hyperlink" xfId="3812" builtinId="8" hidden="1"/>
    <cellStyle name="Hyperlink" xfId="3814" builtinId="8" hidden="1"/>
    <cellStyle name="Hyperlink" xfId="3816" builtinId="8" hidden="1"/>
    <cellStyle name="Hyperlink" xfId="3818" builtinId="8" hidden="1"/>
    <cellStyle name="Hyperlink" xfId="3820" builtinId="8" hidden="1"/>
    <cellStyle name="Hyperlink" xfId="3822" builtinId="8" hidden="1"/>
    <cellStyle name="Hyperlink" xfId="3824" builtinId="8" hidden="1"/>
    <cellStyle name="Hyperlink" xfId="3826" builtinId="8" hidden="1"/>
    <cellStyle name="Hyperlink" xfId="3828" builtinId="8" hidden="1"/>
    <cellStyle name="Hyperlink" xfId="3830" builtinId="8" hidden="1"/>
    <cellStyle name="Hyperlink" xfId="3832" builtinId="8" hidden="1"/>
    <cellStyle name="Hyperlink" xfId="3834" builtinId="8" hidden="1"/>
    <cellStyle name="Hyperlink" xfId="3836" builtinId="8" hidden="1"/>
    <cellStyle name="Hyperlink" xfId="3838" builtinId="8" hidden="1"/>
    <cellStyle name="Hyperlink" xfId="3840" builtinId="8" hidden="1"/>
    <cellStyle name="Hyperlink" xfId="3842" builtinId="8" hidden="1"/>
    <cellStyle name="Hyperlink" xfId="3844" builtinId="8" hidden="1"/>
    <cellStyle name="Hyperlink" xfId="3846" builtinId="8" hidden="1"/>
    <cellStyle name="Hyperlink" xfId="3848" builtinId="8" hidden="1"/>
    <cellStyle name="Hyperlink" xfId="3850" builtinId="8" hidden="1"/>
    <cellStyle name="Hyperlink" xfId="3852" builtinId="8" hidden="1"/>
    <cellStyle name="Hyperlink" xfId="3854" builtinId="8" hidden="1"/>
    <cellStyle name="Hyperlink" xfId="3856" builtinId="8" hidden="1"/>
    <cellStyle name="Hyperlink" xfId="3858" builtinId="8" hidden="1"/>
    <cellStyle name="Hyperlink" xfId="3860" builtinId="8" hidden="1"/>
    <cellStyle name="Hyperlink" xfId="3862" builtinId="8" hidden="1"/>
    <cellStyle name="Hyperlink" xfId="3864" builtinId="8" hidden="1"/>
    <cellStyle name="Hyperlink" xfId="3866" builtinId="8" hidden="1"/>
    <cellStyle name="Hyperlink" xfId="3868" builtinId="8" hidden="1"/>
    <cellStyle name="Hyperlink" xfId="3870" builtinId="8" hidden="1"/>
    <cellStyle name="Hyperlink" xfId="3872" builtinId="8" hidden="1"/>
    <cellStyle name="Hyperlink" xfId="3874" builtinId="8" hidden="1"/>
    <cellStyle name="Hyperlink" xfId="3876" builtinId="8" hidden="1"/>
    <cellStyle name="Hyperlink" xfId="3878" builtinId="8" hidden="1"/>
    <cellStyle name="Hyperlink" xfId="3880" builtinId="8" hidden="1"/>
    <cellStyle name="Hyperlink" xfId="3882" builtinId="8" hidden="1"/>
    <cellStyle name="Hyperlink" xfId="3884" builtinId="8" hidden="1"/>
    <cellStyle name="Hyperlink" xfId="3886" builtinId="8" hidden="1"/>
    <cellStyle name="Hyperlink" xfId="3888" builtinId="8" hidden="1"/>
    <cellStyle name="Hyperlink" xfId="3890" builtinId="8" hidden="1"/>
    <cellStyle name="Hyperlink" xfId="3892" builtinId="8" hidden="1"/>
    <cellStyle name="Hyperlink" xfId="3894" builtinId="8" hidden="1"/>
    <cellStyle name="Hyperlink" xfId="3896" builtinId="8" hidden="1"/>
    <cellStyle name="Hyperlink" xfId="3898" builtinId="8" hidden="1"/>
    <cellStyle name="Hyperlink" xfId="3900" builtinId="8" hidden="1"/>
    <cellStyle name="Hyperlink" xfId="3902" builtinId="8" hidden="1"/>
    <cellStyle name="Hyperlink" xfId="3904" builtinId="8" hidden="1"/>
    <cellStyle name="Hyperlink" xfId="3906" builtinId="8" hidden="1"/>
    <cellStyle name="Hyperlink" xfId="3908" builtinId="8" hidden="1"/>
    <cellStyle name="Hyperlink" xfId="3910" builtinId="8" hidden="1"/>
    <cellStyle name="Hyperlink" xfId="3912" builtinId="8" hidden="1"/>
    <cellStyle name="Hyperlink" xfId="3914" builtinId="8" hidden="1"/>
    <cellStyle name="Hyperlink" xfId="3916" builtinId="8" hidden="1"/>
    <cellStyle name="Hyperlink" xfId="3918" builtinId="8" hidden="1"/>
    <cellStyle name="Hyperlink" xfId="3920" builtinId="8" hidden="1"/>
    <cellStyle name="Hyperlink" xfId="3922" builtinId="8" hidden="1"/>
    <cellStyle name="Hyperlink" xfId="3924" builtinId="8" hidden="1"/>
    <cellStyle name="Hyperlink" xfId="3926" builtinId="8" hidden="1"/>
    <cellStyle name="Hyperlink" xfId="3928" builtinId="8" hidden="1"/>
    <cellStyle name="Hyperlink" xfId="3930" builtinId="8" hidden="1"/>
    <cellStyle name="Hyperlink" xfId="3932" builtinId="8" hidden="1"/>
    <cellStyle name="Hyperlink" xfId="3934" builtinId="8" hidden="1"/>
    <cellStyle name="Hyperlink" xfId="3936" builtinId="8" hidden="1"/>
    <cellStyle name="Hyperlink" xfId="3938" builtinId="8" hidden="1"/>
    <cellStyle name="Hyperlink" xfId="3940" builtinId="8" hidden="1"/>
    <cellStyle name="Hyperlink" xfId="3942" builtinId="8" hidden="1"/>
    <cellStyle name="Hyperlink" xfId="3944" builtinId="8" hidden="1"/>
    <cellStyle name="Hyperlink" xfId="3946" builtinId="8" hidden="1"/>
    <cellStyle name="Hyperlink" xfId="3948" builtinId="8" hidden="1"/>
    <cellStyle name="Hyperlink" xfId="3950" builtinId="8" hidden="1"/>
    <cellStyle name="Hyperlink" xfId="3952" builtinId="8" hidden="1"/>
    <cellStyle name="Hyperlink" xfId="3954" builtinId="8" hidden="1"/>
    <cellStyle name="Hyperlink" xfId="3956" builtinId="8" hidden="1"/>
    <cellStyle name="Hyperlink" xfId="3958" builtinId="8" hidden="1"/>
    <cellStyle name="Hyperlink" xfId="3960" builtinId="8" hidden="1"/>
    <cellStyle name="Hyperlink" xfId="3962" builtinId="8" hidden="1"/>
    <cellStyle name="Hyperlink" xfId="3964" builtinId="8" hidden="1"/>
    <cellStyle name="Hyperlink" xfId="3966" builtinId="8" hidden="1"/>
    <cellStyle name="Hyperlink" xfId="3968" builtinId="8" hidden="1"/>
    <cellStyle name="Hyperlink" xfId="3970" builtinId="8" hidden="1"/>
    <cellStyle name="Hyperlink" xfId="3972" builtinId="8" hidden="1"/>
    <cellStyle name="Hyperlink" xfId="3974" builtinId="8" hidden="1"/>
    <cellStyle name="Hyperlink" xfId="3976" builtinId="8" hidden="1"/>
    <cellStyle name="Hyperlink" xfId="3978" builtinId="8" hidden="1"/>
    <cellStyle name="Hyperlink" xfId="3980" builtinId="8" hidden="1"/>
    <cellStyle name="Hyperlink" xfId="3982" builtinId="8" hidden="1"/>
    <cellStyle name="Hyperlink" xfId="3984" builtinId="8" hidden="1"/>
    <cellStyle name="Hyperlink" xfId="3986" builtinId="8" hidden="1"/>
    <cellStyle name="Hyperlink" xfId="3988" builtinId="8" hidden="1"/>
    <cellStyle name="Hyperlink" xfId="3990" builtinId="8" hidden="1"/>
    <cellStyle name="Hyperlink" xfId="3992" builtinId="8" hidden="1"/>
    <cellStyle name="Hyperlink" xfId="3994" builtinId="8" hidden="1"/>
    <cellStyle name="Hyperlink" xfId="3996" builtinId="8" hidden="1"/>
    <cellStyle name="Hyperlink" xfId="3998" builtinId="8" hidden="1"/>
    <cellStyle name="Hyperlink" xfId="4000" builtinId="8" hidden="1"/>
    <cellStyle name="Hyperlink" xfId="4002" builtinId="8" hidden="1"/>
    <cellStyle name="Hyperlink" xfId="4004" builtinId="8" hidden="1"/>
    <cellStyle name="Hyperlink" xfId="4006" builtinId="8" hidden="1"/>
    <cellStyle name="Hyperlink" xfId="4008" builtinId="8" hidden="1"/>
    <cellStyle name="Hyperlink" xfId="4010" builtinId="8" hidden="1"/>
    <cellStyle name="Hyperlink" xfId="4012" builtinId="8" hidden="1"/>
    <cellStyle name="Hyperlink" xfId="4014" builtinId="8" hidden="1"/>
    <cellStyle name="Hyperlink" xfId="4016" builtinId="8" hidden="1"/>
    <cellStyle name="Hyperlink" xfId="4018" builtinId="8" hidden="1"/>
    <cellStyle name="Hyperlink" xfId="4020" builtinId="8" hidden="1"/>
    <cellStyle name="Hyperlink" xfId="4022" builtinId="8" hidden="1"/>
    <cellStyle name="Hyperlink" xfId="4024" builtinId="8" hidden="1"/>
    <cellStyle name="Hyperlink" xfId="4026" builtinId="8" hidden="1"/>
    <cellStyle name="Hyperlink" xfId="4028" builtinId="8" hidden="1"/>
    <cellStyle name="Hyperlink" xfId="4030" builtinId="8" hidden="1"/>
    <cellStyle name="Hyperlink" xfId="4032" builtinId="8" hidden="1"/>
    <cellStyle name="Hyperlink" xfId="4034" builtinId="8" hidden="1"/>
    <cellStyle name="Hyperlink" xfId="4036" builtinId="8" hidden="1"/>
    <cellStyle name="Hyperlink" xfId="4038" builtinId="8" hidden="1"/>
    <cellStyle name="Hyperlink" xfId="4040" builtinId="8" hidden="1"/>
    <cellStyle name="Hyperlink" xfId="4042" builtinId="8" hidden="1"/>
    <cellStyle name="Hyperlink" xfId="4044" builtinId="8" hidden="1"/>
    <cellStyle name="Hyperlink" xfId="4046" builtinId="8" hidden="1"/>
    <cellStyle name="Hyperlink" xfId="4048" builtinId="8" hidden="1"/>
    <cellStyle name="Hyperlink" xfId="4050" builtinId="8" hidden="1"/>
    <cellStyle name="Hyperlink" xfId="4052" builtinId="8" hidden="1"/>
    <cellStyle name="Hyperlink" xfId="4054" builtinId="8" hidden="1"/>
    <cellStyle name="Hyperlink" xfId="4056" builtinId="8" hidden="1"/>
    <cellStyle name="Hyperlink" xfId="4058" builtinId="8" hidden="1"/>
    <cellStyle name="Hyperlink" xfId="4060" builtinId="8" hidden="1"/>
    <cellStyle name="Hyperlink" xfId="4062" builtinId="8" hidden="1"/>
    <cellStyle name="Hyperlink" xfId="4064" builtinId="8" hidden="1"/>
    <cellStyle name="Hyperlink" xfId="4066" builtinId="8" hidden="1"/>
    <cellStyle name="Hyperlink" xfId="4068" builtinId="8" hidden="1"/>
    <cellStyle name="Hyperlink" xfId="4070" builtinId="8" hidden="1"/>
    <cellStyle name="Hyperlink" xfId="4072" builtinId="8" hidden="1"/>
    <cellStyle name="Hyperlink" xfId="4074" builtinId="8" hidden="1"/>
    <cellStyle name="Hyperlink" xfId="4076" builtinId="8" hidden="1"/>
    <cellStyle name="Hyperlink" xfId="4078" builtinId="8" hidden="1"/>
    <cellStyle name="Hyperlink" xfId="4080" builtinId="8" hidden="1"/>
    <cellStyle name="Hyperlink" xfId="4082" builtinId="8" hidden="1"/>
    <cellStyle name="Hyperlink" xfId="4084" builtinId="8" hidden="1"/>
    <cellStyle name="Hyperlink" xfId="4086" builtinId="8" hidden="1"/>
    <cellStyle name="Hyperlink" xfId="4088" builtinId="8" hidden="1"/>
    <cellStyle name="Hyperlink" xfId="4090" builtinId="8" hidden="1"/>
    <cellStyle name="Hyperlink" xfId="4092" builtinId="8" hidden="1"/>
    <cellStyle name="Hyperlink" xfId="4094" builtinId="8" hidden="1"/>
    <cellStyle name="Hyperlink" xfId="4096" builtinId="8" hidden="1"/>
    <cellStyle name="Hyperlink" xfId="4098" builtinId="8" hidden="1"/>
    <cellStyle name="Hyperlink" xfId="4100" builtinId="8" hidden="1"/>
    <cellStyle name="Hyperlink" xfId="4102" builtinId="8" hidden="1"/>
    <cellStyle name="Hyperlink" xfId="4104" builtinId="8" hidden="1"/>
    <cellStyle name="Hyperlink" xfId="4106" builtinId="8" hidden="1"/>
    <cellStyle name="Hyperlink" xfId="4108" builtinId="8" hidden="1"/>
    <cellStyle name="Hyperlink" xfId="4110" builtinId="8" hidden="1"/>
    <cellStyle name="Hyperlink" xfId="4112" builtinId="8" hidden="1"/>
    <cellStyle name="Hyperlink" xfId="4114" builtinId="8" hidden="1"/>
    <cellStyle name="Hyperlink" xfId="4116" builtinId="8" hidden="1"/>
    <cellStyle name="Hyperlink" xfId="4118" builtinId="8" hidden="1"/>
    <cellStyle name="Hyperlink" xfId="4120" builtinId="8" hidden="1"/>
    <cellStyle name="Hyperlink" xfId="4122" builtinId="8" hidden="1"/>
    <cellStyle name="Hyperlink" xfId="4124" builtinId="8" hidden="1"/>
    <cellStyle name="Hyperlink" xfId="4126" builtinId="8" hidden="1"/>
    <cellStyle name="Hyperlink" xfId="4128" builtinId="8" hidden="1"/>
    <cellStyle name="Hyperlink" xfId="4130" builtinId="8" hidden="1"/>
    <cellStyle name="Hyperlink" xfId="4132" builtinId="8" hidden="1"/>
    <cellStyle name="Hyperlink" xfId="4134" builtinId="8" hidden="1"/>
    <cellStyle name="Hyperlink" xfId="4136" builtinId="8" hidden="1"/>
    <cellStyle name="Hyperlink" xfId="4138" builtinId="8" hidden="1"/>
    <cellStyle name="Hyperlink" xfId="4140" builtinId="8" hidden="1"/>
    <cellStyle name="Hyperlink" xfId="4142" builtinId="8" hidden="1"/>
    <cellStyle name="Hyperlink" xfId="4144" builtinId="8" hidden="1"/>
    <cellStyle name="Hyperlink" xfId="4146" builtinId="8" hidden="1"/>
    <cellStyle name="Hyperlink" xfId="4148" builtinId="8" hidden="1"/>
    <cellStyle name="Hyperlink" xfId="4150" builtinId="8" hidden="1"/>
    <cellStyle name="Hyperlink" xfId="4152" builtinId="8" hidden="1"/>
    <cellStyle name="Hyperlink" xfId="4154" builtinId="8" hidden="1"/>
    <cellStyle name="Hyperlink" xfId="4156" builtinId="8" hidden="1"/>
    <cellStyle name="Hyperlink" xfId="4158" builtinId="8" hidden="1"/>
    <cellStyle name="Hyperlink" xfId="4160" builtinId="8" hidden="1"/>
    <cellStyle name="Hyperlink" xfId="4162" builtinId="8" hidden="1"/>
    <cellStyle name="Hyperlink" xfId="4164" builtinId="8" hidden="1"/>
    <cellStyle name="Hyperlink" xfId="4166" builtinId="8" hidden="1"/>
    <cellStyle name="Hyperlink" xfId="4168" builtinId="8" hidden="1"/>
    <cellStyle name="Hyperlink" xfId="4170" builtinId="8" hidden="1"/>
    <cellStyle name="Hyperlink" xfId="4172" builtinId="8" hidden="1"/>
    <cellStyle name="Hyperlink" xfId="4174" builtinId="8" hidden="1"/>
    <cellStyle name="Hyperlink" xfId="4176" builtinId="8" hidden="1"/>
    <cellStyle name="Hyperlink" xfId="4178" builtinId="8" hidden="1"/>
    <cellStyle name="Hyperlink" xfId="4180" builtinId="8" hidden="1"/>
    <cellStyle name="Hyperlink" xfId="4182" builtinId="8" hidden="1"/>
    <cellStyle name="Hyperlink" xfId="4184" builtinId="8" hidden="1"/>
    <cellStyle name="Hyperlink" xfId="4186" builtinId="8" hidden="1"/>
    <cellStyle name="Hyperlink" xfId="4188" builtinId="8" hidden="1"/>
    <cellStyle name="Hyperlink" xfId="4190" builtinId="8" hidden="1"/>
    <cellStyle name="Hyperlink" xfId="4192" builtinId="8" hidden="1"/>
    <cellStyle name="Hyperlink" xfId="4194" builtinId="8" hidden="1"/>
    <cellStyle name="Hyperlink" xfId="4196" builtinId="8" hidden="1"/>
    <cellStyle name="Hyperlink" xfId="4198" builtinId="8" hidden="1"/>
    <cellStyle name="Hyperlink" xfId="4200" builtinId="8" hidden="1"/>
    <cellStyle name="Hyperlink" xfId="4202" builtinId="8" hidden="1"/>
    <cellStyle name="Hyperlink" xfId="4204" builtinId="8" hidden="1"/>
    <cellStyle name="Hyperlink" xfId="4206" builtinId="8" hidden="1"/>
    <cellStyle name="Hyperlink" xfId="4208" builtinId="8" hidden="1"/>
    <cellStyle name="Hyperlink" xfId="4210" builtinId="8" hidden="1"/>
    <cellStyle name="Hyperlink" xfId="4212" builtinId="8" hidden="1"/>
    <cellStyle name="Hyperlink" xfId="4214" builtinId="8" hidden="1"/>
    <cellStyle name="Hyperlink" xfId="4216" builtinId="8" hidden="1"/>
    <cellStyle name="Hyperlink" xfId="4218" builtinId="8" hidden="1"/>
    <cellStyle name="Hyperlink" xfId="4220" builtinId="8" hidden="1"/>
    <cellStyle name="Hyperlink" xfId="4222" builtinId="8" hidden="1"/>
    <cellStyle name="Hyperlink" xfId="4224" builtinId="8" hidden="1"/>
    <cellStyle name="Hyperlink" xfId="4226" builtinId="8" hidden="1"/>
    <cellStyle name="Hyperlink" xfId="4228" builtinId="8" hidden="1"/>
    <cellStyle name="Hyperlink" xfId="4230" builtinId="8" hidden="1"/>
    <cellStyle name="Hyperlink" xfId="4232" builtinId="8" hidden="1"/>
    <cellStyle name="Hyperlink" xfId="4234" builtinId="8" hidden="1"/>
    <cellStyle name="Hyperlink" xfId="4236" builtinId="8" hidden="1"/>
    <cellStyle name="Hyperlink" xfId="4238" builtinId="8" hidden="1"/>
    <cellStyle name="Hyperlink" xfId="4240" builtinId="8" hidden="1"/>
    <cellStyle name="Hyperlink" xfId="4242" builtinId="8" hidden="1"/>
    <cellStyle name="Hyperlink" xfId="4244" builtinId="8" hidden="1"/>
    <cellStyle name="Hyperlink" xfId="4246" builtinId="8" hidden="1"/>
    <cellStyle name="Hyperlink" xfId="4248" builtinId="8" hidden="1"/>
    <cellStyle name="Hyperlink" xfId="4250" builtinId="8" hidden="1"/>
    <cellStyle name="Hyperlink" xfId="4252" builtinId="8" hidden="1"/>
    <cellStyle name="Hyperlink" xfId="4254" builtinId="8" hidden="1"/>
    <cellStyle name="Hyperlink" xfId="4256" builtinId="8" hidden="1"/>
    <cellStyle name="Hyperlink" xfId="4258" builtinId="8" hidden="1"/>
    <cellStyle name="Hyperlink" xfId="4260" builtinId="8" hidden="1"/>
    <cellStyle name="Hyperlink" xfId="4262" builtinId="8" hidden="1"/>
    <cellStyle name="Hyperlink" xfId="4264" builtinId="8" hidden="1"/>
    <cellStyle name="Hyperlink" xfId="4266" builtinId="8" hidden="1"/>
    <cellStyle name="Hyperlink" xfId="4268" builtinId="8" hidden="1"/>
    <cellStyle name="Hyperlink" xfId="4270" builtinId="8" hidden="1"/>
    <cellStyle name="Hyperlink" xfId="4272" builtinId="8" hidden="1"/>
    <cellStyle name="Hyperlink" xfId="4274" builtinId="8" hidden="1"/>
    <cellStyle name="Hyperlink" xfId="4276" builtinId="8" hidden="1"/>
    <cellStyle name="Hyperlink" xfId="4278" builtinId="8" hidden="1"/>
    <cellStyle name="Hyperlink" xfId="4280" builtinId="8" hidden="1"/>
    <cellStyle name="Hyperlink" xfId="4282" builtinId="8" hidden="1"/>
    <cellStyle name="Hyperlink" xfId="4284" builtinId="8" hidden="1"/>
    <cellStyle name="Hyperlink" xfId="4286" builtinId="8" hidden="1"/>
    <cellStyle name="Hyperlink" xfId="4288" builtinId="8" hidden="1"/>
    <cellStyle name="Hyperlink" xfId="4290" builtinId="8" hidden="1"/>
    <cellStyle name="Hyperlink" xfId="4292" builtinId="8" hidden="1"/>
    <cellStyle name="Hyperlink" xfId="4294" builtinId="8" hidden="1"/>
    <cellStyle name="Hyperlink" xfId="4296" builtinId="8" hidden="1"/>
    <cellStyle name="Hyperlink" xfId="4298" builtinId="8" hidden="1"/>
    <cellStyle name="Hyperlink" xfId="4300" builtinId="8" hidden="1"/>
    <cellStyle name="Hyperlink" xfId="4302" builtinId="8" hidden="1"/>
    <cellStyle name="Hyperlink" xfId="4304" builtinId="8" hidden="1"/>
    <cellStyle name="Hyperlink" xfId="4306" builtinId="8" hidden="1"/>
    <cellStyle name="Hyperlink" xfId="4308" builtinId="8" hidden="1"/>
    <cellStyle name="Hyperlink" xfId="4310" builtinId="8" hidden="1"/>
    <cellStyle name="Hyperlink" xfId="4312" builtinId="8" hidden="1"/>
    <cellStyle name="Hyperlink" xfId="4314" builtinId="8" hidden="1"/>
    <cellStyle name="Hyperlink" xfId="4316" builtinId="8" hidden="1"/>
    <cellStyle name="Hyperlink" xfId="4318" builtinId="8" hidden="1"/>
    <cellStyle name="Hyperlink" xfId="4320" builtinId="8" hidden="1"/>
    <cellStyle name="Hyperlink" xfId="4322" builtinId="8" hidden="1"/>
    <cellStyle name="Hyperlink" xfId="4324" builtinId="8" hidden="1"/>
    <cellStyle name="Hyperlink" xfId="4326" builtinId="8" hidden="1"/>
    <cellStyle name="Hyperlink" xfId="4328" builtinId="8" hidden="1"/>
    <cellStyle name="Hyperlink" xfId="4330" builtinId="8" hidden="1"/>
    <cellStyle name="Hyperlink" xfId="4332" builtinId="8" hidden="1"/>
    <cellStyle name="Hyperlink" xfId="4334" builtinId="8" hidden="1"/>
    <cellStyle name="Hyperlink" xfId="4336" builtinId="8" hidden="1"/>
    <cellStyle name="Hyperlink" xfId="4338" builtinId="8" hidden="1"/>
    <cellStyle name="Hyperlink" xfId="4340" builtinId="8" hidden="1"/>
    <cellStyle name="Hyperlink" xfId="4342" builtinId="8" hidden="1"/>
    <cellStyle name="Hyperlink" xfId="4344" builtinId="8" hidden="1"/>
    <cellStyle name="Hyperlink" xfId="4346" builtinId="8" hidden="1"/>
    <cellStyle name="Hyperlink" xfId="4348" builtinId="8" hidden="1"/>
    <cellStyle name="Hyperlink" xfId="4350" builtinId="8" hidden="1"/>
    <cellStyle name="Hyperlink" xfId="4352" builtinId="8" hidden="1"/>
    <cellStyle name="Hyperlink" xfId="4354" builtinId="8" hidden="1"/>
    <cellStyle name="Hyperlink" xfId="4356" builtinId="8" hidden="1"/>
    <cellStyle name="Hyperlink" xfId="4358" builtinId="8" hidden="1"/>
    <cellStyle name="Hyperlink" xfId="4360" builtinId="8" hidden="1"/>
    <cellStyle name="Hyperlink" xfId="4362" builtinId="8" hidden="1"/>
    <cellStyle name="Hyperlink" xfId="4364" builtinId="8" hidden="1"/>
    <cellStyle name="Hyperlink" xfId="4366" builtinId="8" hidden="1"/>
    <cellStyle name="Hyperlink" xfId="4368" builtinId="8" hidden="1"/>
    <cellStyle name="Hyperlink" xfId="4370" builtinId="8" hidden="1"/>
    <cellStyle name="Hyperlink" xfId="4372" builtinId="8" hidden="1"/>
    <cellStyle name="Hyperlink" xfId="4374" builtinId="8" hidden="1"/>
    <cellStyle name="Hyperlink" xfId="4376" builtinId="8" hidden="1"/>
    <cellStyle name="Hyperlink" xfId="4378" builtinId="8" hidden="1"/>
    <cellStyle name="Hyperlink" xfId="4380" builtinId="8" hidden="1"/>
    <cellStyle name="Hyperlink" xfId="4382" builtinId="8" hidden="1"/>
    <cellStyle name="Hyperlink" xfId="4384" builtinId="8" hidden="1"/>
    <cellStyle name="Hyperlink" xfId="4386" builtinId="8" hidden="1"/>
    <cellStyle name="Hyperlink" xfId="4388" builtinId="8" hidden="1"/>
    <cellStyle name="Hyperlink" xfId="4390" builtinId="8" hidden="1"/>
    <cellStyle name="Hyperlink" xfId="4392" builtinId="8" hidden="1"/>
    <cellStyle name="Hyperlink" xfId="4394" builtinId="8" hidden="1"/>
    <cellStyle name="Hyperlink" xfId="4396" builtinId="8" hidden="1"/>
    <cellStyle name="Hyperlink" xfId="4398" builtinId="8" hidden="1"/>
    <cellStyle name="Hyperlink" xfId="4400" builtinId="8" hidden="1"/>
    <cellStyle name="Hyperlink" xfId="4402" builtinId="8" hidden="1"/>
    <cellStyle name="Hyperlink" xfId="4404" builtinId="8" hidden="1"/>
    <cellStyle name="Hyperlink" xfId="4406" builtinId="8" hidden="1"/>
    <cellStyle name="Hyperlink" xfId="4408" builtinId="8" hidden="1"/>
    <cellStyle name="Hyperlink" xfId="4410" builtinId="8" hidden="1"/>
    <cellStyle name="Hyperlink" xfId="4412" builtinId="8" hidden="1"/>
    <cellStyle name="Hyperlink" xfId="4414" builtinId="8" hidden="1"/>
    <cellStyle name="Hyperlink" xfId="4416" builtinId="8" hidden="1"/>
    <cellStyle name="Hyperlink" xfId="4418" builtinId="8" hidden="1"/>
    <cellStyle name="Hyperlink" xfId="4420" builtinId="8" hidden="1"/>
    <cellStyle name="Hyperlink" xfId="4422" builtinId="8" hidden="1"/>
    <cellStyle name="Hyperlink" xfId="4424" builtinId="8" hidden="1"/>
    <cellStyle name="Hyperlink" xfId="4426" builtinId="8" hidden="1"/>
    <cellStyle name="Hyperlink" xfId="4428" builtinId="8" hidden="1"/>
    <cellStyle name="Hyperlink" xfId="4430" builtinId="8" hidden="1"/>
    <cellStyle name="Hyperlink" xfId="4432" builtinId="8" hidden="1"/>
    <cellStyle name="Hyperlink" xfId="4434" builtinId="8" hidden="1"/>
    <cellStyle name="Hyperlink" xfId="4436" builtinId="8" hidden="1"/>
    <cellStyle name="Hyperlink" xfId="4438" builtinId="8" hidden="1"/>
    <cellStyle name="Hyperlink" xfId="4440" builtinId="8" hidden="1"/>
    <cellStyle name="Hyperlink" xfId="4442" builtinId="8" hidden="1"/>
    <cellStyle name="Hyperlink" xfId="4444" builtinId="8" hidden="1"/>
    <cellStyle name="Hyperlink" xfId="4446" builtinId="8" hidden="1"/>
    <cellStyle name="Hyperlink" xfId="4448" builtinId="8" hidden="1"/>
    <cellStyle name="Hyperlink" xfId="4450" builtinId="8" hidden="1"/>
    <cellStyle name="Hyperlink" xfId="4452" builtinId="8" hidden="1"/>
    <cellStyle name="Hyperlink" xfId="4454" builtinId="8" hidden="1"/>
    <cellStyle name="Hyperlink" xfId="4456" builtinId="8" hidden="1"/>
    <cellStyle name="Hyperlink" xfId="4458" builtinId="8" hidden="1"/>
    <cellStyle name="Hyperlink" xfId="4460" builtinId="8" hidden="1"/>
    <cellStyle name="Hyperlink" xfId="4462" builtinId="8" hidden="1"/>
    <cellStyle name="Hyperlink" xfId="4464" builtinId="8" hidden="1"/>
    <cellStyle name="Hyperlink" xfId="4466" builtinId="8" hidden="1"/>
    <cellStyle name="Hyperlink" xfId="4468" builtinId="8" hidden="1"/>
    <cellStyle name="Hyperlink" xfId="4470" builtinId="8" hidden="1"/>
    <cellStyle name="Hyperlink" xfId="4472" builtinId="8" hidden="1"/>
    <cellStyle name="Hyperlink" xfId="4474" builtinId="8" hidden="1"/>
    <cellStyle name="Hyperlink" xfId="4476" builtinId="8" hidden="1"/>
    <cellStyle name="Hyperlink" xfId="4478" builtinId="8" hidden="1"/>
    <cellStyle name="Hyperlink" xfId="4480" builtinId="8" hidden="1"/>
    <cellStyle name="Hyperlink" xfId="4482" builtinId="8" hidden="1"/>
    <cellStyle name="Hyperlink" xfId="4484" builtinId="8" hidden="1"/>
    <cellStyle name="Hyperlink" xfId="4486" builtinId="8" hidden="1"/>
    <cellStyle name="Hyperlink" xfId="4488" builtinId="8" hidden="1"/>
    <cellStyle name="Hyperlink" xfId="4490" builtinId="8" hidden="1"/>
    <cellStyle name="Hyperlink" xfId="4492" builtinId="8" hidden="1"/>
    <cellStyle name="Hyperlink" xfId="4494" builtinId="8" hidden="1"/>
    <cellStyle name="Hyperlink" xfId="4496" builtinId="8" hidden="1"/>
    <cellStyle name="Hyperlink" xfId="4498" builtinId="8" hidden="1"/>
    <cellStyle name="Hyperlink" xfId="4500" builtinId="8" hidden="1"/>
    <cellStyle name="Hyperlink" xfId="4502" builtinId="8" hidden="1"/>
    <cellStyle name="Hyperlink" xfId="4504" builtinId="8" hidden="1"/>
    <cellStyle name="Hyperlink" xfId="4506" builtinId="8" hidden="1"/>
    <cellStyle name="Hyperlink" xfId="4508" builtinId="8" hidden="1"/>
    <cellStyle name="Hyperlink" xfId="4510" builtinId="8" hidden="1"/>
    <cellStyle name="Hyperlink" xfId="4512" builtinId="8" hidden="1"/>
    <cellStyle name="Hyperlink" xfId="4514" builtinId="8" hidden="1"/>
    <cellStyle name="Hyperlink" xfId="4516" builtinId="8" hidden="1"/>
    <cellStyle name="Hyperlink" xfId="4518" builtinId="8" hidden="1"/>
    <cellStyle name="Hyperlink" xfId="4520" builtinId="8" hidden="1"/>
    <cellStyle name="Hyperlink" xfId="4522" builtinId="8" hidden="1"/>
    <cellStyle name="Hyperlink" xfId="4524" builtinId="8" hidden="1"/>
    <cellStyle name="Hyperlink" xfId="4526" builtinId="8" hidden="1"/>
    <cellStyle name="Hyperlink" xfId="4528" builtinId="8" hidden="1"/>
    <cellStyle name="Hyperlink" xfId="4530" builtinId="8" hidden="1"/>
    <cellStyle name="Hyperlink" xfId="4532" builtinId="8" hidden="1"/>
    <cellStyle name="Hyperlink" xfId="4534" builtinId="8" hidden="1"/>
    <cellStyle name="Hyperlink" xfId="4536" builtinId="8" hidden="1"/>
    <cellStyle name="Hyperlink" xfId="4538" builtinId="8" hidden="1"/>
    <cellStyle name="Hyperlink" xfId="4540" builtinId="8" hidden="1"/>
    <cellStyle name="Hyperlink" xfId="4542" builtinId="8" hidden="1"/>
    <cellStyle name="Hyperlink" xfId="4544" builtinId="8" hidden="1"/>
    <cellStyle name="Hyperlink" xfId="4546" builtinId="8" hidden="1"/>
    <cellStyle name="Hyperlink" xfId="4548" builtinId="8" hidden="1"/>
    <cellStyle name="Hyperlink" xfId="4550" builtinId="8" hidden="1"/>
    <cellStyle name="Hyperlink" xfId="4552" builtinId="8" hidden="1"/>
    <cellStyle name="Hyperlink" xfId="4554" builtinId="8" hidden="1"/>
    <cellStyle name="Hyperlink" xfId="4556" builtinId="8" hidden="1"/>
    <cellStyle name="Hyperlink" xfId="4558" builtinId="8" hidden="1"/>
    <cellStyle name="Hyperlink" xfId="4560" builtinId="8" hidden="1"/>
    <cellStyle name="Hyperlink" xfId="4562" builtinId="8" hidden="1"/>
    <cellStyle name="Hyperlink" xfId="4564" builtinId="8" hidden="1"/>
    <cellStyle name="Hyperlink" xfId="4566" builtinId="8" hidden="1"/>
    <cellStyle name="Hyperlink" xfId="4568" builtinId="8" hidden="1"/>
    <cellStyle name="Hyperlink" xfId="4570" builtinId="8" hidden="1"/>
    <cellStyle name="Hyperlink" xfId="4572" builtinId="8" hidden="1"/>
    <cellStyle name="Hyperlink" xfId="4574" builtinId="8" hidden="1"/>
    <cellStyle name="Hyperlink" xfId="4576" builtinId="8" hidden="1"/>
    <cellStyle name="Hyperlink" xfId="4578" builtinId="8" hidden="1"/>
    <cellStyle name="Hyperlink" xfId="4580" builtinId="8" hidden="1"/>
    <cellStyle name="Hyperlink" xfId="4582" builtinId="8" hidden="1"/>
    <cellStyle name="Hyperlink" xfId="4584" builtinId="8" hidden="1"/>
    <cellStyle name="Hyperlink" xfId="4586" builtinId="8" hidden="1"/>
    <cellStyle name="Hyperlink" xfId="4588" builtinId="8" hidden="1"/>
    <cellStyle name="Hyperlink" xfId="4590" builtinId="8" hidden="1"/>
    <cellStyle name="Hyperlink" xfId="4592" builtinId="8" hidden="1"/>
    <cellStyle name="Hyperlink" xfId="4594" builtinId="8" hidden="1"/>
    <cellStyle name="Hyperlink" xfId="4596" builtinId="8" hidden="1"/>
    <cellStyle name="Hyperlink" xfId="4598" builtinId="8" hidden="1"/>
    <cellStyle name="Hyperlink" xfId="4600" builtinId="8" hidden="1"/>
    <cellStyle name="Hyperlink" xfId="4602" builtinId="8" hidden="1"/>
    <cellStyle name="Hyperlink" xfId="4604" builtinId="8" hidden="1"/>
    <cellStyle name="Hyperlink" xfId="4606" builtinId="8" hidden="1"/>
    <cellStyle name="Hyperlink" xfId="4608" builtinId="8" hidden="1"/>
    <cellStyle name="Hyperlink" xfId="4610" builtinId="8" hidden="1"/>
    <cellStyle name="Hyperlink" xfId="4612" builtinId="8" hidden="1"/>
    <cellStyle name="Hyperlink" xfId="4614" builtinId="8" hidden="1"/>
    <cellStyle name="Hyperlink" xfId="4616" builtinId="8" hidden="1"/>
    <cellStyle name="Hyperlink" xfId="4618" builtinId="8" hidden="1"/>
    <cellStyle name="Hyperlink" xfId="4620" builtinId="8" hidden="1"/>
    <cellStyle name="Hyperlink" xfId="4622" builtinId="8" hidden="1"/>
    <cellStyle name="Hyperlink" xfId="4624" builtinId="8" hidden="1"/>
    <cellStyle name="Hyperlink" xfId="4626" builtinId="8" hidden="1"/>
    <cellStyle name="Hyperlink" xfId="4628" builtinId="8" hidden="1"/>
    <cellStyle name="Hyperlink" xfId="4630" builtinId="8" hidden="1"/>
    <cellStyle name="Hyperlink" xfId="4632" builtinId="8" hidden="1"/>
    <cellStyle name="Hyperlink" xfId="4634" builtinId="8" hidden="1"/>
    <cellStyle name="Hyperlink" xfId="4636" builtinId="8" hidden="1"/>
    <cellStyle name="Hyperlink" xfId="4638" builtinId="8" hidden="1"/>
    <cellStyle name="Hyperlink" xfId="4640" builtinId="8" hidden="1"/>
    <cellStyle name="Hyperlink" xfId="4642" builtinId="8" hidden="1"/>
    <cellStyle name="Hyperlink" xfId="4644" builtinId="8" hidden="1"/>
    <cellStyle name="Hyperlink" xfId="4646" builtinId="8" hidden="1"/>
    <cellStyle name="Hyperlink" xfId="4648" builtinId="8" hidden="1"/>
    <cellStyle name="Hyperlink" xfId="4650" builtinId="8" hidden="1"/>
    <cellStyle name="Hyperlink" xfId="4652" builtinId="8" hidden="1"/>
    <cellStyle name="Hyperlink" xfId="4654" builtinId="8" hidden="1"/>
    <cellStyle name="Hyperlink" xfId="4656" builtinId="8" hidden="1"/>
    <cellStyle name="Hyperlink" xfId="4658" builtinId="8" hidden="1"/>
    <cellStyle name="Hyperlink" xfId="4660" builtinId="8" hidden="1"/>
    <cellStyle name="Hyperlink" xfId="4662" builtinId="8" hidden="1"/>
    <cellStyle name="Hyperlink" xfId="4664" builtinId="8" hidden="1"/>
    <cellStyle name="Hyperlink" xfId="4666" builtinId="8" hidden="1"/>
    <cellStyle name="Hyperlink" xfId="4668" builtinId="8" hidden="1"/>
    <cellStyle name="Hyperlink" xfId="4670" builtinId="8" hidden="1"/>
    <cellStyle name="Hyperlink" xfId="4672" builtinId="8" hidden="1"/>
    <cellStyle name="Hyperlink" xfId="4674" builtinId="8" hidden="1"/>
    <cellStyle name="Hyperlink" xfId="4676" builtinId="8" hidden="1"/>
    <cellStyle name="Hyperlink" xfId="4678" builtinId="8" hidden="1"/>
    <cellStyle name="Hyperlink" xfId="4680" builtinId="8" hidden="1"/>
    <cellStyle name="Hyperlink" xfId="4682" builtinId="8" hidden="1"/>
    <cellStyle name="Hyperlink" xfId="4684" builtinId="8" hidden="1"/>
    <cellStyle name="Hyperlink" xfId="4686" builtinId="8" hidden="1"/>
    <cellStyle name="Hyperlink" xfId="4688" builtinId="8" hidden="1"/>
    <cellStyle name="Hyperlink" xfId="4690" builtinId="8" hidden="1"/>
    <cellStyle name="Hyperlink" xfId="4692" builtinId="8" hidden="1"/>
    <cellStyle name="Hyperlink" xfId="4694" builtinId="8" hidden="1"/>
    <cellStyle name="Hyperlink" xfId="4696" builtinId="8" hidden="1"/>
    <cellStyle name="Hyperlink" xfId="4698" builtinId="8" hidden="1"/>
    <cellStyle name="Hyperlink" xfId="4700" builtinId="8" hidden="1"/>
    <cellStyle name="Hyperlink" xfId="4702" builtinId="8" hidden="1"/>
    <cellStyle name="Hyperlink" xfId="4704" builtinId="8" hidden="1"/>
    <cellStyle name="Hyperlink" xfId="4706" builtinId="8" hidden="1"/>
    <cellStyle name="Hyperlink" xfId="4708" builtinId="8" hidden="1"/>
    <cellStyle name="Hyperlink" xfId="4710" builtinId="8" hidden="1"/>
    <cellStyle name="Hyperlink" xfId="4712" builtinId="8" hidden="1"/>
    <cellStyle name="Hyperlink" xfId="4714" builtinId="8" hidden="1"/>
    <cellStyle name="Hyperlink" xfId="4716" builtinId="8" hidden="1"/>
    <cellStyle name="Hyperlink" xfId="4718" builtinId="8" hidden="1"/>
    <cellStyle name="Hyperlink" xfId="4720" builtinId="8" hidden="1"/>
    <cellStyle name="Hyperlink" xfId="4722" builtinId="8" hidden="1"/>
    <cellStyle name="Hyperlink" xfId="4724" builtinId="8" hidden="1"/>
    <cellStyle name="Hyperlink" xfId="4726" builtinId="8" hidden="1"/>
    <cellStyle name="Hyperlink" xfId="4728" builtinId="8" hidden="1"/>
    <cellStyle name="Hyperlink" xfId="4730" builtinId="8" hidden="1"/>
    <cellStyle name="Hyperlink" xfId="4732" builtinId="8" hidden="1"/>
    <cellStyle name="Hyperlink" xfId="4734" builtinId="8" hidden="1"/>
    <cellStyle name="Hyperlink" xfId="4736" builtinId="8" hidden="1"/>
    <cellStyle name="Hyperlink" xfId="4738" builtinId="8" hidden="1"/>
    <cellStyle name="Hyperlink" xfId="4740" builtinId="8" hidden="1"/>
    <cellStyle name="Hyperlink" xfId="4742" builtinId="8" hidden="1"/>
    <cellStyle name="Hyperlink" xfId="4744" builtinId="8" hidden="1"/>
    <cellStyle name="Hyperlink" xfId="4746" builtinId="8" hidden="1"/>
    <cellStyle name="Hyperlink" xfId="4748" builtinId="8" hidden="1"/>
    <cellStyle name="Hyperlink" xfId="4750" builtinId="8" hidden="1"/>
    <cellStyle name="Hyperlink" xfId="4752" builtinId="8" hidden="1"/>
    <cellStyle name="Hyperlink" xfId="4754" builtinId="8" hidden="1"/>
    <cellStyle name="Hyperlink" xfId="4756" builtinId="8" hidden="1"/>
    <cellStyle name="Hyperlink" xfId="4758" builtinId="8" hidden="1"/>
    <cellStyle name="Hyperlink" xfId="4760" builtinId="8" hidden="1"/>
    <cellStyle name="Hyperlink" xfId="4762" builtinId="8" hidden="1"/>
    <cellStyle name="Hyperlink" xfId="4764" builtinId="8" hidden="1"/>
    <cellStyle name="Hyperlink" xfId="4766" builtinId="8" hidden="1"/>
    <cellStyle name="Hyperlink" xfId="4768" builtinId="8" hidden="1"/>
    <cellStyle name="Hyperlink" xfId="4770" builtinId="8" hidden="1"/>
    <cellStyle name="Hyperlink" xfId="4772" builtinId="8" hidden="1"/>
    <cellStyle name="Hyperlink" xfId="4774" builtinId="8" hidden="1"/>
    <cellStyle name="Hyperlink" xfId="4776" builtinId="8" hidden="1"/>
    <cellStyle name="Hyperlink" xfId="4778" builtinId="8" hidden="1"/>
    <cellStyle name="Hyperlink" xfId="4780" builtinId="8" hidden="1"/>
    <cellStyle name="Hyperlink" xfId="4782" builtinId="8" hidden="1"/>
    <cellStyle name="Hyperlink" xfId="4784" builtinId="8" hidden="1"/>
    <cellStyle name="Hyperlink" xfId="4786" builtinId="8" hidden="1"/>
    <cellStyle name="Hyperlink" xfId="4788" builtinId="8" hidden="1"/>
    <cellStyle name="Hyperlink" xfId="4790" builtinId="8" hidden="1"/>
    <cellStyle name="Hyperlink" xfId="4792" builtinId="8" hidden="1"/>
    <cellStyle name="Hyperlink" xfId="4794" builtinId="8" hidden="1"/>
    <cellStyle name="Hyperlink" xfId="4796" builtinId="8" hidden="1"/>
    <cellStyle name="Hyperlink" xfId="4798" builtinId="8" hidden="1"/>
    <cellStyle name="Hyperlink" xfId="4800" builtinId="8" hidden="1"/>
    <cellStyle name="Hyperlink" xfId="4802" builtinId="8" hidden="1"/>
    <cellStyle name="Hyperlink" xfId="4804" builtinId="8" hidden="1"/>
    <cellStyle name="Hyperlink" xfId="4806" builtinId="8" hidden="1"/>
    <cellStyle name="Hyperlink" xfId="4808" builtinId="8" hidden="1"/>
    <cellStyle name="Hyperlink" xfId="4810" builtinId="8" hidden="1"/>
    <cellStyle name="Hyperlink" xfId="4812" builtinId="8" hidden="1"/>
    <cellStyle name="Hyperlink" xfId="4814" builtinId="8" hidden="1"/>
    <cellStyle name="Hyperlink" xfId="4816" builtinId="8" hidden="1"/>
    <cellStyle name="Hyperlink" xfId="4818" builtinId="8" hidden="1"/>
    <cellStyle name="Hyperlink" xfId="4820" builtinId="8" hidden="1"/>
    <cellStyle name="Hyperlink" xfId="4822" builtinId="8" hidden="1"/>
    <cellStyle name="Hyperlink" xfId="4824" builtinId="8" hidden="1"/>
    <cellStyle name="Hyperlink" xfId="4826" builtinId="8" hidden="1"/>
    <cellStyle name="Hyperlink" xfId="4828" builtinId="8" hidden="1"/>
    <cellStyle name="Hyperlink" xfId="4830" builtinId="8" hidden="1"/>
    <cellStyle name="Hyperlink" xfId="4832" builtinId="8" hidden="1"/>
    <cellStyle name="Hyperlink" xfId="4834" builtinId="8" hidden="1"/>
    <cellStyle name="Hyperlink" xfId="4836" builtinId="8" hidden="1"/>
    <cellStyle name="Hyperlink" xfId="4838" builtinId="8" hidden="1"/>
    <cellStyle name="Hyperlink" xfId="4840" builtinId="8" hidden="1"/>
    <cellStyle name="Hyperlink" xfId="4842" builtinId="8" hidden="1"/>
    <cellStyle name="Hyperlink" xfId="4844" builtinId="8" hidden="1"/>
    <cellStyle name="Hyperlink" xfId="4846" builtinId="8" hidden="1"/>
    <cellStyle name="Hyperlink" xfId="4848" builtinId="8" hidden="1"/>
    <cellStyle name="Hyperlink" xfId="4850" builtinId="8" hidden="1"/>
    <cellStyle name="Hyperlink" xfId="4852" builtinId="8" hidden="1"/>
    <cellStyle name="Hyperlink" xfId="4854" builtinId="8" hidden="1"/>
    <cellStyle name="Hyperlink" xfId="4856" builtinId="8" hidden="1"/>
    <cellStyle name="Hyperlink" xfId="4858" builtinId="8" hidden="1"/>
    <cellStyle name="Hyperlink" xfId="4860" builtinId="8" hidden="1"/>
    <cellStyle name="Hyperlink" xfId="4862" builtinId="8" hidden="1"/>
    <cellStyle name="Hyperlink" xfId="4864" builtinId="8" hidden="1"/>
    <cellStyle name="Hyperlink" xfId="4866" builtinId="8" hidden="1"/>
    <cellStyle name="Hyperlink" xfId="4868" builtinId="8" hidden="1"/>
    <cellStyle name="Hyperlink" xfId="4870" builtinId="8" hidden="1"/>
    <cellStyle name="Hyperlink" xfId="4872" builtinId="8" hidden="1"/>
    <cellStyle name="Hyperlink" xfId="4874" builtinId="8" hidden="1"/>
    <cellStyle name="Hyperlink" xfId="4876" builtinId="8" hidden="1"/>
    <cellStyle name="Hyperlink" xfId="4878" builtinId="8" hidden="1"/>
    <cellStyle name="Hyperlink" xfId="4880" builtinId="8" hidden="1"/>
    <cellStyle name="Hyperlink" xfId="4882" builtinId="8" hidden="1"/>
    <cellStyle name="Hyperlink" xfId="4884" builtinId="8" hidden="1"/>
    <cellStyle name="Hyperlink" xfId="4886" builtinId="8" hidden="1"/>
    <cellStyle name="Hyperlink" xfId="4888" builtinId="8" hidden="1"/>
    <cellStyle name="Hyperlink" xfId="4890" builtinId="8" hidden="1"/>
    <cellStyle name="Hyperlink" xfId="4892" builtinId="8" hidden="1"/>
    <cellStyle name="Hyperlink" xfId="4894" builtinId="8" hidden="1"/>
    <cellStyle name="Hyperlink" xfId="4896" builtinId="8" hidden="1"/>
    <cellStyle name="Hyperlink" xfId="4898" builtinId="8" hidden="1"/>
    <cellStyle name="Hyperlink" xfId="4900" builtinId="8" hidden="1"/>
    <cellStyle name="Hyperlink" xfId="4902" builtinId="8" hidden="1"/>
    <cellStyle name="Hyperlink" xfId="4904" builtinId="8" hidden="1"/>
    <cellStyle name="Hyperlink" xfId="4906" builtinId="8" hidden="1"/>
    <cellStyle name="Hyperlink" xfId="4908" builtinId="8" hidden="1"/>
    <cellStyle name="Hyperlink" xfId="4910" builtinId="8" hidden="1"/>
    <cellStyle name="Hyperlink" xfId="4912" builtinId="8" hidden="1"/>
    <cellStyle name="Hyperlink" xfId="4914" builtinId="8" hidden="1"/>
    <cellStyle name="Hyperlink" xfId="4916" builtinId="8" hidden="1"/>
    <cellStyle name="Hyperlink" xfId="4918" builtinId="8" hidden="1"/>
    <cellStyle name="Hyperlink" xfId="4920" builtinId="8" hidden="1"/>
    <cellStyle name="Hyperlink" xfId="4922" builtinId="8" hidden="1"/>
    <cellStyle name="Hyperlink" xfId="4924" builtinId="8" hidden="1"/>
    <cellStyle name="Hyperlink" xfId="4926" builtinId="8" hidden="1"/>
    <cellStyle name="Hyperlink" xfId="4928" builtinId="8" hidden="1"/>
    <cellStyle name="Hyperlink" xfId="4930" builtinId="8" hidden="1"/>
    <cellStyle name="Hyperlink" xfId="4932" builtinId="8" hidden="1"/>
    <cellStyle name="Hyperlink" xfId="4934" builtinId="8" hidden="1"/>
    <cellStyle name="Hyperlink" xfId="4936" builtinId="8" hidden="1"/>
    <cellStyle name="Hyperlink" xfId="4938" builtinId="8" hidden="1"/>
    <cellStyle name="Hyperlink" xfId="4940" builtinId="8" hidden="1"/>
    <cellStyle name="Hyperlink" xfId="4942" builtinId="8" hidden="1"/>
    <cellStyle name="Hyperlink" xfId="4944" builtinId="8" hidden="1"/>
    <cellStyle name="Hyperlink" xfId="4946" builtinId="8" hidden="1"/>
    <cellStyle name="Hyperlink" xfId="4948" builtinId="8" hidden="1"/>
    <cellStyle name="Hyperlink" xfId="4950" builtinId="8" hidden="1"/>
    <cellStyle name="Hyperlink" xfId="4952" builtinId="8" hidden="1"/>
    <cellStyle name="Hyperlink" xfId="4954" builtinId="8" hidden="1"/>
    <cellStyle name="Hyperlink" xfId="4956" builtinId="8" hidden="1"/>
    <cellStyle name="Hyperlink" xfId="4958" builtinId="8" hidden="1"/>
    <cellStyle name="Hyperlink" xfId="4960" builtinId="8" hidden="1"/>
    <cellStyle name="Hyperlink" xfId="4962" builtinId="8" hidden="1"/>
    <cellStyle name="Hyperlink" xfId="4964" builtinId="8" hidden="1"/>
    <cellStyle name="Hyperlink" xfId="4966" builtinId="8" hidden="1"/>
    <cellStyle name="Hyperlink" xfId="4968" builtinId="8" hidden="1"/>
    <cellStyle name="Hyperlink" xfId="4970" builtinId="8" hidden="1"/>
    <cellStyle name="Hyperlink" xfId="4972" builtinId="8" hidden="1"/>
    <cellStyle name="Hyperlink" xfId="4974" builtinId="8" hidden="1"/>
    <cellStyle name="Hyperlink" xfId="4976" builtinId="8" hidden="1"/>
    <cellStyle name="Hyperlink" xfId="4978" builtinId="8" hidden="1"/>
    <cellStyle name="Hyperlink" xfId="4980" builtinId="8" hidden="1"/>
    <cellStyle name="Hyperlink" xfId="4982" builtinId="8" hidden="1"/>
    <cellStyle name="Hyperlink" xfId="4984" builtinId="8" hidden="1"/>
    <cellStyle name="Hyperlink" xfId="4986" builtinId="8" hidden="1"/>
    <cellStyle name="Hyperlink" xfId="4988" builtinId="8" hidden="1"/>
    <cellStyle name="Hyperlink" xfId="4990" builtinId="8" hidden="1"/>
    <cellStyle name="Hyperlink" xfId="4992" builtinId="8" hidden="1"/>
    <cellStyle name="Hyperlink" xfId="4994" builtinId="8" hidden="1"/>
    <cellStyle name="Hyperlink" xfId="4996" builtinId="8" hidden="1"/>
    <cellStyle name="Hyperlink" xfId="4998" builtinId="8" hidden="1"/>
    <cellStyle name="Hyperlink" xfId="5000" builtinId="8" hidden="1"/>
    <cellStyle name="Hyperlink" xfId="5002" builtinId="8" hidden="1"/>
    <cellStyle name="Hyperlink" xfId="5004" builtinId="8" hidden="1"/>
    <cellStyle name="Hyperlink" xfId="5006" builtinId="8" hidden="1"/>
    <cellStyle name="Hyperlink" xfId="5008" builtinId="8" hidden="1"/>
    <cellStyle name="Hyperlink" xfId="5010" builtinId="8" hidden="1"/>
    <cellStyle name="Hyperlink" xfId="5012" builtinId="8" hidden="1"/>
    <cellStyle name="Hyperlink" xfId="5014" builtinId="8" hidden="1"/>
    <cellStyle name="Hyperlink" xfId="5016" builtinId="8" hidden="1"/>
    <cellStyle name="Hyperlink" xfId="5018" builtinId="8" hidden="1"/>
    <cellStyle name="Hyperlink" xfId="5020" builtinId="8" hidden="1"/>
    <cellStyle name="Hyperlink" xfId="5022" builtinId="8" hidden="1"/>
    <cellStyle name="Hyperlink" xfId="5024" builtinId="8" hidden="1"/>
    <cellStyle name="Hyperlink" xfId="5026" builtinId="8" hidden="1"/>
    <cellStyle name="Hyperlink" xfId="5028" builtinId="8" hidden="1"/>
    <cellStyle name="Hyperlink" xfId="5030" builtinId="8" hidden="1"/>
    <cellStyle name="Hyperlink" xfId="5032" builtinId="8" hidden="1"/>
    <cellStyle name="Hyperlink" xfId="5034" builtinId="8" hidden="1"/>
    <cellStyle name="Hyperlink" xfId="5036" builtinId="8" hidden="1"/>
    <cellStyle name="Hyperlink" xfId="5038" builtinId="8" hidden="1"/>
    <cellStyle name="Hyperlink" xfId="5040" builtinId="8" hidden="1"/>
    <cellStyle name="Hyperlink" xfId="5042" builtinId="8" hidden="1"/>
    <cellStyle name="Hyperlink" xfId="5044" builtinId="8" hidden="1"/>
    <cellStyle name="Hyperlink" xfId="5046" builtinId="8" hidden="1"/>
    <cellStyle name="Hyperlink" xfId="5048" builtinId="8" hidden="1"/>
    <cellStyle name="Hyperlink" xfId="5050" builtinId="8" hidden="1"/>
    <cellStyle name="Hyperlink" xfId="5052" builtinId="8" hidden="1"/>
    <cellStyle name="Hyperlink" xfId="5054" builtinId="8" hidden="1"/>
    <cellStyle name="Hyperlink" xfId="5056" builtinId="8" hidden="1"/>
    <cellStyle name="Hyperlink" xfId="5058" builtinId="8" hidden="1"/>
    <cellStyle name="Hyperlink" xfId="5060" builtinId="8" hidden="1"/>
    <cellStyle name="Hyperlink" xfId="5062" builtinId="8" hidden="1"/>
    <cellStyle name="Hyperlink" xfId="5064" builtinId="8" hidden="1"/>
    <cellStyle name="Hyperlink" xfId="5066" builtinId="8" hidden="1"/>
    <cellStyle name="Hyperlink" xfId="5068" builtinId="8" hidden="1"/>
    <cellStyle name="Hyperlink" xfId="5070" builtinId="8" hidden="1"/>
    <cellStyle name="Hyperlink" xfId="5072" builtinId="8" hidden="1"/>
    <cellStyle name="Hyperlink" xfId="5074" builtinId="8" hidden="1"/>
    <cellStyle name="Hyperlink" xfId="5076" builtinId="8" hidden="1"/>
    <cellStyle name="Hyperlink" xfId="5078" builtinId="8" hidden="1"/>
    <cellStyle name="Hyperlink" xfId="5080" builtinId="8" hidden="1"/>
    <cellStyle name="Hyperlink" xfId="5082" builtinId="8" hidden="1"/>
    <cellStyle name="Hyperlink" xfId="5084" builtinId="8" hidden="1"/>
    <cellStyle name="Hyperlink" xfId="5086" builtinId="8" hidden="1"/>
    <cellStyle name="Hyperlink" xfId="5088" builtinId="8" hidden="1"/>
    <cellStyle name="Hyperlink" xfId="5090" builtinId="8" hidden="1"/>
    <cellStyle name="Hyperlink" xfId="5092" builtinId="8" hidden="1"/>
    <cellStyle name="Hyperlink" xfId="5094" builtinId="8" hidden="1"/>
    <cellStyle name="Hyperlink" xfId="5096" builtinId="8" hidden="1"/>
    <cellStyle name="Hyperlink" xfId="5098" builtinId="8" hidden="1"/>
    <cellStyle name="Hyperlink" xfId="5100" builtinId="8" hidden="1"/>
    <cellStyle name="Hyperlink" xfId="5102" builtinId="8" hidden="1"/>
    <cellStyle name="Hyperlink" xfId="5104" builtinId="8" hidden="1"/>
    <cellStyle name="Hyperlink" xfId="5106" builtinId="8" hidden="1"/>
    <cellStyle name="Hyperlink" xfId="5108" builtinId="8" hidden="1"/>
    <cellStyle name="Hyperlink" xfId="5110" builtinId="8" hidden="1"/>
    <cellStyle name="Hyperlink" xfId="5112" builtinId="8" hidden="1"/>
    <cellStyle name="Hyperlink" xfId="5114" builtinId="8" hidden="1"/>
    <cellStyle name="Hyperlink" xfId="5116" builtinId="8" hidden="1"/>
    <cellStyle name="Hyperlink" xfId="5118" builtinId="8" hidden="1"/>
    <cellStyle name="Hyperlink" xfId="5120" builtinId="8" hidden="1"/>
    <cellStyle name="Hyperlink" xfId="5122" builtinId="8" hidden="1"/>
    <cellStyle name="Hyperlink" xfId="5124" builtinId="8" hidden="1"/>
    <cellStyle name="Hyperlink" xfId="5126" builtinId="8" hidden="1"/>
    <cellStyle name="Hyperlink" xfId="5128" builtinId="8" hidden="1"/>
    <cellStyle name="Hyperlink" xfId="5130" builtinId="8" hidden="1"/>
    <cellStyle name="Hyperlink" xfId="5132" builtinId="8" hidden="1"/>
    <cellStyle name="Hyperlink" xfId="5134" builtinId="8" hidden="1"/>
    <cellStyle name="Hyperlink" xfId="5136" builtinId="8" hidden="1"/>
    <cellStyle name="Hyperlink" xfId="5138" builtinId="8" hidden="1"/>
    <cellStyle name="Hyperlink" xfId="5140" builtinId="8" hidden="1"/>
    <cellStyle name="Hyperlink" xfId="5142" builtinId="8" hidden="1"/>
    <cellStyle name="Hyperlink" xfId="5144" builtinId="8" hidden="1"/>
    <cellStyle name="Hyperlink" xfId="5146" builtinId="8" hidden="1"/>
    <cellStyle name="Hyperlink" xfId="5148" builtinId="8" hidden="1"/>
    <cellStyle name="Hyperlink" xfId="5150" builtinId="8" hidden="1"/>
    <cellStyle name="Hyperlink" xfId="5152" builtinId="8" hidden="1"/>
    <cellStyle name="Hyperlink" xfId="5154" builtinId="8" hidden="1"/>
    <cellStyle name="Hyperlink" xfId="5156" builtinId="8" hidden="1"/>
    <cellStyle name="Hyperlink" xfId="5158" builtinId="8" hidden="1"/>
    <cellStyle name="Hyperlink" xfId="5160" builtinId="8" hidden="1"/>
    <cellStyle name="Hyperlink" xfId="5162" builtinId="8" hidden="1"/>
    <cellStyle name="Hyperlink" xfId="5164" builtinId="8" hidden="1"/>
    <cellStyle name="Hyperlink" xfId="5166" builtinId="8" hidden="1"/>
    <cellStyle name="Hyperlink" xfId="5168" builtinId="8" hidden="1"/>
    <cellStyle name="Hyperlink" xfId="5170" builtinId="8" hidden="1"/>
    <cellStyle name="Hyperlink" xfId="5172" builtinId="8" hidden="1"/>
    <cellStyle name="Hyperlink" xfId="5174" builtinId="8" hidden="1"/>
    <cellStyle name="Hyperlink" xfId="5176" builtinId="8" hidden="1"/>
    <cellStyle name="Hyperlink" xfId="5178" builtinId="8" hidden="1"/>
    <cellStyle name="Hyperlink" xfId="5180" builtinId="8" hidden="1"/>
    <cellStyle name="Hyperlink" xfId="5182" builtinId="8" hidden="1"/>
    <cellStyle name="Hyperlink" xfId="5184" builtinId="8" hidden="1"/>
    <cellStyle name="Hyperlink" xfId="5186" builtinId="8" hidden="1"/>
    <cellStyle name="Hyperlink" xfId="5188" builtinId="8" hidden="1"/>
    <cellStyle name="Hyperlink" xfId="5190" builtinId="8" hidden="1"/>
    <cellStyle name="Hyperlink" xfId="5192" builtinId="8" hidden="1"/>
    <cellStyle name="Hyperlink" xfId="5194" builtinId="8" hidden="1"/>
    <cellStyle name="Hyperlink" xfId="5196" builtinId="8" hidden="1"/>
    <cellStyle name="Hyperlink" xfId="5198" builtinId="8" hidden="1"/>
    <cellStyle name="Hyperlink" xfId="5200" builtinId="8" hidden="1"/>
    <cellStyle name="Hyperlink" xfId="5202" builtinId="8" hidden="1"/>
    <cellStyle name="Hyperlink" xfId="5204" builtinId="8" hidden="1"/>
    <cellStyle name="Hyperlink" xfId="5206" builtinId="8" hidden="1"/>
    <cellStyle name="Hyperlink" xfId="5208" builtinId="8" hidden="1"/>
    <cellStyle name="Hyperlink" xfId="5210" builtinId="8" hidden="1"/>
    <cellStyle name="Hyperlink" xfId="5212" builtinId="8" hidden="1"/>
    <cellStyle name="Hyperlink" xfId="5214" builtinId="8" hidden="1"/>
    <cellStyle name="Hyperlink" xfId="5216" builtinId="8" hidden="1"/>
    <cellStyle name="Hyperlink" xfId="5218" builtinId="8" hidden="1"/>
    <cellStyle name="Hyperlink" xfId="5220" builtinId="8" hidden="1"/>
    <cellStyle name="Hyperlink" xfId="5222" builtinId="8" hidden="1"/>
    <cellStyle name="Hyperlink" xfId="5224" builtinId="8" hidden="1"/>
    <cellStyle name="Hyperlink" xfId="5226" builtinId="8" hidden="1"/>
    <cellStyle name="Hyperlink" xfId="5228" builtinId="8" hidden="1"/>
    <cellStyle name="Hyperlink" xfId="5230" builtinId="8" hidden="1"/>
    <cellStyle name="Hyperlink" xfId="5232" builtinId="8" hidden="1"/>
    <cellStyle name="Hyperlink" xfId="5234" builtinId="8" hidden="1"/>
    <cellStyle name="Hyperlink" xfId="5236" builtinId="8" hidden="1"/>
    <cellStyle name="Hyperlink" xfId="5238" builtinId="8" hidden="1"/>
    <cellStyle name="Hyperlink" xfId="5240" builtinId="8" hidden="1"/>
    <cellStyle name="Hyperlink" xfId="5242" builtinId="8" hidden="1"/>
    <cellStyle name="Hyperlink" xfId="5244" builtinId="8" hidden="1"/>
    <cellStyle name="Hyperlink" xfId="5246" builtinId="8" hidden="1"/>
    <cellStyle name="Hyperlink" xfId="5248" builtinId="8" hidden="1"/>
    <cellStyle name="Hyperlink" xfId="5250" builtinId="8" hidden="1"/>
    <cellStyle name="Hyperlink" xfId="5252" builtinId="8" hidden="1"/>
    <cellStyle name="Hyperlink" xfId="5254" builtinId="8" hidden="1"/>
    <cellStyle name="Hyperlink" xfId="5256" builtinId="8" hidden="1"/>
    <cellStyle name="Hyperlink" xfId="5258" builtinId="8" hidden="1"/>
    <cellStyle name="Hyperlink" xfId="5260" builtinId="8" hidden="1"/>
    <cellStyle name="Hyperlink" xfId="5262" builtinId="8" hidden="1"/>
    <cellStyle name="Hyperlink" xfId="5264" builtinId="8" hidden="1"/>
    <cellStyle name="Hyperlink" xfId="5266" builtinId="8" hidden="1"/>
    <cellStyle name="Hyperlink" xfId="5268" builtinId="8" hidden="1"/>
    <cellStyle name="Hyperlink" xfId="5270" builtinId="8" hidden="1"/>
    <cellStyle name="Hyperlink" xfId="5272" builtinId="8" hidden="1"/>
    <cellStyle name="Hyperlink" xfId="5274" builtinId="8" hidden="1"/>
    <cellStyle name="Hyperlink" xfId="5276" builtinId="8" hidden="1"/>
    <cellStyle name="Hyperlink" xfId="5278" builtinId="8" hidden="1"/>
    <cellStyle name="Hyperlink" xfId="5280" builtinId="8" hidden="1"/>
    <cellStyle name="Hyperlink" xfId="5282" builtinId="8" hidden="1"/>
    <cellStyle name="Hyperlink" xfId="5284" builtinId="8" hidden="1"/>
    <cellStyle name="Hyperlink" xfId="5286" builtinId="8" hidden="1"/>
    <cellStyle name="Hyperlink" xfId="5288" builtinId="8" hidden="1"/>
    <cellStyle name="Hyperlink" xfId="5290" builtinId="8" hidden="1"/>
    <cellStyle name="Hyperlink" xfId="5292" builtinId="8" hidden="1"/>
    <cellStyle name="Hyperlink" xfId="5294" builtinId="8" hidden="1"/>
    <cellStyle name="Hyperlink" xfId="5296" builtinId="8" hidden="1"/>
    <cellStyle name="Hyperlink" xfId="5298" builtinId="8" hidden="1"/>
    <cellStyle name="Hyperlink" xfId="5300" builtinId="8" hidden="1"/>
    <cellStyle name="Hyperlink" xfId="5302" builtinId="8" hidden="1"/>
    <cellStyle name="Hyperlink" xfId="5304" builtinId="8" hidden="1"/>
    <cellStyle name="Hyperlink" xfId="5306" builtinId="8" hidden="1"/>
    <cellStyle name="Hyperlink" xfId="5308" builtinId="8" hidden="1"/>
    <cellStyle name="Hyperlink" xfId="5310" builtinId="8" hidden="1"/>
    <cellStyle name="Hyperlink" xfId="5312" builtinId="8" hidden="1"/>
    <cellStyle name="Hyperlink" xfId="5314" builtinId="8" hidden="1"/>
    <cellStyle name="Hyperlink" xfId="5316" builtinId="8" hidden="1"/>
    <cellStyle name="Hyperlink" xfId="5318" builtinId="8" hidden="1"/>
    <cellStyle name="Hyperlink" xfId="5320" builtinId="8" hidden="1"/>
    <cellStyle name="Hyperlink" xfId="5322" builtinId="8" hidden="1"/>
    <cellStyle name="Hyperlink" xfId="5324" builtinId="8" hidden="1"/>
    <cellStyle name="Hyperlink" xfId="5326" builtinId="8" hidden="1"/>
    <cellStyle name="Hyperlink" xfId="5328" builtinId="8" hidden="1"/>
    <cellStyle name="Hyperlink" xfId="5330" builtinId="8" hidden="1"/>
    <cellStyle name="Hyperlink" xfId="5332" builtinId="8" hidden="1"/>
    <cellStyle name="Hyperlink" xfId="5334" builtinId="8" hidden="1"/>
    <cellStyle name="Hyperlink" xfId="5336" builtinId="8" hidden="1"/>
    <cellStyle name="Hyperlink" xfId="5338" builtinId="8" hidden="1"/>
    <cellStyle name="Hyperlink" xfId="5340" builtinId="8" hidden="1"/>
    <cellStyle name="Hyperlink" xfId="5342" builtinId="8" hidden="1"/>
    <cellStyle name="Hyperlink" xfId="5344" builtinId="8" hidden="1"/>
    <cellStyle name="Hyperlink" xfId="5346" builtinId="8" hidden="1"/>
    <cellStyle name="Hyperlink" xfId="5348" builtinId="8" hidden="1"/>
    <cellStyle name="Hyperlink" xfId="5350" builtinId="8" hidden="1"/>
    <cellStyle name="Hyperlink" xfId="5352" builtinId="8" hidden="1"/>
    <cellStyle name="Hyperlink" xfId="5354" builtinId="8" hidden="1"/>
    <cellStyle name="Hyperlink" xfId="5356" builtinId="8" hidden="1"/>
    <cellStyle name="Hyperlink" xfId="5358" builtinId="8" hidden="1"/>
    <cellStyle name="Hyperlink" xfId="5360" builtinId="8" hidden="1"/>
    <cellStyle name="Hyperlink" xfId="5362" builtinId="8" hidden="1"/>
    <cellStyle name="Hyperlink" xfId="5364" builtinId="8" hidden="1"/>
    <cellStyle name="Hyperlink" xfId="5366" builtinId="8" hidden="1"/>
    <cellStyle name="Hyperlink" xfId="5368" builtinId="8" hidden="1"/>
    <cellStyle name="Hyperlink" xfId="5370" builtinId="8" hidden="1"/>
    <cellStyle name="Hyperlink" xfId="5372" builtinId="8" hidden="1"/>
    <cellStyle name="Hyperlink" xfId="5374" builtinId="8" hidden="1"/>
    <cellStyle name="Hyperlink" xfId="5376" builtinId="8" hidden="1"/>
    <cellStyle name="Hyperlink" xfId="5378" builtinId="8" hidden="1"/>
    <cellStyle name="Hyperlink" xfId="5380" builtinId="8" hidden="1"/>
    <cellStyle name="Hyperlink" xfId="5382" builtinId="8" hidden="1"/>
    <cellStyle name="Hyperlink" xfId="5384" builtinId="8" hidden="1"/>
    <cellStyle name="Hyperlink" xfId="5386" builtinId="8" hidden="1"/>
    <cellStyle name="Hyperlink" xfId="5388" builtinId="8" hidden="1"/>
    <cellStyle name="Hyperlink" xfId="5390" builtinId="8" hidden="1"/>
    <cellStyle name="Hyperlink" xfId="5392" builtinId="8" hidden="1"/>
    <cellStyle name="Hyperlink" xfId="5394" builtinId="8" hidden="1"/>
    <cellStyle name="Hyperlink" xfId="5396" builtinId="8" hidden="1"/>
    <cellStyle name="Hyperlink" xfId="5398" builtinId="8" hidden="1"/>
    <cellStyle name="Hyperlink" xfId="5400" builtinId="8" hidden="1"/>
    <cellStyle name="Hyperlink" xfId="5402" builtinId="8" hidden="1"/>
    <cellStyle name="Hyperlink" xfId="5404" builtinId="8" hidden="1"/>
    <cellStyle name="Hyperlink" xfId="5406" builtinId="8" hidden="1"/>
    <cellStyle name="Hyperlink" xfId="5408" builtinId="8" hidden="1"/>
    <cellStyle name="Hyperlink" xfId="5410" builtinId="8" hidden="1"/>
    <cellStyle name="Hyperlink" xfId="5412" builtinId="8" hidden="1"/>
    <cellStyle name="Hyperlink" xfId="5414" builtinId="8" hidden="1"/>
    <cellStyle name="Hyperlink" xfId="5416" builtinId="8" hidden="1"/>
    <cellStyle name="Hyperlink" xfId="5418" builtinId="8" hidden="1"/>
    <cellStyle name="Hyperlink" xfId="5420" builtinId="8" hidden="1"/>
    <cellStyle name="Hyperlink" xfId="5422" builtinId="8" hidden="1"/>
    <cellStyle name="Hyperlink" xfId="5424" builtinId="8" hidden="1"/>
    <cellStyle name="Hyperlink" xfId="5426" builtinId="8" hidden="1"/>
    <cellStyle name="Hyperlink" xfId="5428" builtinId="8" hidden="1"/>
    <cellStyle name="Hyperlink" xfId="5430" builtinId="8" hidden="1"/>
    <cellStyle name="Hyperlink" xfId="5432" builtinId="8" hidden="1"/>
    <cellStyle name="Hyperlink" xfId="5434" builtinId="8" hidden="1"/>
    <cellStyle name="Hyperlink" xfId="5436" builtinId="8" hidden="1"/>
    <cellStyle name="Hyperlink" xfId="5438" builtinId="8" hidden="1"/>
    <cellStyle name="Hyperlink" xfId="5440" builtinId="8" hidden="1"/>
    <cellStyle name="Hyperlink" xfId="5442" builtinId="8" hidden="1"/>
    <cellStyle name="Hyperlink" xfId="5444" builtinId="8" hidden="1"/>
    <cellStyle name="Hyperlink" xfId="5446" builtinId="8" hidden="1"/>
    <cellStyle name="Hyperlink" xfId="5448" builtinId="8" hidden="1"/>
    <cellStyle name="Hyperlink" xfId="5450" builtinId="8" hidden="1"/>
    <cellStyle name="Hyperlink" xfId="5452" builtinId="8" hidden="1"/>
    <cellStyle name="Hyperlink" xfId="5454" builtinId="8" hidden="1"/>
    <cellStyle name="Hyperlink" xfId="5456" builtinId="8" hidden="1"/>
    <cellStyle name="Hyperlink" xfId="5458" builtinId="8" hidden="1"/>
    <cellStyle name="Hyperlink" xfId="5460" builtinId="8" hidden="1"/>
    <cellStyle name="Hyperlink" xfId="5462" builtinId="8" hidden="1"/>
    <cellStyle name="Hyperlink" xfId="5464" builtinId="8" hidden="1"/>
    <cellStyle name="Hyperlink" xfId="5466" builtinId="8" hidden="1"/>
    <cellStyle name="Hyperlink" xfId="5468" builtinId="8" hidden="1"/>
    <cellStyle name="Hyperlink" xfId="5470" builtinId="8" hidden="1"/>
    <cellStyle name="Hyperlink" xfId="5472" builtinId="8" hidden="1"/>
    <cellStyle name="Hyperlink" xfId="5474" builtinId="8" hidden="1"/>
    <cellStyle name="Hyperlink" xfId="5476" builtinId="8" hidden="1"/>
    <cellStyle name="Hyperlink" xfId="5478" builtinId="8" hidden="1"/>
    <cellStyle name="Hyperlink" xfId="5480" builtinId="8" hidden="1"/>
    <cellStyle name="Hyperlink" xfId="5482" builtinId="8" hidden="1"/>
    <cellStyle name="Hyperlink" xfId="5484" builtinId="8" hidden="1"/>
    <cellStyle name="Hyperlink" xfId="5486" builtinId="8" hidden="1"/>
    <cellStyle name="Hyperlink" xfId="5488" builtinId="8" hidden="1"/>
    <cellStyle name="Hyperlink" xfId="5490" builtinId="8" hidden="1"/>
    <cellStyle name="Hyperlink" xfId="5492" builtinId="8" hidden="1"/>
    <cellStyle name="Hyperlink" xfId="5494" builtinId="8" hidden="1"/>
    <cellStyle name="Hyperlink" xfId="5496" builtinId="8" hidden="1"/>
    <cellStyle name="Hyperlink" xfId="5498" builtinId="8" hidden="1"/>
    <cellStyle name="Hyperlink" xfId="5500" builtinId="8" hidden="1"/>
    <cellStyle name="Hyperlink" xfId="5502" builtinId="8" hidden="1"/>
    <cellStyle name="Hyperlink" xfId="5504" builtinId="8" hidden="1"/>
    <cellStyle name="Hyperlink" xfId="5506" builtinId="8" hidden="1"/>
    <cellStyle name="Hyperlink" xfId="5508" builtinId="8" hidden="1"/>
    <cellStyle name="Hyperlink" xfId="5510" builtinId="8" hidden="1"/>
    <cellStyle name="Hyperlink" xfId="5512" builtinId="8" hidden="1"/>
    <cellStyle name="Hyperlink" xfId="5514" builtinId="8" hidden="1"/>
    <cellStyle name="Hyperlink" xfId="5516" builtinId="8" hidden="1"/>
    <cellStyle name="Hyperlink" xfId="5518" builtinId="8" hidden="1"/>
    <cellStyle name="Hyperlink" xfId="5520" builtinId="8" hidden="1"/>
    <cellStyle name="Hyperlink" xfId="5522" builtinId="8" hidden="1"/>
    <cellStyle name="Hyperlink" xfId="5524" builtinId="8" hidden="1"/>
    <cellStyle name="Hyperlink" xfId="5526" builtinId="8" hidden="1"/>
    <cellStyle name="Hyperlink" xfId="5528" builtinId="8" hidden="1"/>
    <cellStyle name="Hyperlink" xfId="5530" builtinId="8" hidden="1"/>
    <cellStyle name="Hyperlink" xfId="5532" builtinId="8" hidden="1"/>
    <cellStyle name="Hyperlink" xfId="5534" builtinId="8" hidden="1"/>
    <cellStyle name="Hyperlink" xfId="5536" builtinId="8" hidden="1"/>
    <cellStyle name="Hyperlink" xfId="5538" builtinId="8" hidden="1"/>
    <cellStyle name="Hyperlink" xfId="5540" builtinId="8" hidden="1"/>
    <cellStyle name="Hyperlink" xfId="5542" builtinId="8" hidden="1"/>
    <cellStyle name="Hyperlink" xfId="5544" builtinId="8" hidden="1"/>
    <cellStyle name="Hyperlink" xfId="5546" builtinId="8" hidden="1"/>
    <cellStyle name="Hyperlink" xfId="5548" builtinId="8" hidden="1"/>
    <cellStyle name="Hyperlink" xfId="5550" builtinId="8" hidden="1"/>
    <cellStyle name="Hyperlink" xfId="5552" builtinId="8" hidden="1"/>
    <cellStyle name="Hyperlink" xfId="5554" builtinId="8" hidden="1"/>
    <cellStyle name="Hyperlink" xfId="5556" builtinId="8" hidden="1"/>
    <cellStyle name="Hyperlink" xfId="5558" builtinId="8" hidden="1"/>
    <cellStyle name="Hyperlink" xfId="5560" builtinId="8" hidden="1"/>
    <cellStyle name="Hyperlink" xfId="5562" builtinId="8" hidden="1"/>
    <cellStyle name="Hyperlink" xfId="5564" builtinId="8" hidden="1"/>
    <cellStyle name="Hyperlink" xfId="5566" builtinId="8" hidden="1"/>
    <cellStyle name="Hyperlink" xfId="5568" builtinId="8" hidden="1"/>
    <cellStyle name="Hyperlink" xfId="5570" builtinId="8" hidden="1"/>
    <cellStyle name="Hyperlink" xfId="5572" builtinId="8" hidden="1"/>
    <cellStyle name="Hyperlink" xfId="5574" builtinId="8" hidden="1"/>
    <cellStyle name="Hyperlink" xfId="5576" builtinId="8" hidden="1"/>
    <cellStyle name="Hyperlink" xfId="5578" builtinId="8" hidden="1"/>
    <cellStyle name="Hyperlink" xfId="5580" builtinId="8" hidden="1"/>
    <cellStyle name="Hyperlink" xfId="5582" builtinId="8" hidden="1"/>
    <cellStyle name="Hyperlink" xfId="5584" builtinId="8" hidden="1"/>
    <cellStyle name="Hyperlink" xfId="5586" builtinId="8" hidden="1"/>
    <cellStyle name="Hyperlink" xfId="5588" builtinId="8" hidden="1"/>
    <cellStyle name="Hyperlink" xfId="5590" builtinId="8" hidden="1"/>
    <cellStyle name="Hyperlink" xfId="5592" builtinId="8" hidden="1"/>
    <cellStyle name="Hyperlink" xfId="5594" builtinId="8" hidden="1"/>
    <cellStyle name="Hyperlink" xfId="5596" builtinId="8" hidden="1"/>
    <cellStyle name="Hyperlink" xfId="5598" builtinId="8" hidden="1"/>
    <cellStyle name="Hyperlink" xfId="5600" builtinId="8" hidden="1"/>
    <cellStyle name="Hyperlink" xfId="5602" builtinId="8" hidden="1"/>
    <cellStyle name="Hyperlink" xfId="5604" builtinId="8" hidden="1"/>
    <cellStyle name="Hyperlink" xfId="5606" builtinId="8" hidden="1"/>
    <cellStyle name="Hyperlink" xfId="5608" builtinId="8" hidden="1"/>
    <cellStyle name="Hyperlink" xfId="5610" builtinId="8" hidden="1"/>
    <cellStyle name="Hyperlink" xfId="5612" builtinId="8" hidden="1"/>
    <cellStyle name="Hyperlink" xfId="5614" builtinId="8" hidden="1"/>
    <cellStyle name="Hyperlink" xfId="5616" builtinId="8" hidden="1"/>
    <cellStyle name="Hyperlink" xfId="5618" builtinId="8" hidden="1"/>
    <cellStyle name="Hyperlink" xfId="5620" builtinId="8" hidden="1"/>
    <cellStyle name="Hyperlink" xfId="5622" builtinId="8" hidden="1"/>
    <cellStyle name="Hyperlink" xfId="5624" builtinId="8" hidden="1"/>
    <cellStyle name="Hyperlink" xfId="5626" builtinId="8" hidden="1"/>
    <cellStyle name="Hyperlink" xfId="5628" builtinId="8" hidden="1"/>
    <cellStyle name="Hyperlink" xfId="5630" builtinId="8" hidden="1"/>
    <cellStyle name="Hyperlink" xfId="5632" builtinId="8" hidden="1"/>
    <cellStyle name="Hyperlink" xfId="5634" builtinId="8" hidden="1"/>
    <cellStyle name="Hyperlink" xfId="5636" builtinId="8" hidden="1"/>
    <cellStyle name="Hyperlink" xfId="5638" builtinId="8" hidden="1"/>
    <cellStyle name="Hyperlink" xfId="5640" builtinId="8" hidden="1"/>
    <cellStyle name="Hyperlink" xfId="5642" builtinId="8" hidden="1"/>
    <cellStyle name="Hyperlink" xfId="5644" builtinId="8" hidden="1"/>
    <cellStyle name="Hyperlink" xfId="5646" builtinId="8" hidden="1"/>
    <cellStyle name="Hyperlink" xfId="5648" builtinId="8" hidden="1"/>
    <cellStyle name="Hyperlink" xfId="5650" builtinId="8" hidden="1"/>
    <cellStyle name="Hyperlink" xfId="5652" builtinId="8" hidden="1"/>
    <cellStyle name="Hyperlink" xfId="5654" builtinId="8" hidden="1"/>
    <cellStyle name="Hyperlink" xfId="5656" builtinId="8" hidden="1"/>
    <cellStyle name="Hyperlink" xfId="5658" builtinId="8" hidden="1"/>
    <cellStyle name="Hyperlink" xfId="5660" builtinId="8" hidden="1"/>
    <cellStyle name="Hyperlink" xfId="5662" builtinId="8" hidden="1"/>
    <cellStyle name="Hyperlink" xfId="5664" builtinId="8" hidden="1"/>
    <cellStyle name="Hyperlink" xfId="5666" builtinId="8" hidden="1"/>
    <cellStyle name="Hyperlink" xfId="5668" builtinId="8" hidden="1"/>
    <cellStyle name="Hyperlink" xfId="5670" builtinId="8" hidden="1"/>
    <cellStyle name="Hyperlink" xfId="5672" builtinId="8" hidden="1"/>
    <cellStyle name="Hyperlink" xfId="5674" builtinId="8" hidden="1"/>
    <cellStyle name="Hyperlink" xfId="5676" builtinId="8" hidden="1"/>
    <cellStyle name="Hyperlink" xfId="5678" builtinId="8" hidden="1"/>
    <cellStyle name="Hyperlink" xfId="5680" builtinId="8" hidden="1"/>
    <cellStyle name="Hyperlink" xfId="5682" builtinId="8" hidden="1"/>
    <cellStyle name="Hyperlink" xfId="5684" builtinId="8" hidden="1"/>
    <cellStyle name="Hyperlink" xfId="5686" builtinId="8" hidden="1"/>
    <cellStyle name="Hyperlink" xfId="5688" builtinId="8" hidden="1"/>
    <cellStyle name="Hyperlink" xfId="5690" builtinId="8" hidden="1"/>
    <cellStyle name="Hyperlink" xfId="5692" builtinId="8" hidden="1"/>
    <cellStyle name="Hyperlink" xfId="5694" builtinId="8" hidden="1"/>
    <cellStyle name="Hyperlink" xfId="5696" builtinId="8" hidden="1"/>
    <cellStyle name="Hyperlink" xfId="5698" builtinId="8" hidden="1"/>
    <cellStyle name="Hyperlink" xfId="5700" builtinId="8" hidden="1"/>
    <cellStyle name="Hyperlink" xfId="5702" builtinId="8" hidden="1"/>
    <cellStyle name="Hyperlink" xfId="5704" builtinId="8" hidden="1"/>
    <cellStyle name="Hyperlink" xfId="5706" builtinId="8" hidden="1"/>
    <cellStyle name="Hyperlink" xfId="5708" builtinId="8" hidden="1"/>
    <cellStyle name="Hyperlink" xfId="5710" builtinId="8" hidden="1"/>
    <cellStyle name="Hyperlink" xfId="5712" builtinId="8" hidden="1"/>
    <cellStyle name="Hyperlink" xfId="5714" builtinId="8" hidden="1"/>
    <cellStyle name="Hyperlink" xfId="5716" builtinId="8" hidden="1"/>
    <cellStyle name="Hyperlink" xfId="5718" builtinId="8" hidden="1"/>
    <cellStyle name="Hyperlink" xfId="5720" builtinId="8" hidden="1"/>
    <cellStyle name="Hyperlink" xfId="5722" builtinId="8" hidden="1"/>
    <cellStyle name="Hyperlink" xfId="5724" builtinId="8" hidden="1"/>
    <cellStyle name="Hyperlink" xfId="5726" builtinId="8" hidden="1"/>
    <cellStyle name="Hyperlink" xfId="5728" builtinId="8" hidden="1"/>
    <cellStyle name="Hyperlink" xfId="5730" builtinId="8" hidden="1"/>
    <cellStyle name="Hyperlink" xfId="5732" builtinId="8" hidden="1"/>
    <cellStyle name="Hyperlink" xfId="5734" builtinId="8" hidden="1"/>
    <cellStyle name="Hyperlink" xfId="5736" builtinId="8" hidden="1"/>
    <cellStyle name="Hyperlink" xfId="5738" builtinId="8" hidden="1"/>
    <cellStyle name="Hyperlink" xfId="5740" builtinId="8" hidden="1"/>
    <cellStyle name="Hyperlink" xfId="5742" builtinId="8" hidden="1"/>
    <cellStyle name="Hyperlink" xfId="5744" builtinId="8" hidden="1"/>
    <cellStyle name="Hyperlink" xfId="5746" builtinId="8" hidden="1"/>
    <cellStyle name="Hyperlink" xfId="5748" builtinId="8" hidden="1"/>
    <cellStyle name="Hyperlink" xfId="5750" builtinId="8" hidden="1"/>
    <cellStyle name="Hyperlink" xfId="5752" builtinId="8" hidden="1"/>
    <cellStyle name="Hyperlink" xfId="5754" builtinId="8" hidden="1"/>
    <cellStyle name="Hyperlink" xfId="5756" builtinId="8" hidden="1"/>
    <cellStyle name="Hyperlink" xfId="5758" builtinId="8" hidden="1"/>
    <cellStyle name="Hyperlink" xfId="5760" builtinId="8" hidden="1"/>
    <cellStyle name="Hyperlink" xfId="5762" builtinId="8" hidden="1"/>
    <cellStyle name="Hyperlink" xfId="5764" builtinId="8" hidden="1"/>
    <cellStyle name="Hyperlink" xfId="5766" builtinId="8" hidden="1"/>
    <cellStyle name="Hyperlink" xfId="5768" builtinId="8" hidden="1"/>
    <cellStyle name="Hyperlink" xfId="5770" builtinId="8" hidden="1"/>
    <cellStyle name="Hyperlink" xfId="5772" builtinId="8" hidden="1"/>
    <cellStyle name="Hyperlink" xfId="5774" builtinId="8" hidden="1"/>
    <cellStyle name="Hyperlink" xfId="5776" builtinId="8" hidden="1"/>
    <cellStyle name="Hyperlink" xfId="5778" builtinId="8" hidden="1"/>
    <cellStyle name="Hyperlink" xfId="5780" builtinId="8" hidden="1"/>
    <cellStyle name="Hyperlink" xfId="5782" builtinId="8" hidden="1"/>
    <cellStyle name="Hyperlink" xfId="5784" builtinId="8" hidden="1"/>
    <cellStyle name="Hyperlink" xfId="5786" builtinId="8" hidden="1"/>
    <cellStyle name="Hyperlink" xfId="5788" builtinId="8" hidden="1"/>
    <cellStyle name="Hyperlink" xfId="5790" builtinId="8" hidden="1"/>
    <cellStyle name="Hyperlink" xfId="5792" builtinId="8" hidden="1"/>
    <cellStyle name="Hyperlink" xfId="5794" builtinId="8" hidden="1"/>
    <cellStyle name="Hyperlink" xfId="5796" builtinId="8" hidden="1"/>
    <cellStyle name="Hyperlink" xfId="5798" builtinId="8" hidden="1"/>
    <cellStyle name="Hyperlink" xfId="5800" builtinId="8" hidden="1"/>
    <cellStyle name="Hyperlink" xfId="5802" builtinId="8" hidden="1"/>
    <cellStyle name="Hyperlink" xfId="5804" builtinId="8" hidden="1"/>
    <cellStyle name="Hyperlink" xfId="5806" builtinId="8" hidden="1"/>
    <cellStyle name="Hyperlink" xfId="5808" builtinId="8" hidden="1"/>
    <cellStyle name="Hyperlink" xfId="5810" builtinId="8" hidden="1"/>
    <cellStyle name="Hyperlink" xfId="5812" builtinId="8" hidden="1"/>
    <cellStyle name="Hyperlink" xfId="5814" builtinId="8" hidden="1"/>
    <cellStyle name="Hyperlink" xfId="5816" builtinId="8" hidden="1"/>
    <cellStyle name="Hyperlink" xfId="5818" builtinId="8" hidden="1"/>
    <cellStyle name="Hyperlink" xfId="5820" builtinId="8" hidden="1"/>
    <cellStyle name="Hyperlink" xfId="5822" builtinId="8" hidden="1"/>
    <cellStyle name="Hyperlink" xfId="5824" builtinId="8" hidden="1"/>
    <cellStyle name="Hyperlink" xfId="5826" builtinId="8" hidden="1"/>
    <cellStyle name="Hyperlink" xfId="5828" builtinId="8" hidden="1"/>
    <cellStyle name="Hyperlink" xfId="5830" builtinId="8" hidden="1"/>
    <cellStyle name="Hyperlink" xfId="5832" builtinId="8" hidden="1"/>
    <cellStyle name="Hyperlink" xfId="5834" builtinId="8" hidden="1"/>
    <cellStyle name="Hyperlink" xfId="5836" builtinId="8" hidden="1"/>
    <cellStyle name="Hyperlink" xfId="5838" builtinId="8" hidden="1"/>
    <cellStyle name="Hyperlink" xfId="5840" builtinId="8" hidden="1"/>
    <cellStyle name="Hyperlink" xfId="5842" builtinId="8" hidden="1"/>
    <cellStyle name="Hyperlink" xfId="5844" builtinId="8" hidden="1"/>
    <cellStyle name="Hyperlink" xfId="5846" builtinId="8" hidden="1"/>
    <cellStyle name="Hyperlink" xfId="5848" builtinId="8" hidden="1"/>
    <cellStyle name="Hyperlink" xfId="5850" builtinId="8" hidden="1"/>
    <cellStyle name="Hyperlink" xfId="5852" builtinId="8" hidden="1"/>
    <cellStyle name="Hyperlink" xfId="5854" builtinId="8" hidden="1"/>
    <cellStyle name="Hyperlink" xfId="5856" builtinId="8" hidden="1"/>
    <cellStyle name="Hyperlink" xfId="5858" builtinId="8" hidden="1"/>
    <cellStyle name="Hyperlink" xfId="5860" builtinId="8" hidden="1"/>
    <cellStyle name="Hyperlink" xfId="5862" builtinId="8" hidden="1"/>
    <cellStyle name="Hyperlink" xfId="5864" builtinId="8" hidden="1"/>
    <cellStyle name="Hyperlink" xfId="5866" builtinId="8" hidden="1"/>
    <cellStyle name="Hyperlink" xfId="5868" builtinId="8" hidden="1"/>
    <cellStyle name="Hyperlink" xfId="5870" builtinId="8" hidden="1"/>
    <cellStyle name="Hyperlink" xfId="5872" builtinId="8" hidden="1"/>
    <cellStyle name="Hyperlink" xfId="5874" builtinId="8" hidden="1"/>
    <cellStyle name="Hyperlink" xfId="5876" builtinId="8" hidden="1"/>
    <cellStyle name="Hyperlink" xfId="5878" builtinId="8" hidden="1"/>
    <cellStyle name="Hyperlink" xfId="5880" builtinId="8" hidden="1"/>
    <cellStyle name="Hyperlink" xfId="5882" builtinId="8" hidden="1"/>
    <cellStyle name="Hyperlink" xfId="5884" builtinId="8" hidden="1"/>
    <cellStyle name="Hyperlink" xfId="5886" builtinId="8" hidden="1"/>
    <cellStyle name="Hyperlink" xfId="5888" builtinId="8" hidden="1"/>
    <cellStyle name="Hyperlink" xfId="5890" builtinId="8" hidden="1"/>
    <cellStyle name="Hyperlink" xfId="5892" builtinId="8" hidden="1"/>
    <cellStyle name="Hyperlink" xfId="5894" builtinId="8" hidden="1"/>
    <cellStyle name="Hyperlink" xfId="5896" builtinId="8" hidden="1"/>
    <cellStyle name="Hyperlink" xfId="5898" builtinId="8" hidden="1"/>
    <cellStyle name="Hyperlink" xfId="5900" builtinId="8" hidden="1"/>
    <cellStyle name="Hyperlink" xfId="5902" builtinId="8" hidden="1"/>
    <cellStyle name="Hyperlink" xfId="5904" builtinId="8" hidden="1"/>
    <cellStyle name="Hyperlink" xfId="5906" builtinId="8" hidden="1"/>
    <cellStyle name="Hyperlink" xfId="5908" builtinId="8" hidden="1"/>
    <cellStyle name="Hyperlink" xfId="5910" builtinId="8" hidden="1"/>
    <cellStyle name="Hyperlink" xfId="5912" builtinId="8" hidden="1"/>
    <cellStyle name="Hyperlink" xfId="5914" builtinId="8" hidden="1"/>
    <cellStyle name="Hyperlink" xfId="5916" builtinId="8" hidden="1"/>
    <cellStyle name="Hyperlink" xfId="5918" builtinId="8" hidden="1"/>
    <cellStyle name="Hyperlink" xfId="5920" builtinId="8" hidden="1"/>
    <cellStyle name="Hyperlink" xfId="5922" builtinId="8" hidden="1"/>
    <cellStyle name="Hyperlink" xfId="5924" builtinId="8" hidden="1"/>
    <cellStyle name="Hyperlink" xfId="5926" builtinId="8" hidden="1"/>
    <cellStyle name="Hyperlink" xfId="5928" builtinId="8" hidden="1"/>
    <cellStyle name="Hyperlink" xfId="5930" builtinId="8" hidden="1"/>
    <cellStyle name="Hyperlink" xfId="5932" builtinId="8" hidden="1"/>
    <cellStyle name="Hyperlink" xfId="5934" builtinId="8" hidden="1"/>
    <cellStyle name="Hyperlink" xfId="5936" builtinId="8" hidden="1"/>
    <cellStyle name="Hyperlink" xfId="5938" builtinId="8" hidden="1"/>
    <cellStyle name="Hyperlink" xfId="5940" builtinId="8" hidden="1"/>
    <cellStyle name="Hyperlink" xfId="5942" builtinId="8" hidden="1"/>
    <cellStyle name="Hyperlink" xfId="5944" builtinId="8" hidden="1"/>
    <cellStyle name="Hyperlink" xfId="5946" builtinId="8" hidden="1"/>
    <cellStyle name="Hyperlink" xfId="5948" builtinId="8" hidden="1"/>
    <cellStyle name="Hyperlink" xfId="5950" builtinId="8" hidden="1"/>
    <cellStyle name="Hyperlink" xfId="5952" builtinId="8" hidden="1"/>
    <cellStyle name="Hyperlink" xfId="5954" builtinId="8" hidden="1"/>
    <cellStyle name="Hyperlink" xfId="5956" builtinId="8" hidden="1"/>
    <cellStyle name="Hyperlink" xfId="5958" builtinId="8" hidden="1"/>
    <cellStyle name="Hyperlink" xfId="5960" builtinId="8" hidden="1"/>
    <cellStyle name="Hyperlink" xfId="5962" builtinId="8" hidden="1"/>
    <cellStyle name="Hyperlink" xfId="5964" builtinId="8" hidden="1"/>
    <cellStyle name="Hyperlink" xfId="5966" builtinId="8" hidden="1"/>
    <cellStyle name="Hyperlink" xfId="5968" builtinId="8" hidden="1"/>
    <cellStyle name="Hyperlink" xfId="5970" builtinId="8" hidden="1"/>
    <cellStyle name="Hyperlink" xfId="5972" builtinId="8" hidden="1"/>
    <cellStyle name="Hyperlink" xfId="5974" builtinId="8" hidden="1"/>
    <cellStyle name="Hyperlink" xfId="5976" builtinId="8" hidden="1"/>
    <cellStyle name="Hyperlink" xfId="5978" builtinId="8" hidden="1"/>
    <cellStyle name="Hyperlink" xfId="5980" builtinId="8" hidden="1"/>
    <cellStyle name="Hyperlink" xfId="5982" builtinId="8" hidden="1"/>
    <cellStyle name="Hyperlink" xfId="5984" builtinId="8" hidden="1"/>
    <cellStyle name="Hyperlink" xfId="5986" builtinId="8" hidden="1"/>
    <cellStyle name="Hyperlink" xfId="5988" builtinId="8" hidden="1"/>
    <cellStyle name="Hyperlink" xfId="5990" builtinId="8" hidden="1"/>
    <cellStyle name="Hyperlink" xfId="5992" builtinId="8" hidden="1"/>
    <cellStyle name="Hyperlink" xfId="5994" builtinId="8" hidden="1"/>
    <cellStyle name="Hyperlink" xfId="5996" builtinId="8" hidden="1"/>
    <cellStyle name="Hyperlink" xfId="5998" builtinId="8" hidden="1"/>
    <cellStyle name="Hyperlink" xfId="6000" builtinId="8" hidden="1"/>
    <cellStyle name="Hyperlink" xfId="6002" builtinId="8" hidden="1"/>
    <cellStyle name="Hyperlink" xfId="6004" builtinId="8" hidden="1"/>
    <cellStyle name="Hyperlink" xfId="6006" builtinId="8" hidden="1"/>
    <cellStyle name="Hyperlink" xfId="6008" builtinId="8" hidden="1"/>
    <cellStyle name="Hyperlink" xfId="6010" builtinId="8" hidden="1"/>
    <cellStyle name="Hyperlink" xfId="6012" builtinId="8" hidden="1"/>
    <cellStyle name="Hyperlink" xfId="6014" builtinId="8" hidden="1"/>
    <cellStyle name="Hyperlink" xfId="6016" builtinId="8" hidden="1"/>
    <cellStyle name="Hyperlink" xfId="6018" builtinId="8" hidden="1"/>
    <cellStyle name="Hyperlink" xfId="6020" builtinId="8" hidden="1"/>
    <cellStyle name="Hyperlink" xfId="6022" builtinId="8" hidden="1"/>
    <cellStyle name="Hyperlink" xfId="6024" builtinId="8" hidden="1"/>
    <cellStyle name="Hyperlink" xfId="6026" builtinId="8" hidden="1"/>
    <cellStyle name="Hyperlink" xfId="6028" builtinId="8" hidden="1"/>
    <cellStyle name="Hyperlink" xfId="6030" builtinId="8" hidden="1"/>
    <cellStyle name="Hyperlink" xfId="6032" builtinId="8" hidden="1"/>
    <cellStyle name="Hyperlink" xfId="6034" builtinId="8" hidden="1"/>
    <cellStyle name="Hyperlink" xfId="6036" builtinId="8" hidden="1"/>
    <cellStyle name="Hyperlink" xfId="6038" builtinId="8" hidden="1"/>
    <cellStyle name="Hyperlink" xfId="6040" builtinId="8" hidden="1"/>
    <cellStyle name="Hyperlink" xfId="6042" builtinId="8" hidden="1"/>
    <cellStyle name="Hyperlink" xfId="6044" builtinId="8" hidden="1"/>
    <cellStyle name="Hyperlink" xfId="6046" builtinId="8" hidden="1"/>
    <cellStyle name="Hyperlink" xfId="6048" builtinId="8" hidden="1"/>
    <cellStyle name="Hyperlink" xfId="6050" builtinId="8" hidden="1"/>
    <cellStyle name="Hyperlink" xfId="6052" builtinId="8" hidden="1"/>
    <cellStyle name="Hyperlink" xfId="6054" builtinId="8" hidden="1"/>
    <cellStyle name="Hyperlink" xfId="6056" builtinId="8" hidden="1"/>
    <cellStyle name="Hyperlink" xfId="6058" builtinId="8" hidden="1"/>
    <cellStyle name="Hyperlink" xfId="6060" builtinId="8" hidden="1"/>
    <cellStyle name="Hyperlink" xfId="6062" builtinId="8" hidden="1"/>
    <cellStyle name="Hyperlink" xfId="6064" builtinId="8" hidden="1"/>
    <cellStyle name="Hyperlink" xfId="6066" builtinId="8" hidden="1"/>
    <cellStyle name="Hyperlink" xfId="6068" builtinId="8" hidden="1"/>
    <cellStyle name="Hyperlink" xfId="6070" builtinId="8" hidden="1"/>
    <cellStyle name="Hyperlink" xfId="6072" builtinId="8" hidden="1"/>
    <cellStyle name="Hyperlink" xfId="6074" builtinId="8" hidden="1"/>
    <cellStyle name="Hyperlink" xfId="6076" builtinId="8" hidden="1"/>
    <cellStyle name="Hyperlink" xfId="6078" builtinId="8" hidden="1"/>
    <cellStyle name="Hyperlink" xfId="6080" builtinId="8" hidden="1"/>
    <cellStyle name="Hyperlink" xfId="6082" builtinId="8" hidden="1"/>
    <cellStyle name="Hyperlink" xfId="6084" builtinId="8" hidden="1"/>
    <cellStyle name="Hyperlink" xfId="6086" builtinId="8" hidden="1"/>
    <cellStyle name="Hyperlink" xfId="6088" builtinId="8" hidden="1"/>
    <cellStyle name="Hyperlink" xfId="6090" builtinId="8" hidden="1"/>
    <cellStyle name="Hyperlink" xfId="6092" builtinId="8" hidden="1"/>
    <cellStyle name="Hyperlink" xfId="6094" builtinId="8" hidden="1"/>
    <cellStyle name="Hyperlink" xfId="6096" builtinId="8" hidden="1"/>
    <cellStyle name="Hyperlink" xfId="6098" builtinId="8" hidden="1"/>
    <cellStyle name="Hyperlink" xfId="6100" builtinId="8" hidden="1"/>
    <cellStyle name="Hyperlink" xfId="6102" builtinId="8" hidden="1"/>
    <cellStyle name="Hyperlink" xfId="6104" builtinId="8" hidden="1"/>
    <cellStyle name="Hyperlink" xfId="6106" builtinId="8" hidden="1"/>
    <cellStyle name="Hyperlink" xfId="6108" builtinId="8" hidden="1"/>
    <cellStyle name="Hyperlink" xfId="6110" builtinId="8" hidden="1"/>
    <cellStyle name="Hyperlink" xfId="6112" builtinId="8" hidden="1"/>
    <cellStyle name="Hyperlink" xfId="6114" builtinId="8" hidden="1"/>
    <cellStyle name="Hyperlink" xfId="6116" builtinId="8" hidden="1"/>
    <cellStyle name="Hyperlink" xfId="6118" builtinId="8" hidden="1"/>
    <cellStyle name="Hyperlink" xfId="6120" builtinId="8" hidden="1"/>
    <cellStyle name="Hyperlink" xfId="6122" builtinId="8" hidden="1"/>
    <cellStyle name="Hyperlink" xfId="6124" builtinId="8" hidden="1"/>
    <cellStyle name="Hyperlink" xfId="6126" builtinId="8" hidden="1"/>
    <cellStyle name="Hyperlink" xfId="6128" builtinId="8" hidden="1"/>
    <cellStyle name="Hyperlink" xfId="6130" builtinId="8" hidden="1"/>
    <cellStyle name="Hyperlink" xfId="6132" builtinId="8" hidden="1"/>
    <cellStyle name="Hyperlink" xfId="6134" builtinId="8" hidden="1"/>
    <cellStyle name="Hyperlink" xfId="6136" builtinId="8" hidden="1"/>
    <cellStyle name="Hyperlink" xfId="6138" builtinId="8" hidden="1"/>
    <cellStyle name="Hyperlink" xfId="6140" builtinId="8" hidden="1"/>
    <cellStyle name="Hyperlink" xfId="6142" builtinId="8" hidden="1"/>
    <cellStyle name="Hyperlink" xfId="6144" builtinId="8" hidden="1"/>
    <cellStyle name="Hyperlink" xfId="6146" builtinId="8" hidden="1"/>
    <cellStyle name="Hyperlink" xfId="6148" builtinId="8" hidden="1"/>
    <cellStyle name="Hyperlink" xfId="6150" builtinId="8" hidden="1"/>
    <cellStyle name="Hyperlink" xfId="6152" builtinId="8" hidden="1"/>
    <cellStyle name="Hyperlink" xfId="6154" builtinId="8" hidden="1"/>
    <cellStyle name="Hyperlink" xfId="6156" builtinId="8" hidden="1"/>
    <cellStyle name="Hyperlink" xfId="6158" builtinId="8" hidden="1"/>
    <cellStyle name="Hyperlink" xfId="6160" builtinId="8" hidden="1"/>
    <cellStyle name="Hyperlink" xfId="6162" builtinId="8" hidden="1"/>
    <cellStyle name="Hyperlink" xfId="6164" builtinId="8" hidden="1"/>
    <cellStyle name="Hyperlink" xfId="6166" builtinId="8" hidden="1"/>
    <cellStyle name="Hyperlink" xfId="6168" builtinId="8" hidden="1"/>
    <cellStyle name="Hyperlink" xfId="6170" builtinId="8" hidden="1"/>
    <cellStyle name="Hyperlink" xfId="6172" builtinId="8" hidden="1"/>
    <cellStyle name="Hyperlink" xfId="6174" builtinId="8" hidden="1"/>
    <cellStyle name="Hyperlink" xfId="6176" builtinId="8" hidden="1"/>
    <cellStyle name="Hyperlink" xfId="6178" builtinId="8" hidden="1"/>
    <cellStyle name="Hyperlink" xfId="6180" builtinId="8" hidden="1"/>
    <cellStyle name="Hyperlink" xfId="6182" builtinId="8" hidden="1"/>
    <cellStyle name="Hyperlink" xfId="6184" builtinId="8" hidden="1"/>
    <cellStyle name="Hyperlink" xfId="6186" builtinId="8" hidden="1"/>
    <cellStyle name="Hyperlink" xfId="6188" builtinId="8" hidden="1"/>
    <cellStyle name="Hyperlink" xfId="6190" builtinId="8" hidden="1"/>
    <cellStyle name="Hyperlink" xfId="6192" builtinId="8" hidden="1"/>
    <cellStyle name="Hyperlink" xfId="6194" builtinId="8" hidden="1"/>
    <cellStyle name="Hyperlink" xfId="6196" builtinId="8" hidden="1"/>
    <cellStyle name="Hyperlink" xfId="6198" builtinId="8" hidden="1"/>
    <cellStyle name="Hyperlink" xfId="6200" builtinId="8" hidden="1"/>
    <cellStyle name="Hyperlink" xfId="6202" builtinId="8" hidden="1"/>
    <cellStyle name="Hyperlink" xfId="6204" builtinId="8" hidden="1"/>
    <cellStyle name="Hyperlink" xfId="6206" builtinId="8" hidden="1"/>
    <cellStyle name="Hyperlink" xfId="6208" builtinId="8" hidden="1"/>
    <cellStyle name="Hyperlink" xfId="6210" builtinId="8" hidden="1"/>
    <cellStyle name="Hyperlink" xfId="6212" builtinId="8" hidden="1"/>
    <cellStyle name="Hyperlink" xfId="6214" builtinId="8" hidden="1"/>
    <cellStyle name="Hyperlink" xfId="6216" builtinId="8" hidden="1"/>
    <cellStyle name="Hyperlink" xfId="6218" builtinId="8" hidden="1"/>
    <cellStyle name="Hyperlink" xfId="6220" builtinId="8" hidden="1"/>
    <cellStyle name="Hyperlink" xfId="6222" builtinId="8" hidden="1"/>
    <cellStyle name="Hyperlink" xfId="6224" builtinId="8" hidden="1"/>
    <cellStyle name="Hyperlink" xfId="6226" builtinId="8" hidden="1"/>
    <cellStyle name="Hyperlink" xfId="6228" builtinId="8" hidden="1"/>
    <cellStyle name="Hyperlink" xfId="6230" builtinId="8" hidden="1"/>
    <cellStyle name="Hyperlink" xfId="6232" builtinId="8" hidden="1"/>
    <cellStyle name="Hyperlink" xfId="6234" builtinId="8" hidden="1"/>
    <cellStyle name="Hyperlink" xfId="6236" builtinId="8" hidden="1"/>
    <cellStyle name="Hyperlink" xfId="6238" builtinId="8" hidden="1"/>
    <cellStyle name="Hyperlink" xfId="6240" builtinId="8" hidden="1"/>
    <cellStyle name="Hyperlink" xfId="6242" builtinId="8" hidden="1"/>
    <cellStyle name="Hyperlink" xfId="6244" builtinId="8" hidden="1"/>
    <cellStyle name="Hyperlink" xfId="6246" builtinId="8" hidden="1"/>
    <cellStyle name="Hyperlink" xfId="6248" builtinId="8" hidden="1"/>
    <cellStyle name="Hyperlink" xfId="6250" builtinId="8" hidden="1"/>
    <cellStyle name="Hyperlink" xfId="6252" builtinId="8" hidden="1"/>
    <cellStyle name="Hyperlink" xfId="6254" builtinId="8" hidden="1"/>
    <cellStyle name="Hyperlink" xfId="6256" builtinId="8" hidden="1"/>
    <cellStyle name="Hyperlink" xfId="6258" builtinId="8" hidden="1"/>
    <cellStyle name="Hyperlink" xfId="6260" builtinId="8" hidden="1"/>
    <cellStyle name="Hyperlink" xfId="6262" builtinId="8" hidden="1"/>
    <cellStyle name="Hyperlink" xfId="6264" builtinId="8" hidden="1"/>
    <cellStyle name="Hyperlink" xfId="6266" builtinId="8" hidden="1"/>
    <cellStyle name="Hyperlink" xfId="6268" builtinId="8" hidden="1"/>
    <cellStyle name="Hyperlink" xfId="6270" builtinId="8" hidden="1"/>
    <cellStyle name="Hyperlink" xfId="6272" builtinId="8" hidden="1"/>
    <cellStyle name="Hyperlink" xfId="6274" builtinId="8" hidden="1"/>
    <cellStyle name="Hyperlink" xfId="6276" builtinId="8" hidden="1"/>
    <cellStyle name="Hyperlink" xfId="6278" builtinId="8" hidden="1"/>
    <cellStyle name="Hyperlink" xfId="6280" builtinId="8" hidden="1"/>
    <cellStyle name="Hyperlink" xfId="6282" builtinId="8" hidden="1"/>
    <cellStyle name="Hyperlink" xfId="6284" builtinId="8" hidden="1"/>
    <cellStyle name="Hyperlink" xfId="6286" builtinId="8" hidden="1"/>
    <cellStyle name="Hyperlink" xfId="6288" builtinId="8" hidden="1"/>
    <cellStyle name="Hyperlink" xfId="6290" builtinId="8" hidden="1"/>
    <cellStyle name="Hyperlink" xfId="6292" builtinId="8" hidden="1"/>
    <cellStyle name="Hyperlink" xfId="6294" builtinId="8" hidden="1"/>
    <cellStyle name="Hyperlink" xfId="6296" builtinId="8" hidden="1"/>
    <cellStyle name="Hyperlink" xfId="6298" builtinId="8" hidden="1"/>
    <cellStyle name="Hyperlink" xfId="6300" builtinId="8" hidden="1"/>
    <cellStyle name="Hyperlink" xfId="6302" builtinId="8" hidden="1"/>
    <cellStyle name="Hyperlink" xfId="6304" builtinId="8" hidden="1"/>
    <cellStyle name="Hyperlink" xfId="6306" builtinId="8" hidden="1"/>
    <cellStyle name="Hyperlink" xfId="6308" builtinId="8" hidden="1"/>
    <cellStyle name="Hyperlink" xfId="6310" builtinId="8" hidden="1"/>
    <cellStyle name="Hyperlink" xfId="6312" builtinId="8" hidden="1"/>
    <cellStyle name="Hyperlink" xfId="6314" builtinId="8" hidden="1"/>
    <cellStyle name="Hyperlink" xfId="6316" builtinId="8" hidden="1"/>
    <cellStyle name="Hyperlink" xfId="6318" builtinId="8" hidden="1"/>
    <cellStyle name="Hyperlink" xfId="6320" builtinId="8" hidden="1"/>
    <cellStyle name="Hyperlink" xfId="6322" builtinId="8" hidden="1"/>
    <cellStyle name="Hyperlink" xfId="6324" builtinId="8" hidden="1"/>
    <cellStyle name="Hyperlink" xfId="6326" builtinId="8" hidden="1"/>
    <cellStyle name="Hyperlink" xfId="6328" builtinId="8" hidden="1"/>
    <cellStyle name="Hyperlink" xfId="6330" builtinId="8" hidden="1"/>
    <cellStyle name="Hyperlink" xfId="6332" builtinId="8" hidden="1"/>
    <cellStyle name="Hyperlink" xfId="6334" builtinId="8" hidden="1"/>
    <cellStyle name="Hyperlink" xfId="6336" builtinId="8" hidden="1"/>
    <cellStyle name="Hyperlink" xfId="6338" builtinId="8" hidden="1"/>
    <cellStyle name="Hyperlink" xfId="6340" builtinId="8" hidden="1"/>
    <cellStyle name="Hyperlink" xfId="6342" builtinId="8" hidden="1"/>
    <cellStyle name="Hyperlink" xfId="6344" builtinId="8" hidden="1"/>
    <cellStyle name="Hyperlink" xfId="6346" builtinId="8" hidden="1"/>
    <cellStyle name="Hyperlink" xfId="6348" builtinId="8" hidden="1"/>
    <cellStyle name="Hyperlink" xfId="6350" builtinId="8" hidden="1"/>
    <cellStyle name="Hyperlink" xfId="6352" builtinId="8" hidden="1"/>
    <cellStyle name="Hyperlink" xfId="6354" builtinId="8" hidden="1"/>
    <cellStyle name="Hyperlink" xfId="6356" builtinId="8" hidden="1"/>
    <cellStyle name="Hyperlink" xfId="6358" builtinId="8" hidden="1"/>
    <cellStyle name="Hyperlink" xfId="6360" builtinId="8" hidden="1"/>
    <cellStyle name="Hyperlink" xfId="6362" builtinId="8" hidden="1"/>
    <cellStyle name="Hyperlink" xfId="6364" builtinId="8" hidden="1"/>
    <cellStyle name="Hyperlink" xfId="6366" builtinId="8" hidden="1"/>
    <cellStyle name="Hyperlink" xfId="6368" builtinId="8" hidden="1"/>
    <cellStyle name="Hyperlink" xfId="6370" builtinId="8" hidden="1"/>
    <cellStyle name="Hyperlink" xfId="6372" builtinId="8" hidden="1"/>
    <cellStyle name="Hyperlink" xfId="6374" builtinId="8" hidden="1"/>
    <cellStyle name="Hyperlink" xfId="6376" builtinId="8" hidden="1"/>
    <cellStyle name="Hyperlink" xfId="6378" builtinId="8" hidden="1"/>
    <cellStyle name="Hyperlink" xfId="6380" builtinId="8" hidden="1"/>
    <cellStyle name="Hyperlink" xfId="6382" builtinId="8" hidden="1"/>
    <cellStyle name="Hyperlink" xfId="6384" builtinId="8" hidden="1"/>
    <cellStyle name="Hyperlink" xfId="6386" builtinId="8" hidden="1"/>
    <cellStyle name="Hyperlink" xfId="6388" builtinId="8" hidden="1"/>
    <cellStyle name="Hyperlink" xfId="6390" builtinId="8" hidden="1"/>
    <cellStyle name="Hyperlink" xfId="6392" builtinId="8" hidden="1"/>
    <cellStyle name="Hyperlink" xfId="6394" builtinId="8" hidden="1"/>
    <cellStyle name="Hyperlink" xfId="6396" builtinId="8" hidden="1"/>
    <cellStyle name="Hyperlink" xfId="6398" builtinId="8" hidden="1"/>
    <cellStyle name="Hyperlink" xfId="6400" builtinId="8" hidden="1"/>
    <cellStyle name="Hyperlink" xfId="6402" builtinId="8" hidden="1"/>
    <cellStyle name="Hyperlink" xfId="6404" builtinId="8" hidden="1"/>
    <cellStyle name="Hyperlink" xfId="6406" builtinId="8" hidden="1"/>
    <cellStyle name="Hyperlink" xfId="6408" builtinId="8" hidden="1"/>
    <cellStyle name="Hyperlink" xfId="6410" builtinId="8" hidden="1"/>
    <cellStyle name="Hyperlink" xfId="6412" builtinId="8" hidden="1"/>
    <cellStyle name="Hyperlink" xfId="6414" builtinId="8" hidden="1"/>
    <cellStyle name="Hyperlink" xfId="6416" builtinId="8" hidden="1"/>
    <cellStyle name="Hyperlink" xfId="6418" builtinId="8" hidden="1"/>
    <cellStyle name="Hyperlink" xfId="6420" builtinId="8" hidden="1"/>
    <cellStyle name="Hyperlink" xfId="6422" builtinId="8" hidden="1"/>
    <cellStyle name="Hyperlink" xfId="6424" builtinId="8" hidden="1"/>
    <cellStyle name="Hyperlink" xfId="6426" builtinId="8" hidden="1"/>
    <cellStyle name="Hyperlink" xfId="6428" builtinId="8" hidden="1"/>
    <cellStyle name="Hyperlink" xfId="6430" builtinId="8" hidden="1"/>
    <cellStyle name="Hyperlink" xfId="6432" builtinId="8" hidden="1"/>
    <cellStyle name="Hyperlink" xfId="6434" builtinId="8" hidden="1"/>
    <cellStyle name="Hyperlink" xfId="6436" builtinId="8" hidden="1"/>
    <cellStyle name="Hyperlink" xfId="6438" builtinId="8" hidden="1"/>
    <cellStyle name="Hyperlink" xfId="6440" builtinId="8" hidden="1"/>
    <cellStyle name="Hyperlink" xfId="6442" builtinId="8" hidden="1"/>
    <cellStyle name="Hyperlink" xfId="6444" builtinId="8" hidden="1"/>
    <cellStyle name="Hyperlink" xfId="6446" builtinId="8" hidden="1"/>
    <cellStyle name="Hyperlink" xfId="6448" builtinId="8" hidden="1"/>
    <cellStyle name="Hyperlink" xfId="6450" builtinId="8" hidden="1"/>
    <cellStyle name="Hyperlink" xfId="6452" builtinId="8" hidden="1"/>
    <cellStyle name="Hyperlink" xfId="6454" builtinId="8" hidden="1"/>
    <cellStyle name="Hyperlink" xfId="6456" builtinId="8" hidden="1"/>
    <cellStyle name="Hyperlink" xfId="6458" builtinId="8" hidden="1"/>
    <cellStyle name="Hyperlink" xfId="6460" builtinId="8" hidden="1"/>
    <cellStyle name="Hyperlink" xfId="6462" builtinId="8" hidden="1"/>
    <cellStyle name="Hyperlink" xfId="6464" builtinId="8" hidden="1"/>
    <cellStyle name="Hyperlink" xfId="6466" builtinId="8" hidden="1"/>
    <cellStyle name="Hyperlink" xfId="6468" builtinId="8" hidden="1"/>
    <cellStyle name="Hyperlink" xfId="6470" builtinId="8" hidden="1"/>
    <cellStyle name="Hyperlink" xfId="6472" builtinId="8" hidden="1"/>
    <cellStyle name="Hyperlink" xfId="6474" builtinId="8" hidden="1"/>
    <cellStyle name="Hyperlink" xfId="6476" builtinId="8" hidden="1"/>
    <cellStyle name="Hyperlink" xfId="6478" builtinId="8" hidden="1"/>
    <cellStyle name="Hyperlink" xfId="6480" builtinId="8" hidden="1"/>
    <cellStyle name="Hyperlink" xfId="6482" builtinId="8" hidden="1"/>
    <cellStyle name="Hyperlink" xfId="6484" builtinId="8" hidden="1"/>
    <cellStyle name="Hyperlink" xfId="6486" builtinId="8" hidden="1"/>
    <cellStyle name="Hyperlink" xfId="6488" builtinId="8" hidden="1"/>
    <cellStyle name="Hyperlink" xfId="6490" builtinId="8" hidden="1"/>
    <cellStyle name="Hyperlink" xfId="6492" builtinId="8" hidden="1"/>
    <cellStyle name="Hyperlink" xfId="6494" builtinId="8" hidden="1"/>
    <cellStyle name="Hyperlink" xfId="6496" builtinId="8" hidden="1"/>
    <cellStyle name="Hyperlink" xfId="6498" builtinId="8" hidden="1"/>
    <cellStyle name="Hyperlink" xfId="6500" builtinId="8" hidden="1"/>
    <cellStyle name="Hyperlink" xfId="6502" builtinId="8" hidden="1"/>
    <cellStyle name="Hyperlink" xfId="6504" builtinId="8" hidden="1"/>
    <cellStyle name="Hyperlink" xfId="6506" builtinId="8" hidden="1"/>
    <cellStyle name="Hyperlink" xfId="6508" builtinId="8" hidden="1"/>
    <cellStyle name="Hyperlink" xfId="6510" builtinId="8" hidden="1"/>
    <cellStyle name="Hyperlink" xfId="6512" builtinId="8" hidden="1"/>
    <cellStyle name="Hyperlink" xfId="6514" builtinId="8" hidden="1"/>
    <cellStyle name="Hyperlink" xfId="6516" builtinId="8" hidden="1"/>
    <cellStyle name="Hyperlink" xfId="6518" builtinId="8" hidden="1"/>
    <cellStyle name="Hyperlink" xfId="6520" builtinId="8" hidden="1"/>
    <cellStyle name="Hyperlink" xfId="6522" builtinId="8" hidden="1"/>
    <cellStyle name="Hyperlink" xfId="6524" builtinId="8" hidden="1"/>
    <cellStyle name="Hyperlink" xfId="6526" builtinId="8" hidden="1"/>
    <cellStyle name="Hyperlink" xfId="6528" builtinId="8" hidden="1"/>
    <cellStyle name="Hyperlink" xfId="6530" builtinId="8" hidden="1"/>
    <cellStyle name="Hyperlink" xfId="6532" builtinId="8" hidden="1"/>
    <cellStyle name="Hyperlink" xfId="6534" builtinId="8" hidden="1"/>
    <cellStyle name="Hyperlink" xfId="6536" builtinId="8" hidden="1"/>
    <cellStyle name="Hyperlink" xfId="6538" builtinId="8" hidden="1"/>
    <cellStyle name="Hyperlink" xfId="6540" builtinId="8" hidden="1"/>
    <cellStyle name="Hyperlink" xfId="6542" builtinId="8" hidden="1"/>
    <cellStyle name="Hyperlink" xfId="6544" builtinId="8" hidden="1"/>
    <cellStyle name="Hyperlink" xfId="6546" builtinId="8" hidden="1"/>
    <cellStyle name="Hyperlink" xfId="6548" builtinId="8" hidden="1"/>
    <cellStyle name="Hyperlink" xfId="6550" builtinId="8" hidden="1"/>
    <cellStyle name="Hyperlink" xfId="6552" builtinId="8" hidden="1"/>
    <cellStyle name="Hyperlink" xfId="6554" builtinId="8" hidden="1"/>
    <cellStyle name="Hyperlink" xfId="6556" builtinId="8" hidden="1"/>
    <cellStyle name="Hyperlink" xfId="6558" builtinId="8" hidden="1"/>
    <cellStyle name="Hyperlink" xfId="6560" builtinId="8" hidden="1"/>
    <cellStyle name="Hyperlink" xfId="6562" builtinId="8" hidden="1"/>
    <cellStyle name="Hyperlink" xfId="6564" builtinId="8" hidden="1"/>
    <cellStyle name="Hyperlink" xfId="6566" builtinId="8" hidden="1"/>
    <cellStyle name="Hyperlink" xfId="6568" builtinId="8" hidden="1"/>
    <cellStyle name="Hyperlink" xfId="6570" builtinId="8" hidden="1"/>
    <cellStyle name="Hyperlink" xfId="6572" builtinId="8" hidden="1"/>
    <cellStyle name="Hyperlink" xfId="6574" builtinId="8" hidden="1"/>
    <cellStyle name="Hyperlink" xfId="6576" builtinId="8" hidden="1"/>
    <cellStyle name="Hyperlink" xfId="6578" builtinId="8" hidden="1"/>
    <cellStyle name="Hyperlink" xfId="6580" builtinId="8" hidden="1"/>
    <cellStyle name="Hyperlink" xfId="6582" builtinId="8" hidden="1"/>
    <cellStyle name="Hyperlink" xfId="6584" builtinId="8" hidden="1"/>
    <cellStyle name="Hyperlink" xfId="6586" builtinId="8" hidden="1"/>
    <cellStyle name="Hyperlink" xfId="6588" builtinId="8" hidden="1"/>
    <cellStyle name="Hyperlink" xfId="6590" builtinId="8" hidden="1"/>
    <cellStyle name="Hyperlink" xfId="6592" builtinId="8" hidden="1"/>
    <cellStyle name="Hyperlink" xfId="6594" builtinId="8" hidden="1"/>
    <cellStyle name="Hyperlink" xfId="6596" builtinId="8" hidden="1"/>
    <cellStyle name="Hyperlink" xfId="6598" builtinId="8" hidden="1"/>
    <cellStyle name="Hyperlink" xfId="6600" builtinId="8" hidden="1"/>
    <cellStyle name="Hyperlink" xfId="6602" builtinId="8" hidden="1"/>
    <cellStyle name="Hyperlink" xfId="6604" builtinId="8" hidden="1"/>
    <cellStyle name="Hyperlink" xfId="6606" builtinId="8" hidden="1"/>
    <cellStyle name="Hyperlink" xfId="6608" builtinId="8" hidden="1"/>
    <cellStyle name="Hyperlink" xfId="6610" builtinId="8" hidden="1"/>
    <cellStyle name="Hyperlink" xfId="6612" builtinId="8" hidden="1"/>
    <cellStyle name="Hyperlink" xfId="6614" builtinId="8" hidden="1"/>
    <cellStyle name="Hyperlink" xfId="6616" builtinId="8" hidden="1"/>
    <cellStyle name="Hyperlink" xfId="6618" builtinId="8" hidden="1"/>
    <cellStyle name="Hyperlink" xfId="6620" builtinId="8" hidden="1"/>
    <cellStyle name="Hyperlink" xfId="6622" builtinId="8" hidden="1"/>
    <cellStyle name="Hyperlink" xfId="6624" builtinId="8" hidden="1"/>
    <cellStyle name="Hyperlink" xfId="6626" builtinId="8" hidden="1"/>
    <cellStyle name="Hyperlink" xfId="6628" builtinId="8" hidden="1"/>
    <cellStyle name="Hyperlink" xfId="6630" builtinId="8" hidden="1"/>
    <cellStyle name="Hyperlink" xfId="6632" builtinId="8" hidden="1"/>
    <cellStyle name="Hyperlink" xfId="6634" builtinId="8" hidden="1"/>
    <cellStyle name="Hyperlink" xfId="6636" builtinId="8" hidden="1"/>
    <cellStyle name="Hyperlink" xfId="6638" builtinId="8" hidden="1"/>
    <cellStyle name="Hyperlink" xfId="6640" builtinId="8" hidden="1"/>
    <cellStyle name="Hyperlink" xfId="6642" builtinId="8" hidden="1"/>
    <cellStyle name="Hyperlink" xfId="6644" builtinId="8" hidden="1"/>
    <cellStyle name="Hyperlink" xfId="6646" builtinId="8" hidden="1"/>
    <cellStyle name="Hyperlink" xfId="6648" builtinId="8" hidden="1"/>
    <cellStyle name="Hyperlink" xfId="6650" builtinId="8" hidden="1"/>
    <cellStyle name="Hyperlink" xfId="6652" builtinId="8" hidden="1"/>
    <cellStyle name="Hyperlink" xfId="6654" builtinId="8" hidden="1"/>
    <cellStyle name="Hyperlink" xfId="6656" builtinId="8" hidden="1"/>
    <cellStyle name="Hyperlink" xfId="6658" builtinId="8" hidden="1"/>
    <cellStyle name="Hyperlink" xfId="6660" builtinId="8" hidden="1"/>
    <cellStyle name="Hyperlink" xfId="6662" builtinId="8" hidden="1"/>
    <cellStyle name="Hyperlink" xfId="6664" builtinId="8" hidden="1"/>
    <cellStyle name="Hyperlink" xfId="6666" builtinId="8" hidden="1"/>
    <cellStyle name="Hyperlink" xfId="6668" builtinId="8" hidden="1"/>
    <cellStyle name="Hyperlink" xfId="6670" builtinId="8" hidden="1"/>
    <cellStyle name="Hyperlink" xfId="6672" builtinId="8" hidden="1"/>
    <cellStyle name="Hyperlink" xfId="6674" builtinId="8" hidden="1"/>
    <cellStyle name="Hyperlink" xfId="6676" builtinId="8" hidden="1"/>
    <cellStyle name="Hyperlink" xfId="6678" builtinId="8" hidden="1"/>
    <cellStyle name="Hyperlink" xfId="6680" builtinId="8" hidden="1"/>
    <cellStyle name="Hyperlink" xfId="6682" builtinId="8" hidden="1"/>
    <cellStyle name="Hyperlink" xfId="6684" builtinId="8" hidden="1"/>
    <cellStyle name="Hyperlink" xfId="6686" builtinId="8" hidden="1"/>
    <cellStyle name="Hyperlink" xfId="6688" builtinId="8" hidden="1"/>
    <cellStyle name="Hyperlink" xfId="6690" builtinId="8" hidden="1"/>
    <cellStyle name="Hyperlink" xfId="6692" builtinId="8" hidden="1"/>
    <cellStyle name="Hyperlink" xfId="6694" builtinId="8" hidden="1"/>
    <cellStyle name="Hyperlink" xfId="6696" builtinId="8" hidden="1"/>
    <cellStyle name="Hyperlink" xfId="6698" builtinId="8" hidden="1"/>
    <cellStyle name="Hyperlink" xfId="6700" builtinId="8" hidden="1"/>
    <cellStyle name="Hyperlink" xfId="6702" builtinId="8" hidden="1"/>
    <cellStyle name="Hyperlink" xfId="6704" builtinId="8" hidden="1"/>
    <cellStyle name="Hyperlink" xfId="6706" builtinId="8" hidden="1"/>
    <cellStyle name="Hyperlink" xfId="6708" builtinId="8" hidden="1"/>
    <cellStyle name="Hyperlink" xfId="6710" builtinId="8" hidden="1"/>
    <cellStyle name="Hyperlink" xfId="6712" builtinId="8" hidden="1"/>
    <cellStyle name="Hyperlink" xfId="6714" builtinId="8" hidden="1"/>
    <cellStyle name="Hyperlink" xfId="6716" builtinId="8" hidden="1"/>
    <cellStyle name="Hyperlink" xfId="6718" builtinId="8" hidden="1"/>
    <cellStyle name="Hyperlink" xfId="6720" builtinId="8" hidden="1"/>
    <cellStyle name="Hyperlink" xfId="6722" builtinId="8" hidden="1"/>
    <cellStyle name="Hyperlink" xfId="6724" builtinId="8" hidden="1"/>
    <cellStyle name="Hyperlink" xfId="6726" builtinId="8" hidden="1"/>
    <cellStyle name="Hyperlink" xfId="6728" builtinId="8" hidden="1"/>
    <cellStyle name="Hyperlink" xfId="6730" builtinId="8" hidden="1"/>
    <cellStyle name="Hyperlink" xfId="6732" builtinId="8" hidden="1"/>
    <cellStyle name="Hyperlink" xfId="6734" builtinId="8" hidden="1"/>
    <cellStyle name="Hyperlink" xfId="6736" builtinId="8" hidden="1"/>
    <cellStyle name="Hyperlink" xfId="6738" builtinId="8" hidden="1"/>
    <cellStyle name="Hyperlink" xfId="6740" builtinId="8" hidden="1"/>
    <cellStyle name="Hyperlink" xfId="6742" builtinId="8" hidden="1"/>
    <cellStyle name="Hyperlink" xfId="6744" builtinId="8" hidden="1"/>
    <cellStyle name="Hyperlink" xfId="6746" builtinId="8" hidden="1"/>
    <cellStyle name="Hyperlink" xfId="6748" builtinId="8" hidden="1"/>
    <cellStyle name="Hyperlink" xfId="6750" builtinId="8" hidden="1"/>
    <cellStyle name="Hyperlink" xfId="6752" builtinId="8" hidden="1"/>
    <cellStyle name="Hyperlink" xfId="6754" builtinId="8" hidden="1"/>
    <cellStyle name="Hyperlink" xfId="6756" builtinId="8" hidden="1"/>
    <cellStyle name="Hyperlink" xfId="6758" builtinId="8" hidden="1"/>
    <cellStyle name="Hyperlink" xfId="6760" builtinId="8" hidden="1"/>
    <cellStyle name="Hyperlink" xfId="6762" builtinId="8" hidden="1"/>
    <cellStyle name="Hyperlink" xfId="6764" builtinId="8" hidden="1"/>
    <cellStyle name="Hyperlink" xfId="6766" builtinId="8" hidden="1"/>
    <cellStyle name="Hyperlink" xfId="6768" builtinId="8" hidden="1"/>
    <cellStyle name="Hyperlink" xfId="6770" builtinId="8" hidden="1"/>
    <cellStyle name="Hyperlink" xfId="6772" builtinId="8" hidden="1"/>
    <cellStyle name="Hyperlink" xfId="6774" builtinId="8" hidden="1"/>
    <cellStyle name="Hyperlink" xfId="6776" builtinId="8" hidden="1"/>
    <cellStyle name="Hyperlink" xfId="6778" builtinId="8" hidden="1"/>
    <cellStyle name="Hyperlink" xfId="6780" builtinId="8" hidden="1"/>
    <cellStyle name="Hyperlink" xfId="6782" builtinId="8" hidden="1"/>
    <cellStyle name="Hyperlink" xfId="6784" builtinId="8" hidden="1"/>
    <cellStyle name="Hyperlink" xfId="6786" builtinId="8" hidden="1"/>
    <cellStyle name="Hyperlink" xfId="6788" builtinId="8" hidden="1"/>
    <cellStyle name="Hyperlink" xfId="6790" builtinId="8" hidden="1"/>
    <cellStyle name="Hyperlink" xfId="6792" builtinId="8" hidden="1"/>
    <cellStyle name="Hyperlink" xfId="6794" builtinId="8" hidden="1"/>
    <cellStyle name="Hyperlink" xfId="6796" builtinId="8" hidden="1"/>
    <cellStyle name="Hyperlink" xfId="6798" builtinId="8" hidden="1"/>
    <cellStyle name="Hyperlink" xfId="6800" builtinId="8" hidden="1"/>
    <cellStyle name="Hyperlink" xfId="6802" builtinId="8" hidden="1"/>
    <cellStyle name="Hyperlink" xfId="6804" builtinId="8" hidden="1"/>
    <cellStyle name="Hyperlink" xfId="6806" builtinId="8" hidden="1"/>
    <cellStyle name="Hyperlink" xfId="6808" builtinId="8" hidden="1"/>
    <cellStyle name="Hyperlink" xfId="6810" builtinId="8" hidden="1"/>
    <cellStyle name="Hyperlink" xfId="6812" builtinId="8" hidden="1"/>
    <cellStyle name="Hyperlink" xfId="6814" builtinId="8" hidden="1"/>
    <cellStyle name="Hyperlink" xfId="6816" builtinId="8" hidden="1"/>
    <cellStyle name="Hyperlink" xfId="6818" builtinId="8" hidden="1"/>
    <cellStyle name="Hyperlink" xfId="6820" builtinId="8" hidden="1"/>
    <cellStyle name="Hyperlink" xfId="6822" builtinId="8" hidden="1"/>
    <cellStyle name="Hyperlink" xfId="6824" builtinId="8" hidden="1"/>
    <cellStyle name="Hyperlink" xfId="6826" builtinId="8" hidden="1"/>
    <cellStyle name="Hyperlink" xfId="6828" builtinId="8" hidden="1"/>
    <cellStyle name="Hyperlink" xfId="6830" builtinId="8" hidden="1"/>
    <cellStyle name="Hyperlink" xfId="6832" builtinId="8" hidden="1"/>
    <cellStyle name="Hyperlink" xfId="6834" builtinId="8" hidden="1"/>
    <cellStyle name="Hyperlink" xfId="6836" builtinId="8" hidden="1"/>
    <cellStyle name="Hyperlink" xfId="6838" builtinId="8" hidden="1"/>
    <cellStyle name="Hyperlink" xfId="6840" builtinId="8" hidden="1"/>
    <cellStyle name="Hyperlink" xfId="6842" builtinId="8" hidden="1"/>
    <cellStyle name="Hyperlink" xfId="6844" builtinId="8" hidden="1"/>
    <cellStyle name="Hyperlink" xfId="6846" builtinId="8" hidden="1"/>
    <cellStyle name="Hyperlink" xfId="6848" builtinId="8" hidden="1"/>
    <cellStyle name="Hyperlink" xfId="6850" builtinId="8" hidden="1"/>
    <cellStyle name="Hyperlink" xfId="6852" builtinId="8" hidden="1"/>
    <cellStyle name="Hyperlink" xfId="6854" builtinId="8" hidden="1"/>
    <cellStyle name="Hyperlink" xfId="6856" builtinId="8" hidden="1"/>
    <cellStyle name="Hyperlink" xfId="6858" builtinId="8" hidden="1"/>
    <cellStyle name="Hyperlink" xfId="6860" builtinId="8" hidden="1"/>
    <cellStyle name="Hyperlink" xfId="6862" builtinId="8" hidden="1"/>
    <cellStyle name="Hyperlink" xfId="6864" builtinId="8" hidden="1"/>
    <cellStyle name="Hyperlink" xfId="6866" builtinId="8" hidden="1"/>
    <cellStyle name="Hyperlink" xfId="6868" builtinId="8" hidden="1"/>
    <cellStyle name="Hyperlink" xfId="6870" builtinId="8" hidden="1"/>
    <cellStyle name="Hyperlink" xfId="6872" builtinId="8" hidden="1"/>
    <cellStyle name="Hyperlink" xfId="6874" builtinId="8" hidden="1"/>
    <cellStyle name="Hyperlink" xfId="6876" builtinId="8" hidden="1"/>
    <cellStyle name="Hyperlink" xfId="6878" builtinId="8" hidden="1"/>
    <cellStyle name="Hyperlink" xfId="6880" builtinId="8" hidden="1"/>
    <cellStyle name="Hyperlink" xfId="6882" builtinId="8" hidden="1"/>
    <cellStyle name="Hyperlink" xfId="6884" builtinId="8" hidden="1"/>
    <cellStyle name="Hyperlink" xfId="6886" builtinId="8" hidden="1"/>
    <cellStyle name="Hyperlink" xfId="6888" builtinId="8" hidden="1"/>
    <cellStyle name="Hyperlink" xfId="6890" builtinId="8" hidden="1"/>
    <cellStyle name="Hyperlink" xfId="6892" builtinId="8" hidden="1"/>
    <cellStyle name="Hyperlink" xfId="6894" builtinId="8" hidden="1"/>
    <cellStyle name="Hyperlink" xfId="6896" builtinId="8" hidden="1"/>
    <cellStyle name="Hyperlink" xfId="6898" builtinId="8" hidden="1"/>
    <cellStyle name="Hyperlink" xfId="6900" builtinId="8" hidden="1"/>
    <cellStyle name="Hyperlink" xfId="6902" builtinId="8" hidden="1"/>
    <cellStyle name="Hyperlink" xfId="6904" builtinId="8" hidden="1"/>
    <cellStyle name="Hyperlink" xfId="6906" builtinId="8" hidden="1"/>
    <cellStyle name="Hyperlink" xfId="6908" builtinId="8" hidden="1"/>
    <cellStyle name="Hyperlink" xfId="6910" builtinId="8" hidden="1"/>
    <cellStyle name="Hyperlink" xfId="6912" builtinId="8" hidden="1"/>
    <cellStyle name="Hyperlink" xfId="6914" builtinId="8" hidden="1"/>
    <cellStyle name="Hyperlink" xfId="6916" builtinId="8" hidden="1"/>
    <cellStyle name="Hyperlink" xfId="6918" builtinId="8" hidden="1"/>
    <cellStyle name="Hyperlink" xfId="6920" builtinId="8" hidden="1"/>
    <cellStyle name="Hyperlink" xfId="6922" builtinId="8" hidden="1"/>
    <cellStyle name="Hyperlink" xfId="6924" builtinId="8" hidden="1"/>
    <cellStyle name="Hyperlink" xfId="6926" builtinId="8" hidden="1"/>
    <cellStyle name="Hyperlink" xfId="6928" builtinId="8" hidden="1"/>
    <cellStyle name="Hyperlink" xfId="6930" builtinId="8" hidden="1"/>
    <cellStyle name="Hyperlink" xfId="6932" builtinId="8" hidden="1"/>
    <cellStyle name="Hyperlink" xfId="6934" builtinId="8" hidden="1"/>
    <cellStyle name="Hyperlink" xfId="6936" builtinId="8" hidden="1"/>
    <cellStyle name="Hyperlink" xfId="6938" builtinId="8" hidden="1"/>
    <cellStyle name="Hyperlink" xfId="6940" builtinId="8" hidden="1"/>
    <cellStyle name="Hyperlink" xfId="6942" builtinId="8" hidden="1"/>
    <cellStyle name="Hyperlink" xfId="6944" builtinId="8" hidden="1"/>
    <cellStyle name="Hyperlink" xfId="6946" builtinId="8" hidden="1"/>
    <cellStyle name="Hyperlink" xfId="6948" builtinId="8" hidden="1"/>
    <cellStyle name="Hyperlink" xfId="6950" builtinId="8" hidden="1"/>
    <cellStyle name="Hyperlink" xfId="6952" builtinId="8" hidden="1"/>
    <cellStyle name="Hyperlink" xfId="6954" builtinId="8" hidden="1"/>
    <cellStyle name="Hyperlink" xfId="6956" builtinId="8" hidden="1"/>
    <cellStyle name="Hyperlink" xfId="6958" builtinId="8" hidden="1"/>
    <cellStyle name="Hyperlink" xfId="6960" builtinId="8" hidden="1"/>
    <cellStyle name="Hyperlink" xfId="6962" builtinId="8" hidden="1"/>
    <cellStyle name="Hyperlink" xfId="6964" builtinId="8" hidden="1"/>
    <cellStyle name="Hyperlink" xfId="6966" builtinId="8" hidden="1"/>
    <cellStyle name="Hyperlink" xfId="6968" builtinId="8" hidden="1"/>
    <cellStyle name="Hyperlink" xfId="6970" builtinId="8" hidden="1"/>
    <cellStyle name="Hyperlink" xfId="6972" builtinId="8" hidden="1"/>
    <cellStyle name="Hyperlink" xfId="6974" builtinId="8" hidden="1"/>
    <cellStyle name="Hyperlink" xfId="6976" builtinId="8" hidden="1"/>
    <cellStyle name="Hyperlink" xfId="6978" builtinId="8" hidden="1"/>
    <cellStyle name="Hyperlink" xfId="6980" builtinId="8" hidden="1"/>
    <cellStyle name="Hyperlink" xfId="6982" builtinId="8" hidden="1"/>
    <cellStyle name="Hyperlink" xfId="6984" builtinId="8" hidden="1"/>
    <cellStyle name="Hyperlink" xfId="6986" builtinId="8" hidden="1"/>
    <cellStyle name="Hyperlink" xfId="6988" builtinId="8" hidden="1"/>
    <cellStyle name="Hyperlink" xfId="6990" builtinId="8" hidden="1"/>
    <cellStyle name="Hyperlink" xfId="6992" builtinId="8" hidden="1"/>
    <cellStyle name="Hyperlink" xfId="6994" builtinId="8" hidden="1"/>
    <cellStyle name="Hyperlink" xfId="6996" builtinId="8" hidden="1"/>
    <cellStyle name="Hyperlink" xfId="6998" builtinId="8" hidden="1"/>
    <cellStyle name="Hyperlink" xfId="7000" builtinId="8" hidden="1"/>
    <cellStyle name="Hyperlink" xfId="7002" builtinId="8" hidden="1"/>
    <cellStyle name="Hyperlink" xfId="7004" builtinId="8" hidden="1"/>
    <cellStyle name="Hyperlink" xfId="7006" builtinId="8" hidden="1"/>
    <cellStyle name="Hyperlink" xfId="7008" builtinId="8" hidden="1"/>
    <cellStyle name="Hyperlink" xfId="7010" builtinId="8" hidden="1"/>
    <cellStyle name="Hyperlink" xfId="7012" builtinId="8" hidden="1"/>
    <cellStyle name="Hyperlink" xfId="7014" builtinId="8" hidden="1"/>
    <cellStyle name="Hyperlink" xfId="7016" builtinId="8" hidden="1"/>
    <cellStyle name="Hyperlink" xfId="7018" builtinId="8" hidden="1"/>
    <cellStyle name="Hyperlink" xfId="7020" builtinId="8" hidden="1"/>
    <cellStyle name="Hyperlink" xfId="7022" builtinId="8" hidden="1"/>
    <cellStyle name="Hyperlink" xfId="7024" builtinId="8" hidden="1"/>
    <cellStyle name="Hyperlink" xfId="7026" builtinId="8" hidden="1"/>
    <cellStyle name="Hyperlink" xfId="7028" builtinId="8" hidden="1"/>
    <cellStyle name="Hyperlink" xfId="7030" builtinId="8" hidden="1"/>
    <cellStyle name="Hyperlink" xfId="7032" builtinId="8" hidden="1"/>
    <cellStyle name="Hyperlink" xfId="7034" builtinId="8" hidden="1"/>
    <cellStyle name="Hyperlink" xfId="7036" builtinId="8" hidden="1"/>
    <cellStyle name="Hyperlink" xfId="7038" builtinId="8" hidden="1"/>
    <cellStyle name="Hyperlink" xfId="7040" builtinId="8" hidden="1"/>
    <cellStyle name="Hyperlink" xfId="7042" builtinId="8" hidden="1"/>
    <cellStyle name="Hyperlink" xfId="7044" builtinId="8" hidden="1"/>
    <cellStyle name="Hyperlink" xfId="7046" builtinId="8" hidden="1"/>
    <cellStyle name="Hyperlink" xfId="7048" builtinId="8" hidden="1"/>
    <cellStyle name="Hyperlink" xfId="7050" builtinId="8" hidden="1"/>
    <cellStyle name="Hyperlink" xfId="7052" builtinId="8" hidden="1"/>
    <cellStyle name="Hyperlink" xfId="7054" builtinId="8" hidden="1"/>
    <cellStyle name="Hyperlink" xfId="7056" builtinId="8" hidden="1"/>
    <cellStyle name="Hyperlink" xfId="7058" builtinId="8" hidden="1"/>
    <cellStyle name="Hyperlink" xfId="7060" builtinId="8" hidden="1"/>
    <cellStyle name="Hyperlink" xfId="7062" builtinId="8" hidden="1"/>
    <cellStyle name="Hyperlink" xfId="7064" builtinId="8" hidden="1"/>
    <cellStyle name="Hyperlink" xfId="7066" builtinId="8" hidden="1"/>
    <cellStyle name="Hyperlink" xfId="7068" builtinId="8" hidden="1"/>
    <cellStyle name="Hyperlink" xfId="7070" builtinId="8" hidden="1"/>
    <cellStyle name="Hyperlink" xfId="7072" builtinId="8" hidden="1"/>
    <cellStyle name="Hyperlink" xfId="7074" builtinId="8" hidden="1"/>
    <cellStyle name="Hyperlink" xfId="7076" builtinId="8" hidden="1"/>
    <cellStyle name="Hyperlink" xfId="7078" builtinId="8" hidden="1"/>
    <cellStyle name="Hyperlink" xfId="7080" builtinId="8" hidden="1"/>
    <cellStyle name="Hyperlink" xfId="7082" builtinId="8" hidden="1"/>
    <cellStyle name="Hyperlink" xfId="7084" builtinId="8" hidden="1"/>
    <cellStyle name="Hyperlink" xfId="7086" builtinId="8" hidden="1"/>
    <cellStyle name="Hyperlink" xfId="7088" builtinId="8" hidden="1"/>
    <cellStyle name="Hyperlink" xfId="7090" builtinId="8" hidden="1"/>
    <cellStyle name="Hyperlink" xfId="7092" builtinId="8" hidden="1"/>
    <cellStyle name="Hyperlink" xfId="7094" builtinId="8" hidden="1"/>
    <cellStyle name="Hyperlink" xfId="7096" builtinId="8" hidden="1"/>
    <cellStyle name="Hyperlink" xfId="7098" builtinId="8" hidden="1"/>
    <cellStyle name="Hyperlink" xfId="7100" builtinId="8" hidden="1"/>
    <cellStyle name="Hyperlink" xfId="7102" builtinId="8" hidden="1"/>
    <cellStyle name="Hyperlink" xfId="7104" builtinId="8" hidden="1"/>
    <cellStyle name="Hyperlink" xfId="7106" builtinId="8" hidden="1"/>
    <cellStyle name="Hyperlink" xfId="7108" builtinId="8" hidden="1"/>
    <cellStyle name="Hyperlink" xfId="7110" builtinId="8" hidden="1"/>
    <cellStyle name="Hyperlink" xfId="7112" builtinId="8" hidden="1"/>
    <cellStyle name="Hyperlink" xfId="7114" builtinId="8" hidden="1"/>
    <cellStyle name="Hyperlink" xfId="7116" builtinId="8" hidden="1"/>
    <cellStyle name="Hyperlink" xfId="7118" builtinId="8" hidden="1"/>
    <cellStyle name="Hyperlink" xfId="7120" builtinId="8" hidden="1"/>
    <cellStyle name="Hyperlink" xfId="7122" builtinId="8" hidden="1"/>
    <cellStyle name="Hyperlink" xfId="7124" builtinId="8" hidden="1"/>
    <cellStyle name="Hyperlink" xfId="7126" builtinId="8" hidden="1"/>
    <cellStyle name="Hyperlink" xfId="7128" builtinId="8" hidden="1"/>
    <cellStyle name="Hyperlink" xfId="7130" builtinId="8" hidden="1"/>
    <cellStyle name="Hyperlink" xfId="7132" builtinId="8" hidden="1"/>
    <cellStyle name="Hyperlink" xfId="7134" builtinId="8" hidden="1"/>
    <cellStyle name="Hyperlink" xfId="7136" builtinId="8" hidden="1"/>
    <cellStyle name="Hyperlink" xfId="7138" builtinId="8" hidden="1"/>
    <cellStyle name="Hyperlink" xfId="7140" builtinId="8" hidden="1"/>
    <cellStyle name="Hyperlink" xfId="7142" builtinId="8" hidden="1"/>
    <cellStyle name="Hyperlink" xfId="7144" builtinId="8" hidden="1"/>
    <cellStyle name="Hyperlink" xfId="7146" builtinId="8" hidden="1"/>
    <cellStyle name="Hyperlink" xfId="7148" builtinId="8" hidden="1"/>
    <cellStyle name="Hyperlink" xfId="7150" builtinId="8" hidden="1"/>
    <cellStyle name="Hyperlink" xfId="7152" builtinId="8" hidden="1"/>
    <cellStyle name="Hyperlink" xfId="7154" builtinId="8" hidden="1"/>
    <cellStyle name="Hyperlink" xfId="7156" builtinId="8" hidden="1"/>
    <cellStyle name="Hyperlink" xfId="7158" builtinId="8" hidden="1"/>
    <cellStyle name="Hyperlink" xfId="7160" builtinId="8" hidden="1"/>
    <cellStyle name="Hyperlink" xfId="7162" builtinId="8" hidden="1"/>
    <cellStyle name="Hyperlink" xfId="7164" builtinId="8" hidden="1"/>
    <cellStyle name="Hyperlink" xfId="7166" builtinId="8" hidden="1"/>
    <cellStyle name="Hyperlink" xfId="7168" builtinId="8" hidden="1"/>
    <cellStyle name="Hyperlink" xfId="7170" builtinId="8" hidden="1"/>
    <cellStyle name="Hyperlink" xfId="7172" builtinId="8" hidden="1"/>
    <cellStyle name="Hyperlink" xfId="7174" builtinId="8" hidden="1"/>
    <cellStyle name="Hyperlink" xfId="7176" builtinId="8" hidden="1"/>
    <cellStyle name="Hyperlink" xfId="7178" builtinId="8" hidden="1"/>
    <cellStyle name="Hyperlink" xfId="7180" builtinId="8" hidden="1"/>
    <cellStyle name="Hyperlink" xfId="7182" builtinId="8" hidden="1"/>
    <cellStyle name="Hyperlink" xfId="7184" builtinId="8" hidden="1"/>
    <cellStyle name="Hyperlink" xfId="7186" builtinId="8" hidden="1"/>
    <cellStyle name="Hyperlink" xfId="7188" builtinId="8" hidden="1"/>
    <cellStyle name="Hyperlink" xfId="7190" builtinId="8" hidden="1"/>
    <cellStyle name="Hyperlink" xfId="7192" builtinId="8" hidden="1"/>
    <cellStyle name="Hyperlink" xfId="7194" builtinId="8" hidden="1"/>
    <cellStyle name="Hyperlink" xfId="7196" builtinId="8" hidden="1"/>
    <cellStyle name="Hyperlink" xfId="7198" builtinId="8" hidden="1"/>
    <cellStyle name="Hyperlink" xfId="7200" builtinId="8" hidden="1"/>
    <cellStyle name="Hyperlink" xfId="7202" builtinId="8" hidden="1"/>
    <cellStyle name="Hyperlink" xfId="7204" builtinId="8" hidden="1"/>
    <cellStyle name="Hyperlink" xfId="7206" builtinId="8" hidden="1"/>
    <cellStyle name="Hyperlink" xfId="7208" builtinId="8" hidden="1"/>
    <cellStyle name="Hyperlink" xfId="7210" builtinId="8" hidden="1"/>
    <cellStyle name="Hyperlink" xfId="7212" builtinId="8" hidden="1"/>
    <cellStyle name="Hyperlink" xfId="7214" builtinId="8" hidden="1"/>
    <cellStyle name="Hyperlink" xfId="7216" builtinId="8" hidden="1"/>
    <cellStyle name="Hyperlink" xfId="7218" builtinId="8" hidden="1"/>
    <cellStyle name="Hyperlink" xfId="7220" builtinId="8" hidden="1"/>
    <cellStyle name="Hyperlink" xfId="7222" builtinId="8" hidden="1"/>
    <cellStyle name="Hyperlink" xfId="7224" builtinId="8" hidden="1"/>
    <cellStyle name="Hyperlink" xfId="7226" builtinId="8" hidden="1"/>
    <cellStyle name="Hyperlink" xfId="7228" builtinId="8" hidden="1"/>
    <cellStyle name="Hyperlink" xfId="7230" builtinId="8" hidden="1"/>
    <cellStyle name="Hyperlink" xfId="7232" builtinId="8" hidden="1"/>
    <cellStyle name="Hyperlink" xfId="7234" builtinId="8" hidden="1"/>
    <cellStyle name="Hyperlink" xfId="7236" builtinId="8" hidden="1"/>
    <cellStyle name="Hyperlink" xfId="7238" builtinId="8" hidden="1"/>
    <cellStyle name="Hyperlink" xfId="7240" builtinId="8" hidden="1"/>
    <cellStyle name="Hyperlink" xfId="7242" builtinId="8" hidden="1"/>
    <cellStyle name="Hyperlink" xfId="7244" builtinId="8" hidden="1"/>
    <cellStyle name="Hyperlink" xfId="7246" builtinId="8" hidden="1"/>
    <cellStyle name="Hyperlink" xfId="7248" builtinId="8" hidden="1"/>
    <cellStyle name="Hyperlink" xfId="7250" builtinId="8" hidden="1"/>
    <cellStyle name="Hyperlink" xfId="7252" builtinId="8" hidden="1"/>
    <cellStyle name="Hyperlink" xfId="7254" builtinId="8" hidden="1"/>
    <cellStyle name="Hyperlink" xfId="7256" builtinId="8" hidden="1"/>
    <cellStyle name="Hyperlink" xfId="7258" builtinId="8" hidden="1"/>
    <cellStyle name="Hyperlink" xfId="7260" builtinId="8" hidden="1"/>
    <cellStyle name="Hyperlink" xfId="7262" builtinId="8" hidden="1"/>
    <cellStyle name="Hyperlink" xfId="7264" builtinId="8" hidden="1"/>
    <cellStyle name="Hyperlink" xfId="7266" builtinId="8" hidden="1"/>
    <cellStyle name="Hyperlink" xfId="7268" builtinId="8" hidden="1"/>
    <cellStyle name="Hyperlink" xfId="7270" builtinId="8" hidden="1"/>
    <cellStyle name="Hyperlink" xfId="7272" builtinId="8" hidden="1"/>
    <cellStyle name="Hyperlink" xfId="7274" builtinId="8" hidden="1"/>
    <cellStyle name="Hyperlink" xfId="7276" builtinId="8" hidden="1"/>
    <cellStyle name="Hyperlink" xfId="7278" builtinId="8" hidden="1"/>
    <cellStyle name="Hyperlink" xfId="7280" builtinId="8" hidden="1"/>
    <cellStyle name="Hyperlink" xfId="7282" builtinId="8" hidden="1"/>
    <cellStyle name="Hyperlink" xfId="7284" builtinId="8" hidden="1"/>
    <cellStyle name="Hyperlink" xfId="7286" builtinId="8" hidden="1"/>
    <cellStyle name="Hyperlink" xfId="7288" builtinId="8" hidden="1"/>
    <cellStyle name="Hyperlink" xfId="7290" builtinId="8" hidden="1"/>
    <cellStyle name="Hyperlink" xfId="7292" builtinId="8" hidden="1"/>
    <cellStyle name="Hyperlink" xfId="7294" builtinId="8" hidden="1"/>
    <cellStyle name="Hyperlink" xfId="7296" builtinId="8" hidden="1"/>
    <cellStyle name="Hyperlink" xfId="7298" builtinId="8" hidden="1"/>
    <cellStyle name="Hyperlink" xfId="7300" builtinId="8" hidden="1"/>
    <cellStyle name="Hyperlink" xfId="7302" builtinId="8" hidden="1"/>
    <cellStyle name="Hyperlink" xfId="7304" builtinId="8" hidden="1"/>
    <cellStyle name="Hyperlink" xfId="7306" builtinId="8" hidden="1"/>
    <cellStyle name="Hyperlink" xfId="7308" builtinId="8" hidden="1"/>
    <cellStyle name="Hyperlink" xfId="7310" builtinId="8" hidden="1"/>
    <cellStyle name="Hyperlink" xfId="7312" builtinId="8" hidden="1"/>
    <cellStyle name="Hyperlink" xfId="7314" builtinId="8" hidden="1"/>
    <cellStyle name="Hyperlink" xfId="7316" builtinId="8" hidden="1"/>
    <cellStyle name="Hyperlink" xfId="7318" builtinId="8" hidden="1"/>
    <cellStyle name="Hyperlink" xfId="7320" builtinId="8" hidden="1"/>
    <cellStyle name="Hyperlink" xfId="7322" builtinId="8" hidden="1"/>
    <cellStyle name="Hyperlink" xfId="7324" builtinId="8" hidden="1"/>
    <cellStyle name="Hyperlink" xfId="7326" builtinId="8" hidden="1"/>
    <cellStyle name="Hyperlink" xfId="7328" builtinId="8" hidden="1"/>
    <cellStyle name="Hyperlink" xfId="7330" builtinId="8" hidden="1"/>
    <cellStyle name="Hyperlink" xfId="7332" builtinId="8" hidden="1"/>
    <cellStyle name="Hyperlink" xfId="7334" builtinId="8" hidden="1"/>
    <cellStyle name="Hyperlink" xfId="7336" builtinId="8" hidden="1"/>
    <cellStyle name="Hyperlink" xfId="7338" builtinId="8" hidden="1"/>
    <cellStyle name="Hyperlink" xfId="7340" builtinId="8" hidden="1"/>
    <cellStyle name="Hyperlink" xfId="7342" builtinId="8" hidden="1"/>
    <cellStyle name="Hyperlink" xfId="7344" builtinId="8" hidden="1"/>
    <cellStyle name="Hyperlink" xfId="7346" builtinId="8" hidden="1"/>
    <cellStyle name="Hyperlink" xfId="7348" builtinId="8" hidden="1"/>
    <cellStyle name="Hyperlink" xfId="7350" builtinId="8" hidden="1"/>
    <cellStyle name="Hyperlink" xfId="7352" builtinId="8" hidden="1"/>
    <cellStyle name="Hyperlink" xfId="7354" builtinId="8" hidden="1"/>
    <cellStyle name="Hyperlink" xfId="7356" builtinId="8" hidden="1"/>
    <cellStyle name="Hyperlink" xfId="7358" builtinId="8" hidden="1"/>
    <cellStyle name="Hyperlink" xfId="7360" builtinId="8" hidden="1"/>
    <cellStyle name="Hyperlink" xfId="7362" builtinId="8" hidden="1"/>
    <cellStyle name="Hyperlink" xfId="7364" builtinId="8" hidden="1"/>
    <cellStyle name="Hyperlink" xfId="7366" builtinId="8" hidden="1"/>
    <cellStyle name="Hyperlink" xfId="7368" builtinId="8" hidden="1"/>
    <cellStyle name="Hyperlink" xfId="7370" builtinId="8" hidden="1"/>
    <cellStyle name="Hyperlink" xfId="7372" builtinId="8" hidden="1"/>
    <cellStyle name="Hyperlink" xfId="7374" builtinId="8" hidden="1"/>
    <cellStyle name="Hyperlink" xfId="7376" builtinId="8" hidden="1"/>
    <cellStyle name="Hyperlink" xfId="7378" builtinId="8" hidden="1"/>
    <cellStyle name="Hyperlink" xfId="7380" builtinId="8" hidden="1"/>
    <cellStyle name="Hyperlink" xfId="7382" builtinId="8" hidden="1"/>
    <cellStyle name="Hyperlink" xfId="7384" builtinId="8" hidden="1"/>
    <cellStyle name="Hyperlink" xfId="7386" builtinId="8" hidden="1"/>
    <cellStyle name="Hyperlink" xfId="7388" builtinId="8" hidden="1"/>
    <cellStyle name="Hyperlink" xfId="7390" builtinId="8" hidden="1"/>
    <cellStyle name="Hyperlink" xfId="7392" builtinId="8" hidden="1"/>
    <cellStyle name="Hyperlink" xfId="7394" builtinId="8" hidden="1"/>
    <cellStyle name="Hyperlink" xfId="7396" builtinId="8" hidden="1"/>
    <cellStyle name="Hyperlink" xfId="7398" builtinId="8" hidden="1"/>
    <cellStyle name="Hyperlink" xfId="7400" builtinId="8" hidden="1"/>
    <cellStyle name="Hyperlink" xfId="7402" builtinId="8" hidden="1"/>
    <cellStyle name="Hyperlink" xfId="7404" builtinId="8" hidden="1"/>
    <cellStyle name="Hyperlink" xfId="7406" builtinId="8" hidden="1"/>
    <cellStyle name="Hyperlink" xfId="7408" builtinId="8" hidden="1"/>
    <cellStyle name="Hyperlink" xfId="7410" builtinId="8" hidden="1"/>
    <cellStyle name="Hyperlink" xfId="7412" builtinId="8" hidden="1"/>
    <cellStyle name="Hyperlink" xfId="7414" builtinId="8" hidden="1"/>
    <cellStyle name="Hyperlink" xfId="7416" builtinId="8" hidden="1"/>
    <cellStyle name="Hyperlink" xfId="7418" builtinId="8" hidden="1"/>
    <cellStyle name="Hyperlink" xfId="7420" builtinId="8" hidden="1"/>
    <cellStyle name="Hyperlink" xfId="7422" builtinId="8" hidden="1"/>
    <cellStyle name="Hyperlink" xfId="7424" builtinId="8" hidden="1"/>
    <cellStyle name="Hyperlink" xfId="7426" builtinId="8" hidden="1"/>
    <cellStyle name="Hyperlink" xfId="7428" builtinId="8" hidden="1"/>
    <cellStyle name="Hyperlink" xfId="7430" builtinId="8" hidden="1"/>
    <cellStyle name="Hyperlink" xfId="7432" builtinId="8" hidden="1"/>
    <cellStyle name="Hyperlink" xfId="7434" builtinId="8" hidden="1"/>
    <cellStyle name="Hyperlink" xfId="7436" builtinId="8" hidden="1"/>
    <cellStyle name="Hyperlink" xfId="7438" builtinId="8" hidden="1"/>
    <cellStyle name="Hyperlink" xfId="7440" builtinId="8" hidden="1"/>
    <cellStyle name="Hyperlink" xfId="7442" builtinId="8" hidden="1"/>
    <cellStyle name="Hyperlink" xfId="7444" builtinId="8" hidden="1"/>
    <cellStyle name="Hyperlink" xfId="7446" builtinId="8" hidden="1"/>
    <cellStyle name="Hyperlink" xfId="7448" builtinId="8" hidden="1"/>
    <cellStyle name="Hyperlink" xfId="7450" builtinId="8" hidden="1"/>
    <cellStyle name="Hyperlink" xfId="7452" builtinId="8" hidden="1"/>
    <cellStyle name="Hyperlink" xfId="7454" builtinId="8" hidden="1"/>
    <cellStyle name="Hyperlink" xfId="7456" builtinId="8" hidden="1"/>
    <cellStyle name="Hyperlink" xfId="7458" builtinId="8" hidden="1"/>
    <cellStyle name="Hyperlink" xfId="7460" builtinId="8" hidden="1"/>
    <cellStyle name="Hyperlink" xfId="7462" builtinId="8" hidden="1"/>
    <cellStyle name="Hyperlink" xfId="7464" builtinId="8" hidden="1"/>
    <cellStyle name="Hyperlink" xfId="7466" builtinId="8" hidden="1"/>
    <cellStyle name="Hyperlink" xfId="7468" builtinId="8" hidden="1"/>
    <cellStyle name="Hyperlink" xfId="7470" builtinId="8" hidden="1"/>
    <cellStyle name="Hyperlink" xfId="7472" builtinId="8" hidden="1"/>
    <cellStyle name="Hyperlink" xfId="7474" builtinId="8" hidden="1"/>
    <cellStyle name="Hyperlink" xfId="7476" builtinId="8" hidden="1"/>
    <cellStyle name="Hyperlink" xfId="7478" builtinId="8" hidden="1"/>
    <cellStyle name="Hyperlink" xfId="7480" builtinId="8" hidden="1"/>
    <cellStyle name="Hyperlink" xfId="7482" builtinId="8" hidden="1"/>
    <cellStyle name="Hyperlink" xfId="7484" builtinId="8" hidden="1"/>
    <cellStyle name="Hyperlink" xfId="7486" builtinId="8" hidden="1"/>
    <cellStyle name="Hyperlink" xfId="7488" builtinId="8" hidden="1"/>
    <cellStyle name="Hyperlink" xfId="7490" builtinId="8" hidden="1"/>
    <cellStyle name="Hyperlink" xfId="7492" builtinId="8" hidden="1"/>
    <cellStyle name="Hyperlink" xfId="7494" builtinId="8" hidden="1"/>
    <cellStyle name="Hyperlink" xfId="7496" builtinId="8" hidden="1"/>
    <cellStyle name="Hyperlink" xfId="7498" builtinId="8" hidden="1"/>
    <cellStyle name="Hyperlink" xfId="7500" builtinId="8" hidden="1"/>
    <cellStyle name="Hyperlink" xfId="7502" builtinId="8" hidden="1"/>
    <cellStyle name="Hyperlink" xfId="7504" builtinId="8" hidden="1"/>
    <cellStyle name="Hyperlink" xfId="7506" builtinId="8" hidden="1"/>
    <cellStyle name="Hyperlink" xfId="7508" builtinId="8" hidden="1"/>
    <cellStyle name="Hyperlink" xfId="7510" builtinId="8" hidden="1"/>
    <cellStyle name="Hyperlink" xfId="7512" builtinId="8" hidden="1"/>
    <cellStyle name="Hyperlink" xfId="7514" builtinId="8" hidden="1"/>
    <cellStyle name="Hyperlink" xfId="7516" builtinId="8" hidden="1"/>
    <cellStyle name="Hyperlink" xfId="7518" builtinId="8" hidden="1"/>
    <cellStyle name="Hyperlink" xfId="7520" builtinId="8" hidden="1"/>
    <cellStyle name="Hyperlink" xfId="7522" builtinId="8" hidden="1"/>
    <cellStyle name="Hyperlink" xfId="7524" builtinId="8" hidden="1"/>
    <cellStyle name="Hyperlink" xfId="7526" builtinId="8" hidden="1"/>
    <cellStyle name="Hyperlink" xfId="7528" builtinId="8" hidden="1"/>
    <cellStyle name="Hyperlink" xfId="7530" builtinId="8" hidden="1"/>
    <cellStyle name="Hyperlink" xfId="7532" builtinId="8" hidden="1"/>
    <cellStyle name="Hyperlink" xfId="7534" builtinId="8" hidden="1"/>
    <cellStyle name="Hyperlink" xfId="7536" builtinId="8" hidden="1"/>
    <cellStyle name="Hyperlink" xfId="7538" builtinId="8" hidden="1"/>
    <cellStyle name="Hyperlink" xfId="7540" builtinId="8" hidden="1"/>
    <cellStyle name="Hyperlink" xfId="7542" builtinId="8" hidden="1"/>
    <cellStyle name="Hyperlink" xfId="7544" builtinId="8" hidden="1"/>
    <cellStyle name="Hyperlink" xfId="7546" builtinId="8" hidden="1"/>
    <cellStyle name="Hyperlink" xfId="7548" builtinId="8" hidden="1"/>
    <cellStyle name="Hyperlink" xfId="7550" builtinId="8" hidden="1"/>
    <cellStyle name="Hyperlink" xfId="7552" builtinId="8" hidden="1"/>
    <cellStyle name="Hyperlink" xfId="7554" builtinId="8" hidden="1"/>
    <cellStyle name="Hyperlink" xfId="7556" builtinId="8" hidden="1"/>
    <cellStyle name="Hyperlink" xfId="7558" builtinId="8" hidden="1"/>
    <cellStyle name="Hyperlink" xfId="7560" builtinId="8" hidden="1"/>
    <cellStyle name="Hyperlink" xfId="7562" builtinId="8" hidden="1"/>
    <cellStyle name="Hyperlink" xfId="7564" builtinId="8" hidden="1"/>
    <cellStyle name="Hyperlink" xfId="7566" builtinId="8" hidden="1"/>
    <cellStyle name="Hyperlink" xfId="7568" builtinId="8" hidden="1"/>
    <cellStyle name="Hyperlink" xfId="7570" builtinId="8" hidden="1"/>
    <cellStyle name="Hyperlink" xfId="7572" builtinId="8" hidden="1"/>
    <cellStyle name="Hyperlink" xfId="7574" builtinId="8" hidden="1"/>
    <cellStyle name="Hyperlink" xfId="7576" builtinId="8" hidden="1"/>
    <cellStyle name="Hyperlink" xfId="7578" builtinId="8" hidden="1"/>
    <cellStyle name="Hyperlink" xfId="7580" builtinId="8" hidden="1"/>
    <cellStyle name="Hyperlink" xfId="7582" builtinId="8" hidden="1"/>
    <cellStyle name="Hyperlink" xfId="7584" builtinId="8" hidden="1"/>
    <cellStyle name="Hyperlink" xfId="7586" builtinId="8" hidden="1"/>
    <cellStyle name="Hyperlink" xfId="7588" builtinId="8" hidden="1"/>
    <cellStyle name="Hyperlink" xfId="7590" builtinId="8" hidden="1"/>
    <cellStyle name="Hyperlink" xfId="7592" builtinId="8" hidden="1"/>
    <cellStyle name="Hyperlink" xfId="7594" builtinId="8" hidden="1"/>
    <cellStyle name="Hyperlink" xfId="7596" builtinId="8" hidden="1"/>
    <cellStyle name="Hyperlink" xfId="7598" builtinId="8" hidden="1"/>
    <cellStyle name="Hyperlink" xfId="7600" builtinId="8" hidden="1"/>
    <cellStyle name="Hyperlink" xfId="7602" builtinId="8" hidden="1"/>
    <cellStyle name="Hyperlink" xfId="7604" builtinId="8" hidden="1"/>
    <cellStyle name="Hyperlink" xfId="7606" builtinId="8" hidden="1"/>
    <cellStyle name="Hyperlink" xfId="7608" builtinId="8" hidden="1"/>
    <cellStyle name="Hyperlink" xfId="7610" builtinId="8" hidden="1"/>
    <cellStyle name="Hyperlink" xfId="7612" builtinId="8" hidden="1"/>
    <cellStyle name="Hyperlink" xfId="7614" builtinId="8" hidden="1"/>
    <cellStyle name="Hyperlink" xfId="7616" builtinId="8" hidden="1"/>
    <cellStyle name="Hyperlink" xfId="7618" builtinId="8" hidden="1"/>
    <cellStyle name="Hyperlink" xfId="7620" builtinId="8" hidden="1"/>
    <cellStyle name="Hyperlink" xfId="7622" builtinId="8" hidden="1"/>
    <cellStyle name="Hyperlink" xfId="7624" builtinId="8" hidden="1"/>
    <cellStyle name="Hyperlink" xfId="7626" builtinId="8" hidden="1"/>
    <cellStyle name="Hyperlink" xfId="7628" builtinId="8" hidden="1"/>
    <cellStyle name="Hyperlink" xfId="7630" builtinId="8" hidden="1"/>
    <cellStyle name="Hyperlink" xfId="7632" builtinId="8" hidden="1"/>
    <cellStyle name="Hyperlink" xfId="7634" builtinId="8" hidden="1"/>
    <cellStyle name="Hyperlink" xfId="7636" builtinId="8" hidden="1"/>
    <cellStyle name="Hyperlink" xfId="7638" builtinId="8" hidden="1"/>
    <cellStyle name="Hyperlink" xfId="7640" builtinId="8" hidden="1"/>
    <cellStyle name="Hyperlink" xfId="7642" builtinId="8" hidden="1"/>
    <cellStyle name="Hyperlink" xfId="7644" builtinId="8" hidden="1"/>
    <cellStyle name="Hyperlink" xfId="7646" builtinId="8" hidden="1"/>
    <cellStyle name="Hyperlink" xfId="7648" builtinId="8" hidden="1"/>
    <cellStyle name="Hyperlink" xfId="7650" builtinId="8" hidden="1"/>
    <cellStyle name="Hyperlink" xfId="7652" builtinId="8" hidden="1"/>
    <cellStyle name="Hyperlink" xfId="7654" builtinId="8" hidden="1"/>
    <cellStyle name="Hyperlink" xfId="7656" builtinId="8" hidden="1"/>
    <cellStyle name="Hyperlink" xfId="7658" builtinId="8" hidden="1"/>
    <cellStyle name="Hyperlink" xfId="7660" builtinId="8" hidden="1"/>
    <cellStyle name="Hyperlink" xfId="7662" builtinId="8" hidden="1"/>
    <cellStyle name="Hyperlink" xfId="7664" builtinId="8" hidden="1"/>
    <cellStyle name="Hyperlink" xfId="7666" builtinId="8" hidden="1"/>
    <cellStyle name="Hyperlink" xfId="7668" builtinId="8" hidden="1"/>
    <cellStyle name="Hyperlink" xfId="7670" builtinId="8" hidden="1"/>
    <cellStyle name="Hyperlink" xfId="7672" builtinId="8" hidden="1"/>
    <cellStyle name="Hyperlink" xfId="7674" builtinId="8" hidden="1"/>
    <cellStyle name="Hyperlink" xfId="7676" builtinId="8" hidden="1"/>
    <cellStyle name="Hyperlink" xfId="7678" builtinId="8" hidden="1"/>
    <cellStyle name="Hyperlink" xfId="7680" builtinId="8" hidden="1"/>
    <cellStyle name="Hyperlink" xfId="7682" builtinId="8" hidden="1"/>
    <cellStyle name="Hyperlink" xfId="7684" builtinId="8" hidden="1"/>
    <cellStyle name="Hyperlink" xfId="7686" builtinId="8" hidden="1"/>
    <cellStyle name="Hyperlink" xfId="7688" builtinId="8" hidden="1"/>
    <cellStyle name="Hyperlink" xfId="7690" builtinId="8" hidden="1"/>
    <cellStyle name="Hyperlink" xfId="7692" builtinId="8" hidden="1"/>
    <cellStyle name="Hyperlink" xfId="7694" builtinId="8" hidden="1"/>
    <cellStyle name="Hyperlink" xfId="7696" builtinId="8" hidden="1"/>
    <cellStyle name="Hyperlink" xfId="7698" builtinId="8" hidden="1"/>
    <cellStyle name="Hyperlink" xfId="7700" builtinId="8" hidden="1"/>
    <cellStyle name="Hyperlink" xfId="7702" builtinId="8" hidden="1"/>
    <cellStyle name="Hyperlink" xfId="7704" builtinId="8" hidden="1"/>
    <cellStyle name="Hyperlink" xfId="7706" builtinId="8" hidden="1"/>
    <cellStyle name="Hyperlink" xfId="7708" builtinId="8" hidden="1"/>
    <cellStyle name="Hyperlink" xfId="7710" builtinId="8" hidden="1"/>
    <cellStyle name="Hyperlink" xfId="7712" builtinId="8" hidden="1"/>
    <cellStyle name="Hyperlink" xfId="7714" builtinId="8" hidden="1"/>
    <cellStyle name="Hyperlink" xfId="7716" builtinId="8" hidden="1"/>
    <cellStyle name="Hyperlink" xfId="7718" builtinId="8" hidden="1"/>
    <cellStyle name="Hyperlink" xfId="7720" builtinId="8" hidden="1"/>
    <cellStyle name="Hyperlink" xfId="7722" builtinId="8" hidden="1"/>
    <cellStyle name="Hyperlink" xfId="7724" builtinId="8" hidden="1"/>
    <cellStyle name="Hyperlink" xfId="7726" builtinId="8" hidden="1"/>
    <cellStyle name="Hyperlink" xfId="7728" builtinId="8" hidden="1"/>
    <cellStyle name="Hyperlink" xfId="7730" builtinId="8" hidden="1"/>
    <cellStyle name="Hyperlink" xfId="7732" builtinId="8" hidden="1"/>
    <cellStyle name="Hyperlink" xfId="7734" builtinId="8" hidden="1"/>
    <cellStyle name="Hyperlink" xfId="7736" builtinId="8" hidden="1"/>
    <cellStyle name="Hyperlink" xfId="7738" builtinId="8" hidden="1"/>
    <cellStyle name="Hyperlink" xfId="7740" builtinId="8" hidden="1"/>
    <cellStyle name="Hyperlink" xfId="7742" builtinId="8" hidden="1"/>
    <cellStyle name="Hyperlink" xfId="7744" builtinId="8" hidden="1"/>
    <cellStyle name="Hyperlink" xfId="7746" builtinId="8" hidden="1"/>
    <cellStyle name="Hyperlink" xfId="7748" builtinId="8" hidden="1"/>
    <cellStyle name="Hyperlink" xfId="7750" builtinId="8" hidden="1"/>
    <cellStyle name="Hyperlink" xfId="7752" builtinId="8" hidden="1"/>
    <cellStyle name="Hyperlink" xfId="7754" builtinId="8" hidden="1"/>
    <cellStyle name="Hyperlink" xfId="7756" builtinId="8" hidden="1"/>
    <cellStyle name="Hyperlink" xfId="7758" builtinId="8" hidden="1"/>
    <cellStyle name="Hyperlink" xfId="7760" builtinId="8" hidden="1"/>
    <cellStyle name="Hyperlink" xfId="7762" builtinId="8" hidden="1"/>
    <cellStyle name="Hyperlink" xfId="7764" builtinId="8" hidden="1"/>
    <cellStyle name="Hyperlink" xfId="7766" builtinId="8" hidden="1"/>
    <cellStyle name="Hyperlink" xfId="7768" builtinId="8" hidden="1"/>
    <cellStyle name="Hyperlink" xfId="7770" builtinId="8" hidden="1"/>
    <cellStyle name="Hyperlink" xfId="7772" builtinId="8" hidden="1"/>
    <cellStyle name="Hyperlink" xfId="7774" builtinId="8" hidden="1"/>
    <cellStyle name="Hyperlink" xfId="7776" builtinId="8" hidden="1"/>
    <cellStyle name="Hyperlink" xfId="7778" builtinId="8" hidden="1"/>
    <cellStyle name="Hyperlink" xfId="7780" builtinId="8" hidden="1"/>
    <cellStyle name="Hyperlink" xfId="7782" builtinId="8" hidden="1"/>
    <cellStyle name="Hyperlink" xfId="7784" builtinId="8" hidden="1"/>
    <cellStyle name="Hyperlink" xfId="7786" builtinId="8" hidden="1"/>
    <cellStyle name="Hyperlink" xfId="7788" builtinId="8" hidden="1"/>
    <cellStyle name="Hyperlink" xfId="7790" builtinId="8" hidden="1"/>
    <cellStyle name="Hyperlink" xfId="7792" builtinId="8" hidden="1"/>
    <cellStyle name="Hyperlink" xfId="7794" builtinId="8" hidden="1"/>
    <cellStyle name="Hyperlink" xfId="7796" builtinId="8" hidden="1"/>
    <cellStyle name="Hyperlink" xfId="7798" builtinId="8" hidden="1"/>
    <cellStyle name="Hyperlink" xfId="7800" builtinId="8" hidden="1"/>
    <cellStyle name="Hyperlink" xfId="7802" builtinId="8" hidden="1"/>
    <cellStyle name="Hyperlink" xfId="7804" builtinId="8" hidden="1"/>
    <cellStyle name="Hyperlink" xfId="7806" builtinId="8" hidden="1"/>
    <cellStyle name="Hyperlink" xfId="7808" builtinId="8" hidden="1"/>
    <cellStyle name="Hyperlink" xfId="7810" builtinId="8" hidden="1"/>
    <cellStyle name="Hyperlink" xfId="7812" builtinId="8" hidden="1"/>
    <cellStyle name="Hyperlink" xfId="7814" builtinId="8" hidden="1"/>
    <cellStyle name="Hyperlink" xfId="7816" builtinId="8" hidden="1"/>
    <cellStyle name="Hyperlink" xfId="7818" builtinId="8" hidden="1"/>
    <cellStyle name="Hyperlink" xfId="7820" builtinId="8" hidden="1"/>
    <cellStyle name="Hyperlink" xfId="7822" builtinId="8" hidden="1"/>
    <cellStyle name="Hyperlink" xfId="7824" builtinId="8" hidden="1"/>
    <cellStyle name="Hyperlink" xfId="7826" builtinId="8" hidden="1"/>
    <cellStyle name="Hyperlink" xfId="7828" builtinId="8" hidden="1"/>
    <cellStyle name="Hyperlink" xfId="7830" builtinId="8" hidden="1"/>
    <cellStyle name="Hyperlink" xfId="7832" builtinId="8" hidden="1"/>
    <cellStyle name="Hyperlink" xfId="7834" builtinId="8" hidden="1"/>
    <cellStyle name="Hyperlink" xfId="7836" builtinId="8" hidden="1"/>
    <cellStyle name="Hyperlink" xfId="7838" builtinId="8" hidden="1"/>
    <cellStyle name="Hyperlink" xfId="7840" builtinId="8" hidden="1"/>
    <cellStyle name="Hyperlink" xfId="7842" builtinId="8" hidden="1"/>
    <cellStyle name="Hyperlink" xfId="7844" builtinId="8" hidden="1"/>
    <cellStyle name="Hyperlink" xfId="7846" builtinId="8" hidden="1"/>
    <cellStyle name="Hyperlink" xfId="7848" builtinId="8" hidden="1"/>
    <cellStyle name="Hyperlink" xfId="7850" builtinId="8" hidden="1"/>
    <cellStyle name="Hyperlink" xfId="7852" builtinId="8" hidden="1"/>
    <cellStyle name="Hyperlink" xfId="7854" builtinId="8" hidden="1"/>
    <cellStyle name="Hyperlink" xfId="7856" builtinId="8" hidden="1"/>
    <cellStyle name="Hyperlink" xfId="7858" builtinId="8" hidden="1"/>
    <cellStyle name="Hyperlink" xfId="7860" builtinId="8" hidden="1"/>
    <cellStyle name="Hyperlink" xfId="7862" builtinId="8" hidden="1"/>
    <cellStyle name="Hyperlink" xfId="7864" builtinId="8" hidden="1"/>
    <cellStyle name="Hyperlink" xfId="7866" builtinId="8" hidden="1"/>
    <cellStyle name="Hyperlink" xfId="7868" builtinId="8" hidden="1"/>
    <cellStyle name="Hyperlink" xfId="7870" builtinId="8" hidden="1"/>
    <cellStyle name="Hyperlink" xfId="7872" builtinId="8" hidden="1"/>
    <cellStyle name="Hyperlink" xfId="7874" builtinId="8" hidden="1"/>
    <cellStyle name="Hyperlink" xfId="7876" builtinId="8" hidden="1"/>
    <cellStyle name="Hyperlink" xfId="7878" builtinId="8" hidden="1"/>
    <cellStyle name="Hyperlink" xfId="7880" builtinId="8" hidden="1"/>
    <cellStyle name="Hyperlink" xfId="7882" builtinId="8" hidden="1"/>
    <cellStyle name="Hyperlink" xfId="7884" builtinId="8" hidden="1"/>
    <cellStyle name="Hyperlink" xfId="7886" builtinId="8" hidden="1"/>
    <cellStyle name="Hyperlink" xfId="7888" builtinId="8" hidden="1"/>
    <cellStyle name="Hyperlink" xfId="7890" builtinId="8" hidden="1"/>
    <cellStyle name="Hyperlink" xfId="7892" builtinId="8" hidden="1"/>
    <cellStyle name="Hyperlink" xfId="7894" builtinId="8" hidden="1"/>
    <cellStyle name="Hyperlink" xfId="7896" builtinId="8" hidden="1"/>
    <cellStyle name="Hyperlink" xfId="7898" builtinId="8" hidden="1"/>
    <cellStyle name="Hyperlink" xfId="7900" builtinId="8" hidden="1"/>
    <cellStyle name="Hyperlink" xfId="7902" builtinId="8" hidden="1"/>
    <cellStyle name="Hyperlink" xfId="7904" builtinId="8" hidden="1"/>
    <cellStyle name="Hyperlink" xfId="7906" builtinId="8" hidden="1"/>
    <cellStyle name="Hyperlink" xfId="7908" builtinId="8" hidden="1"/>
    <cellStyle name="Hyperlink" xfId="7910" builtinId="8" hidden="1"/>
    <cellStyle name="Hyperlink" xfId="7912" builtinId="8" hidden="1"/>
    <cellStyle name="Hyperlink" xfId="7914" builtinId="8" hidden="1"/>
    <cellStyle name="Hyperlink" xfId="7916" builtinId="8" hidden="1"/>
    <cellStyle name="Hyperlink" xfId="7918" builtinId="8" hidden="1"/>
    <cellStyle name="Hyperlink" xfId="7920" builtinId="8" hidden="1"/>
    <cellStyle name="Hyperlink" xfId="7922" builtinId="8" hidden="1"/>
    <cellStyle name="Hyperlink" xfId="7924" builtinId="8" hidden="1"/>
    <cellStyle name="Hyperlink" xfId="7926" builtinId="8" hidden="1"/>
    <cellStyle name="Hyperlink" xfId="7928" builtinId="8" hidden="1"/>
    <cellStyle name="Hyperlink" xfId="7930" builtinId="8" hidden="1"/>
    <cellStyle name="Hyperlink" xfId="7932" builtinId="8" hidden="1"/>
    <cellStyle name="Hyperlink" xfId="7934" builtinId="8" hidden="1"/>
    <cellStyle name="Hyperlink" xfId="7936" builtinId="8" hidden="1"/>
    <cellStyle name="Hyperlink" xfId="7938" builtinId="8" hidden="1"/>
    <cellStyle name="Hyperlink" xfId="7940" builtinId="8" hidden="1"/>
    <cellStyle name="Hyperlink" xfId="7942" builtinId="8" hidden="1"/>
    <cellStyle name="Hyperlink" xfId="7944" builtinId="8" hidden="1"/>
    <cellStyle name="Hyperlink" xfId="7946" builtinId="8" hidden="1"/>
    <cellStyle name="Hyperlink" xfId="7948" builtinId="8" hidden="1"/>
    <cellStyle name="Hyperlink" xfId="7950" builtinId="8" hidden="1"/>
    <cellStyle name="Hyperlink" xfId="7952" builtinId="8" hidden="1"/>
    <cellStyle name="Hyperlink" xfId="7954" builtinId="8" hidden="1"/>
    <cellStyle name="Hyperlink" xfId="7956" builtinId="8" hidden="1"/>
    <cellStyle name="Hyperlink" xfId="7958" builtinId="8" hidden="1"/>
    <cellStyle name="Hyperlink" xfId="7960" builtinId="8" hidden="1"/>
    <cellStyle name="Hyperlink" xfId="7962" builtinId="8" hidden="1"/>
    <cellStyle name="Hyperlink" xfId="7964" builtinId="8" hidden="1"/>
    <cellStyle name="Hyperlink" xfId="7966" builtinId="8" hidden="1"/>
    <cellStyle name="Hyperlink" xfId="7968" builtinId="8" hidden="1"/>
    <cellStyle name="Hyperlink" xfId="7970" builtinId="8" hidden="1"/>
    <cellStyle name="Hyperlink" xfId="7972" builtinId="8" hidden="1"/>
    <cellStyle name="Hyperlink" xfId="7974" builtinId="8" hidden="1"/>
    <cellStyle name="Hyperlink" xfId="7976" builtinId="8" hidden="1"/>
    <cellStyle name="Hyperlink" xfId="7978" builtinId="8" hidden="1"/>
    <cellStyle name="Hyperlink" xfId="7980" builtinId="8" hidden="1"/>
    <cellStyle name="Hyperlink" xfId="7982" builtinId="8" hidden="1"/>
    <cellStyle name="Hyperlink" xfId="7984" builtinId="8" hidden="1"/>
    <cellStyle name="Hyperlink" xfId="7986" builtinId="8" hidden="1"/>
    <cellStyle name="Hyperlink" xfId="7988" builtinId="8" hidden="1"/>
    <cellStyle name="Hyperlink" xfId="7990" builtinId="8" hidden="1"/>
    <cellStyle name="Hyperlink" xfId="7992" builtinId="8" hidden="1"/>
    <cellStyle name="Hyperlink" xfId="7994" builtinId="8" hidden="1"/>
    <cellStyle name="Hyperlink" xfId="7996" builtinId="8" hidden="1"/>
    <cellStyle name="Hyperlink" xfId="7998" builtinId="8" hidden="1"/>
    <cellStyle name="Hyperlink" xfId="8000" builtinId="8" hidden="1"/>
    <cellStyle name="Hyperlink" xfId="8002" builtinId="8" hidden="1"/>
    <cellStyle name="Hyperlink" xfId="8004" builtinId="8" hidden="1"/>
    <cellStyle name="Hyperlink" xfId="8006" builtinId="8" hidden="1"/>
    <cellStyle name="Hyperlink" xfId="8008" builtinId="8" hidden="1"/>
    <cellStyle name="Hyperlink" xfId="8010" builtinId="8" hidden="1"/>
    <cellStyle name="Hyperlink" xfId="8012" builtinId="8" hidden="1"/>
    <cellStyle name="Hyperlink" xfId="8014" builtinId="8" hidden="1"/>
    <cellStyle name="Hyperlink" xfId="8016" builtinId="8" hidden="1"/>
    <cellStyle name="Hyperlink" xfId="8018" builtinId="8" hidden="1"/>
    <cellStyle name="Hyperlink" xfId="8020" builtinId="8" hidden="1"/>
    <cellStyle name="Hyperlink" xfId="8022" builtinId="8" hidden="1"/>
    <cellStyle name="Hyperlink" xfId="8024" builtinId="8" hidden="1"/>
    <cellStyle name="Hyperlink" xfId="8026" builtinId="8" hidden="1"/>
    <cellStyle name="Hyperlink" xfId="8028" builtinId="8" hidden="1"/>
    <cellStyle name="Hyperlink" xfId="8030" builtinId="8" hidden="1"/>
    <cellStyle name="Hyperlink" xfId="8032" builtinId="8" hidden="1"/>
    <cellStyle name="Hyperlink" xfId="8034" builtinId="8" hidden="1"/>
    <cellStyle name="Hyperlink" xfId="8036" builtinId="8" hidden="1"/>
    <cellStyle name="Hyperlink" xfId="8038" builtinId="8" hidden="1"/>
    <cellStyle name="Hyperlink" xfId="8040" builtinId="8" hidden="1"/>
    <cellStyle name="Hyperlink" xfId="8042" builtinId="8" hidden="1"/>
    <cellStyle name="Hyperlink" xfId="8044" builtinId="8" hidden="1"/>
    <cellStyle name="Hyperlink" xfId="8046" builtinId="8" hidden="1"/>
    <cellStyle name="Hyperlink" xfId="8048" builtinId="8" hidden="1"/>
    <cellStyle name="Hyperlink" xfId="8050" builtinId="8" hidden="1"/>
    <cellStyle name="Hyperlink" xfId="8052" builtinId="8" hidden="1"/>
    <cellStyle name="Hyperlink" xfId="8054" builtinId="8" hidden="1"/>
    <cellStyle name="Hyperlink" xfId="8056" builtinId="8" hidden="1"/>
    <cellStyle name="Hyperlink" xfId="8058" builtinId="8" hidden="1"/>
    <cellStyle name="Hyperlink" xfId="8060" builtinId="8" hidden="1"/>
    <cellStyle name="Hyperlink" xfId="8062" builtinId="8" hidden="1"/>
    <cellStyle name="Hyperlink" xfId="8064" builtinId="8" hidden="1"/>
    <cellStyle name="Hyperlink" xfId="8066" builtinId="8" hidden="1"/>
    <cellStyle name="Hyperlink" xfId="8068" builtinId="8" hidden="1"/>
    <cellStyle name="Hyperlink" xfId="8070" builtinId="8" hidden="1"/>
    <cellStyle name="Hyperlink" xfId="8072" builtinId="8" hidden="1"/>
    <cellStyle name="Hyperlink" xfId="8074" builtinId="8" hidden="1"/>
    <cellStyle name="Hyperlink" xfId="8076" builtinId="8" hidden="1"/>
    <cellStyle name="Hyperlink" xfId="8078" builtinId="8" hidden="1"/>
    <cellStyle name="Hyperlink" xfId="8080" builtinId="8" hidden="1"/>
    <cellStyle name="Hyperlink" xfId="8082" builtinId="8" hidden="1"/>
    <cellStyle name="Hyperlink" xfId="8084" builtinId="8" hidden="1"/>
    <cellStyle name="Hyperlink" xfId="8086" builtinId="8" hidden="1"/>
    <cellStyle name="Hyperlink" xfId="8088" builtinId="8" hidden="1"/>
    <cellStyle name="Hyperlink" xfId="8090" builtinId="8" hidden="1"/>
    <cellStyle name="Hyperlink" xfId="8092" builtinId="8" hidden="1"/>
    <cellStyle name="Hyperlink" xfId="8094" builtinId="8" hidden="1"/>
    <cellStyle name="Hyperlink" xfId="8096" builtinId="8" hidden="1"/>
    <cellStyle name="Hyperlink" xfId="8098" builtinId="8" hidden="1"/>
    <cellStyle name="Hyperlink" xfId="8100" builtinId="8" hidden="1"/>
    <cellStyle name="Hyperlink" xfId="8102" builtinId="8" hidden="1"/>
    <cellStyle name="Hyperlink" xfId="8104" builtinId="8" hidden="1"/>
    <cellStyle name="Hyperlink" xfId="8106" builtinId="8" hidden="1"/>
    <cellStyle name="Hyperlink" xfId="8108" builtinId="8" hidden="1"/>
    <cellStyle name="Hyperlink" xfId="8110" builtinId="8" hidden="1"/>
    <cellStyle name="Hyperlink" xfId="8112" builtinId="8" hidden="1"/>
    <cellStyle name="Hyperlink" xfId="8114" builtinId="8" hidden="1"/>
    <cellStyle name="Hyperlink" xfId="8116" builtinId="8" hidden="1"/>
    <cellStyle name="Hyperlink" xfId="8118" builtinId="8" hidden="1"/>
    <cellStyle name="Hyperlink" xfId="8120" builtinId="8" hidden="1"/>
    <cellStyle name="Hyperlink" xfId="8122" builtinId="8" hidden="1"/>
    <cellStyle name="Hyperlink" xfId="8124" builtinId="8" hidden="1"/>
    <cellStyle name="Hyperlink" xfId="8126" builtinId="8" hidden="1"/>
    <cellStyle name="Hyperlink" xfId="8128" builtinId="8" hidden="1"/>
    <cellStyle name="Hyperlink" xfId="8130" builtinId="8" hidden="1"/>
    <cellStyle name="Hyperlink" xfId="8132" builtinId="8" hidden="1"/>
    <cellStyle name="Hyperlink" xfId="8134" builtinId="8" hidden="1"/>
    <cellStyle name="Hyperlink" xfId="8136" builtinId="8" hidden="1"/>
    <cellStyle name="Hyperlink" xfId="8138" builtinId="8" hidden="1"/>
    <cellStyle name="Hyperlink" xfId="8140" builtinId="8" hidden="1"/>
    <cellStyle name="Hyperlink" xfId="8142" builtinId="8" hidden="1"/>
    <cellStyle name="Hyperlink" xfId="8144" builtinId="8" hidden="1"/>
    <cellStyle name="Hyperlink" xfId="8146" builtinId="8" hidden="1"/>
    <cellStyle name="Hyperlink" xfId="8148" builtinId="8" hidden="1"/>
    <cellStyle name="Hyperlink" xfId="8150" builtinId="8" hidden="1"/>
    <cellStyle name="Hyperlink" xfId="8152" builtinId="8" hidden="1"/>
    <cellStyle name="Hyperlink" xfId="8154" builtinId="8" hidden="1"/>
    <cellStyle name="Hyperlink" xfId="8156" builtinId="8" hidden="1"/>
    <cellStyle name="Hyperlink" xfId="8158" builtinId="8" hidden="1"/>
    <cellStyle name="Hyperlink" xfId="8160" builtinId="8" hidden="1"/>
    <cellStyle name="Hyperlink" xfId="8162" builtinId="8" hidden="1"/>
    <cellStyle name="Hyperlink" xfId="8164" builtinId="8" hidden="1"/>
    <cellStyle name="Hyperlink" xfId="8166" builtinId="8" hidden="1"/>
    <cellStyle name="Hyperlink" xfId="8168" builtinId="8" hidden="1"/>
    <cellStyle name="Hyperlink" xfId="8170" builtinId="8" hidden="1"/>
    <cellStyle name="Hyperlink" xfId="8172" builtinId="8" hidden="1"/>
    <cellStyle name="Hyperlink" xfId="8174" builtinId="8" hidden="1"/>
    <cellStyle name="Hyperlink" xfId="8176" builtinId="8" hidden="1"/>
    <cellStyle name="Hyperlink" xfId="8178" builtinId="8" hidden="1"/>
    <cellStyle name="Hyperlink" xfId="8180" builtinId="8" hidden="1"/>
    <cellStyle name="Hyperlink" xfId="8182" builtinId="8" hidden="1"/>
    <cellStyle name="Hyperlink" xfId="8184" builtinId="8" hidden="1"/>
    <cellStyle name="Hyperlink" xfId="8186" builtinId="8" hidden="1"/>
    <cellStyle name="Hyperlink" xfId="8188" builtinId="8" hidden="1"/>
    <cellStyle name="Hyperlink" xfId="8190" builtinId="8" hidden="1"/>
    <cellStyle name="Hyperlink" xfId="8192" builtinId="8" hidden="1"/>
    <cellStyle name="Hyperlink" xfId="8194" builtinId="8" hidden="1"/>
    <cellStyle name="Hyperlink" xfId="8196" builtinId="8" hidden="1"/>
    <cellStyle name="Hyperlink" xfId="8198" builtinId="8" hidden="1"/>
    <cellStyle name="Hyperlink" xfId="8200" builtinId="8" hidden="1"/>
    <cellStyle name="Hyperlink" xfId="8202" builtinId="8" hidden="1"/>
    <cellStyle name="Hyperlink" xfId="8204" builtinId="8" hidden="1"/>
    <cellStyle name="Hyperlink" xfId="8206" builtinId="8" hidden="1"/>
    <cellStyle name="Hyperlink" xfId="8208" builtinId="8" hidden="1"/>
    <cellStyle name="Hyperlink" xfId="8210" builtinId="8" hidden="1"/>
    <cellStyle name="Hyperlink" xfId="8212" builtinId="8" hidden="1"/>
    <cellStyle name="Hyperlink" xfId="8214" builtinId="8" hidden="1"/>
    <cellStyle name="Hyperlink" xfId="8216" builtinId="8" hidden="1"/>
    <cellStyle name="Hyperlink" xfId="8218" builtinId="8" hidden="1"/>
    <cellStyle name="Hyperlink" xfId="8220" builtinId="8" hidden="1"/>
    <cellStyle name="Hyperlink" xfId="8222" builtinId="8" hidden="1"/>
    <cellStyle name="Hyperlink" xfId="8224" builtinId="8" hidden="1"/>
    <cellStyle name="Hyperlink" xfId="8226" builtinId="8" hidden="1"/>
    <cellStyle name="Hyperlink" xfId="8228" builtinId="8" hidden="1"/>
    <cellStyle name="Hyperlink" xfId="8230" builtinId="8" hidden="1"/>
    <cellStyle name="Hyperlink" xfId="8232" builtinId="8" hidden="1"/>
    <cellStyle name="Hyperlink" xfId="8234" builtinId="8" hidden="1"/>
    <cellStyle name="Hyperlink" xfId="8236" builtinId="8" hidden="1"/>
    <cellStyle name="Hyperlink" xfId="8238" builtinId="8" hidden="1"/>
    <cellStyle name="Hyperlink" xfId="8240" builtinId="8" hidden="1"/>
    <cellStyle name="Hyperlink" xfId="8242" builtinId="8" hidden="1"/>
    <cellStyle name="Hyperlink" xfId="8244" builtinId="8" hidden="1"/>
    <cellStyle name="Hyperlink" xfId="8246" builtinId="8" hidden="1"/>
    <cellStyle name="Hyperlink" xfId="8248" builtinId="8" hidden="1"/>
    <cellStyle name="Hyperlink" xfId="8250" builtinId="8" hidden="1"/>
    <cellStyle name="Hyperlink" xfId="8252" builtinId="8" hidden="1"/>
    <cellStyle name="Hyperlink" xfId="8254" builtinId="8" hidden="1"/>
    <cellStyle name="Hyperlink" xfId="8256" builtinId="8" hidden="1"/>
    <cellStyle name="Hyperlink" xfId="8258" builtinId="8" hidden="1"/>
    <cellStyle name="Hyperlink" xfId="8260" builtinId="8" hidden="1"/>
    <cellStyle name="Hyperlink" xfId="8262" builtinId="8" hidden="1"/>
    <cellStyle name="Hyperlink" xfId="8264" builtinId="8" hidden="1"/>
    <cellStyle name="Hyperlink" xfId="8266" builtinId="8" hidden="1"/>
    <cellStyle name="Hyperlink" xfId="8268" builtinId="8" hidden="1"/>
    <cellStyle name="Hyperlink" xfId="8270" builtinId="8" hidden="1"/>
    <cellStyle name="Hyperlink" xfId="8272" builtinId="8" hidden="1"/>
    <cellStyle name="Hyperlink" xfId="8274" builtinId="8" hidden="1"/>
    <cellStyle name="Hyperlink" xfId="8276" builtinId="8" hidden="1"/>
    <cellStyle name="Hyperlink" xfId="8278" builtinId="8" hidden="1"/>
    <cellStyle name="Hyperlink" xfId="8280" builtinId="8" hidden="1"/>
    <cellStyle name="Hyperlink" xfId="8282" builtinId="8" hidden="1"/>
    <cellStyle name="Hyperlink" xfId="8284" builtinId="8" hidden="1"/>
    <cellStyle name="Hyperlink" xfId="8286" builtinId="8" hidden="1"/>
    <cellStyle name="Hyperlink" xfId="8288" builtinId="8" hidden="1"/>
    <cellStyle name="Hyperlink" xfId="8290" builtinId="8" hidden="1"/>
    <cellStyle name="Hyperlink" xfId="8292" builtinId="8" hidden="1"/>
    <cellStyle name="Hyperlink" xfId="8294" builtinId="8" hidden="1"/>
    <cellStyle name="Hyperlink" xfId="8296" builtinId="8" hidden="1"/>
    <cellStyle name="Hyperlink" xfId="8298" builtinId="8" hidden="1"/>
    <cellStyle name="Hyperlink" xfId="8300" builtinId="8" hidden="1"/>
    <cellStyle name="Hyperlink" xfId="8302" builtinId="8" hidden="1"/>
    <cellStyle name="Hyperlink" xfId="8304" builtinId="8" hidden="1"/>
    <cellStyle name="Hyperlink" xfId="8306" builtinId="8" hidden="1"/>
    <cellStyle name="Hyperlink" xfId="8308" builtinId="8" hidden="1"/>
    <cellStyle name="Hyperlink" xfId="8310" builtinId="8" hidden="1"/>
    <cellStyle name="Hyperlink" xfId="8312" builtinId="8" hidden="1"/>
    <cellStyle name="Hyperlink" xfId="8314" builtinId="8" hidden="1"/>
    <cellStyle name="Hyperlink" xfId="8316" builtinId="8" hidden="1"/>
    <cellStyle name="Hyperlink" xfId="8318" builtinId="8" hidden="1"/>
    <cellStyle name="Hyperlink" xfId="8320" builtinId="8" hidden="1"/>
    <cellStyle name="Hyperlink" xfId="8322" builtinId="8" hidden="1"/>
    <cellStyle name="Hyperlink" xfId="8324" builtinId="8" hidden="1"/>
    <cellStyle name="Hyperlink" xfId="8326" builtinId="8" hidden="1"/>
    <cellStyle name="Hyperlink" xfId="8328" builtinId="8" hidden="1"/>
    <cellStyle name="Hyperlink" xfId="8330" builtinId="8" hidden="1"/>
    <cellStyle name="Hyperlink" xfId="8332" builtinId="8" hidden="1"/>
    <cellStyle name="Hyperlink" xfId="8334" builtinId="8" hidden="1"/>
    <cellStyle name="Hyperlink" xfId="8336" builtinId="8" hidden="1"/>
    <cellStyle name="Hyperlink" xfId="8338" builtinId="8" hidden="1"/>
    <cellStyle name="Hyperlink" xfId="8340" builtinId="8" hidden="1"/>
    <cellStyle name="Hyperlink" xfId="8342" builtinId="8" hidden="1"/>
    <cellStyle name="Hyperlink" xfId="8344" builtinId="8" hidden="1"/>
    <cellStyle name="Hyperlink" xfId="8346" builtinId="8" hidden="1"/>
    <cellStyle name="Hyperlink" xfId="8348" builtinId="8" hidden="1"/>
    <cellStyle name="Hyperlink" xfId="8350" builtinId="8" hidden="1"/>
    <cellStyle name="Hyperlink" xfId="8352" builtinId="8" hidden="1"/>
    <cellStyle name="Hyperlink" xfId="8354" builtinId="8" hidden="1"/>
    <cellStyle name="Hyperlink" xfId="8356" builtinId="8" hidden="1"/>
    <cellStyle name="Hyperlink" xfId="8358" builtinId="8" hidden="1"/>
    <cellStyle name="Hyperlink" xfId="8360" builtinId="8" hidden="1"/>
    <cellStyle name="Hyperlink" xfId="8362" builtinId="8" hidden="1"/>
    <cellStyle name="Hyperlink" xfId="8364" builtinId="8" hidden="1"/>
    <cellStyle name="Hyperlink" xfId="8366" builtinId="8" hidden="1"/>
    <cellStyle name="Hyperlink" xfId="8368" builtinId="8" hidden="1"/>
    <cellStyle name="Hyperlink" xfId="8370" builtinId="8" hidden="1"/>
    <cellStyle name="Hyperlink" xfId="8372" builtinId="8" hidden="1"/>
    <cellStyle name="Hyperlink" xfId="8374" builtinId="8" hidden="1"/>
    <cellStyle name="Hyperlink" xfId="8376" builtinId="8" hidden="1"/>
    <cellStyle name="Hyperlink" xfId="8378" builtinId="8" hidden="1"/>
    <cellStyle name="Hyperlink" xfId="8380" builtinId="8" hidden="1"/>
    <cellStyle name="Hyperlink" xfId="8382" builtinId="8" hidden="1"/>
    <cellStyle name="Hyperlink" xfId="8384" builtinId="8" hidden="1"/>
    <cellStyle name="Hyperlink" xfId="8386" builtinId="8" hidden="1"/>
    <cellStyle name="Hyperlink" xfId="8388" builtinId="8" hidden="1"/>
    <cellStyle name="Hyperlink" xfId="8390" builtinId="8" hidden="1"/>
    <cellStyle name="Hyperlink" xfId="8392" builtinId="8" hidden="1"/>
    <cellStyle name="Hyperlink" xfId="8394" builtinId="8" hidden="1"/>
    <cellStyle name="Hyperlink" xfId="8396" builtinId="8" hidden="1"/>
    <cellStyle name="Hyperlink" xfId="8398" builtinId="8" hidden="1"/>
    <cellStyle name="Hyperlink" xfId="8400" builtinId="8" hidden="1"/>
    <cellStyle name="Hyperlink" xfId="8402" builtinId="8" hidden="1"/>
    <cellStyle name="Hyperlink" xfId="8404" builtinId="8" hidden="1"/>
    <cellStyle name="Hyperlink" xfId="8406" builtinId="8" hidden="1"/>
    <cellStyle name="Hyperlink" xfId="8408" builtinId="8" hidden="1"/>
    <cellStyle name="Hyperlink" xfId="8410" builtinId="8" hidden="1"/>
    <cellStyle name="Hyperlink" xfId="8412" builtinId="8" hidden="1"/>
    <cellStyle name="Hyperlink" xfId="8414" builtinId="8" hidden="1"/>
    <cellStyle name="Hyperlink" xfId="8416" builtinId="8" hidden="1"/>
    <cellStyle name="Hyperlink" xfId="8418" builtinId="8" hidden="1"/>
    <cellStyle name="Hyperlink" xfId="8420" builtinId="8" hidden="1"/>
    <cellStyle name="Hyperlink" xfId="8422" builtinId="8" hidden="1"/>
    <cellStyle name="Hyperlink" xfId="8424" builtinId="8" hidden="1"/>
    <cellStyle name="Hyperlink" xfId="8426" builtinId="8" hidden="1"/>
    <cellStyle name="Hyperlink" xfId="8428" builtinId="8" hidden="1"/>
    <cellStyle name="Hyperlink" xfId="8430" builtinId="8" hidden="1"/>
    <cellStyle name="Hyperlink" xfId="8432" builtinId="8" hidden="1"/>
    <cellStyle name="Hyperlink" xfId="8434" builtinId="8" hidden="1"/>
    <cellStyle name="Hyperlink" xfId="8436" builtinId="8" hidden="1"/>
    <cellStyle name="Hyperlink" xfId="8438" builtinId="8" hidden="1"/>
    <cellStyle name="Hyperlink" xfId="8440" builtinId="8" hidden="1"/>
    <cellStyle name="Hyperlink" xfId="8442" builtinId="8" hidden="1"/>
    <cellStyle name="Hyperlink" xfId="8444" builtinId="8" hidden="1"/>
    <cellStyle name="Hyperlink" xfId="8446" builtinId="8" hidden="1"/>
    <cellStyle name="Hyperlink" xfId="8448" builtinId="8" hidden="1"/>
    <cellStyle name="Hyperlink" xfId="8450" builtinId="8" hidden="1"/>
    <cellStyle name="Hyperlink" xfId="8452" builtinId="8" hidden="1"/>
    <cellStyle name="Hyperlink" xfId="8454" builtinId="8" hidden="1"/>
    <cellStyle name="Hyperlink" xfId="8456" builtinId="8" hidden="1"/>
    <cellStyle name="Hyperlink" xfId="8458" builtinId="8" hidden="1"/>
    <cellStyle name="Hyperlink" xfId="8460" builtinId="8" hidden="1"/>
    <cellStyle name="Hyperlink" xfId="8462" builtinId="8" hidden="1"/>
    <cellStyle name="Hyperlink" xfId="8464" builtinId="8" hidden="1"/>
    <cellStyle name="Hyperlink" xfId="8466" builtinId="8" hidden="1"/>
    <cellStyle name="Hyperlink" xfId="8468" builtinId="8" hidden="1"/>
    <cellStyle name="Hyperlink" xfId="8470" builtinId="8" hidden="1"/>
    <cellStyle name="Hyperlink" xfId="8472" builtinId="8" hidden="1"/>
    <cellStyle name="Hyperlink" xfId="8474" builtinId="8" hidden="1"/>
    <cellStyle name="Hyperlink" xfId="8476" builtinId="8" hidden="1"/>
    <cellStyle name="Hyperlink" xfId="8478" builtinId="8" hidden="1"/>
    <cellStyle name="Hyperlink" xfId="8480" builtinId="8" hidden="1"/>
    <cellStyle name="Hyperlink" xfId="8482" builtinId="8" hidden="1"/>
    <cellStyle name="Hyperlink" xfId="8484" builtinId="8" hidden="1"/>
    <cellStyle name="Hyperlink" xfId="8486" builtinId="8" hidden="1"/>
    <cellStyle name="Hyperlink" xfId="8488" builtinId="8" hidden="1"/>
    <cellStyle name="Hyperlink" xfId="8490" builtinId="8" hidden="1"/>
    <cellStyle name="Hyperlink" xfId="8492" builtinId="8" hidden="1"/>
    <cellStyle name="Hyperlink" xfId="8495" builtinId="8" hidden="1"/>
    <cellStyle name="Hyperlink" xfId="8497" builtinId="8" hidden="1"/>
    <cellStyle name="Hyperlink" xfId="8499" builtinId="8" hidden="1"/>
    <cellStyle name="Hyperlink" xfId="8501" builtinId="8" hidden="1"/>
    <cellStyle name="Hyperlink" xfId="8503" builtinId="8" hidden="1"/>
    <cellStyle name="Hyperlink" xfId="8505" builtinId="8" hidden="1"/>
    <cellStyle name="Hyperlink" xfId="8507" builtinId="8" hidden="1"/>
    <cellStyle name="Hyperlink" xfId="8509" builtinId="8" hidden="1"/>
    <cellStyle name="Hyperlink" xfId="8511" builtinId="8" hidden="1"/>
    <cellStyle name="Hyperlink" xfId="8513" builtinId="8" hidden="1"/>
    <cellStyle name="Hyperlink" xfId="8515" builtinId="8" hidden="1"/>
    <cellStyle name="Hyperlink" xfId="8517" builtinId="8" hidden="1"/>
    <cellStyle name="Hyperlink" xfId="8519" builtinId="8" hidden="1"/>
    <cellStyle name="Hyperlink" xfId="8521" builtinId="8" hidden="1"/>
    <cellStyle name="Hyperlink" xfId="8523" builtinId="8" hidden="1"/>
    <cellStyle name="Hyperlink" xfId="8525" builtinId="8" hidden="1"/>
    <cellStyle name="Hyperlink" xfId="8527" builtinId="8" hidden="1"/>
    <cellStyle name="Hyperlink" xfId="8529" builtinId="8" hidden="1"/>
    <cellStyle name="Hyperlink" xfId="8531" builtinId="8" hidden="1"/>
    <cellStyle name="Hyperlink" xfId="8533" builtinId="8" hidden="1"/>
    <cellStyle name="Hyperlink" xfId="8535" builtinId="8" hidden="1"/>
    <cellStyle name="Hyperlink" xfId="8537" builtinId="8" hidden="1"/>
    <cellStyle name="Hyperlink" xfId="8539" builtinId="8" hidden="1"/>
    <cellStyle name="Hyperlink" xfId="8541" builtinId="8" hidden="1"/>
    <cellStyle name="Hyperlink" xfId="8543" builtinId="8" hidden="1"/>
    <cellStyle name="Hyperlink" xfId="8545" builtinId="8" hidden="1"/>
    <cellStyle name="Hyperlink" xfId="8547" builtinId="8" hidden="1"/>
    <cellStyle name="Hyperlink" xfId="8549" builtinId="8" hidden="1"/>
    <cellStyle name="Hyperlink" xfId="8551" builtinId="8" hidden="1"/>
    <cellStyle name="Hyperlink" xfId="8553" builtinId="8" hidden="1"/>
    <cellStyle name="Hyperlink" xfId="8555" builtinId="8" hidden="1"/>
    <cellStyle name="Hyperlink" xfId="8557" builtinId="8" hidden="1"/>
    <cellStyle name="Hyperlink" xfId="8559" builtinId="8" hidden="1"/>
    <cellStyle name="Hyperlink" xfId="8561" builtinId="8" hidden="1"/>
    <cellStyle name="Hyperlink" xfId="8563" builtinId="8" hidden="1"/>
    <cellStyle name="Hyperlink" xfId="8565" builtinId="8" hidden="1"/>
    <cellStyle name="Hyperlink" xfId="8567" builtinId="8" hidden="1"/>
    <cellStyle name="Hyperlink" xfId="8569" builtinId="8" hidden="1"/>
    <cellStyle name="Hyperlink" xfId="8571" builtinId="8" hidden="1"/>
    <cellStyle name="Hyperlink" xfId="8573" builtinId="8" hidden="1"/>
    <cellStyle name="Hyperlink" xfId="8575" builtinId="8" hidden="1"/>
    <cellStyle name="Hyperlink" xfId="8577" builtinId="8" hidden="1"/>
    <cellStyle name="Hyperlink" xfId="8579" builtinId="8" hidden="1"/>
    <cellStyle name="Hyperlink" xfId="8581" builtinId="8" hidden="1"/>
    <cellStyle name="Hyperlink" xfId="8583" builtinId="8" hidden="1"/>
    <cellStyle name="Hyperlink" xfId="8585" builtinId="8" hidden="1"/>
    <cellStyle name="Hyperlink" xfId="8587" builtinId="8" hidden="1"/>
    <cellStyle name="Hyperlink" xfId="8589" builtinId="8" hidden="1"/>
    <cellStyle name="Hyperlink" xfId="8591" builtinId="8" hidden="1"/>
    <cellStyle name="Hyperlink" xfId="8593" builtinId="8" hidden="1"/>
    <cellStyle name="Hyperlink" xfId="8595" builtinId="8" hidden="1"/>
    <cellStyle name="Hyperlink" xfId="8597" builtinId="8" hidden="1"/>
    <cellStyle name="Hyperlink" xfId="8599" builtinId="8" hidden="1"/>
    <cellStyle name="Hyperlink" xfId="8601" builtinId="8" hidden="1"/>
    <cellStyle name="Hyperlink" xfId="8603" builtinId="8" hidden="1"/>
    <cellStyle name="Hyperlink" xfId="8605" builtinId="8" hidden="1"/>
    <cellStyle name="Hyperlink" xfId="8607" builtinId="8" hidden="1"/>
    <cellStyle name="Hyperlink" xfId="8609" builtinId="8" hidden="1"/>
    <cellStyle name="Hyperlink" xfId="8611" builtinId="8" hidden="1"/>
    <cellStyle name="Hyperlink" xfId="8613" builtinId="8" hidden="1"/>
    <cellStyle name="Hyperlink" xfId="8615" builtinId="8" hidden="1"/>
    <cellStyle name="Hyperlink" xfId="8617" builtinId="8" hidden="1"/>
    <cellStyle name="Hyperlink" xfId="8619" builtinId="8" hidden="1"/>
    <cellStyle name="Hyperlink" xfId="8621" builtinId="8" hidden="1"/>
    <cellStyle name="Hyperlink" xfId="8623" builtinId="8" hidden="1"/>
    <cellStyle name="Hyperlink" xfId="8625" builtinId="8" hidden="1"/>
    <cellStyle name="Hyperlink" xfId="8627" builtinId="8" hidden="1"/>
    <cellStyle name="Hyperlink" xfId="8629" builtinId="8" hidden="1"/>
    <cellStyle name="Hyperlink" xfId="8631" builtinId="8" hidden="1"/>
    <cellStyle name="Hyperlink" xfId="8633" builtinId="8" hidden="1"/>
    <cellStyle name="Hyperlink" xfId="8635" builtinId="8" hidden="1"/>
    <cellStyle name="Hyperlink" xfId="8637" builtinId="8" hidden="1"/>
    <cellStyle name="Hyperlink" xfId="8639" builtinId="8" hidden="1"/>
    <cellStyle name="Hyperlink" xfId="8641" builtinId="8" hidden="1"/>
    <cellStyle name="Hyperlink" xfId="8643" builtinId="8" hidden="1"/>
    <cellStyle name="Hyperlink" xfId="8645" builtinId="8" hidden="1"/>
    <cellStyle name="Hyperlink" xfId="8647" builtinId="8" hidden="1"/>
    <cellStyle name="Hyperlink" xfId="8649" builtinId="8" hidden="1"/>
    <cellStyle name="Hyperlink" xfId="8651" builtinId="8" hidden="1"/>
    <cellStyle name="Hyperlink" xfId="8653" builtinId="8" hidden="1"/>
    <cellStyle name="Hyperlink" xfId="8655" builtinId="8" hidden="1"/>
    <cellStyle name="Hyperlink" xfId="8657" builtinId="8" hidden="1"/>
    <cellStyle name="Hyperlink" xfId="8659" builtinId="8" hidden="1"/>
    <cellStyle name="Hyperlink" xfId="8661" builtinId="8" hidden="1"/>
    <cellStyle name="Hyperlink" xfId="8663" builtinId="8" hidden="1"/>
    <cellStyle name="Hyperlink" xfId="8665" builtinId="8" hidden="1"/>
    <cellStyle name="Hyperlink" xfId="8667" builtinId="8" hidden="1"/>
    <cellStyle name="Hyperlink" xfId="8669" builtinId="8" hidden="1"/>
    <cellStyle name="Hyperlink" xfId="8671" builtinId="8" hidden="1"/>
    <cellStyle name="Hyperlink" xfId="8673" builtinId="8" hidden="1"/>
    <cellStyle name="Hyperlink" xfId="8675" builtinId="8" hidden="1"/>
    <cellStyle name="Hyperlink" xfId="8677" builtinId="8" hidden="1"/>
    <cellStyle name="Hyperlink" xfId="8679" builtinId="8" hidden="1"/>
    <cellStyle name="Hyperlink" xfId="8681" builtinId="8" hidden="1"/>
    <cellStyle name="Hyperlink" xfId="8683" builtinId="8" hidden="1"/>
    <cellStyle name="Hyperlink" xfId="8686" builtinId="8" hidden="1"/>
    <cellStyle name="Hyperlink" xfId="8688" builtinId="8" hidden="1"/>
    <cellStyle name="Hyperlink" xfId="8690" builtinId="8" hidden="1"/>
    <cellStyle name="Hyperlink" xfId="8692" builtinId="8" hidden="1"/>
    <cellStyle name="Hyperlink" xfId="8694" builtinId="8" hidden="1"/>
    <cellStyle name="Hyperlink" xfId="8696" builtinId="8" hidden="1"/>
    <cellStyle name="Hyperlink" xfId="8698" builtinId="8" hidden="1"/>
    <cellStyle name="Hyperlink" xfId="8700" builtinId="8" hidden="1"/>
    <cellStyle name="Hyperlink" xfId="8702" builtinId="8" hidden="1"/>
    <cellStyle name="Hyperlink" xfId="8704" builtinId="8" hidden="1"/>
    <cellStyle name="Hyperlink" xfId="8706" builtinId="8" hidden="1"/>
    <cellStyle name="Hyperlink" xfId="8708" builtinId="8" hidden="1"/>
    <cellStyle name="Hyperlink" xfId="8710" builtinId="8" hidden="1"/>
    <cellStyle name="Normal" xfId="0" builtinId="0"/>
    <cellStyle name="Percent" xfId="8494"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openxmlformats.org/officeDocument/2006/relationships/calcChain" Target="calcChain.xml"/><Relationship Id="rId1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Cost Effectiveness Acceptability Curve</a:t>
            </a:r>
          </a:p>
        </c:rich>
      </c:tx>
      <c:overlay val="0"/>
    </c:title>
    <c:autoTitleDeleted val="0"/>
    <c:plotArea>
      <c:layout/>
      <c:scatterChart>
        <c:scatterStyle val="smoothMarker"/>
        <c:varyColors val="0"/>
        <c:ser>
          <c:idx val="0"/>
          <c:order val="0"/>
          <c:tx>
            <c:strRef>
              <c:f>PSA!$AE$11</c:f>
              <c:strCache>
                <c:ptCount val="1"/>
                <c:pt idx="0">
                  <c:v>Primary</c:v>
                </c:pt>
              </c:strCache>
            </c:strRef>
          </c:tx>
          <c:marker>
            <c:symbol val="none"/>
          </c:marker>
          <c:xVal>
            <c:numRef>
              <c:f>PSA!$AD$12:$AD$57</c:f>
              <c:numCache>
                <c:formatCode>General</c:formatCode>
                <c:ptCount val="46"/>
                <c:pt idx="0">
                  <c:v>0.0</c:v>
                </c:pt>
                <c:pt idx="1">
                  <c:v>10.0</c:v>
                </c:pt>
                <c:pt idx="2">
                  <c:v>25.0</c:v>
                </c:pt>
                <c:pt idx="3">
                  <c:v>50.0</c:v>
                </c:pt>
                <c:pt idx="4">
                  <c:v>100.0</c:v>
                </c:pt>
                <c:pt idx="5">
                  <c:v>250.0</c:v>
                </c:pt>
                <c:pt idx="6">
                  <c:v>500.0</c:v>
                </c:pt>
                <c:pt idx="7">
                  <c:v>1000.0</c:v>
                </c:pt>
                <c:pt idx="8">
                  <c:v>1500.0</c:v>
                </c:pt>
                <c:pt idx="9">
                  <c:v>2000.0</c:v>
                </c:pt>
                <c:pt idx="10">
                  <c:v>2500.0</c:v>
                </c:pt>
                <c:pt idx="11">
                  <c:v>3000.0</c:v>
                </c:pt>
                <c:pt idx="12">
                  <c:v>3500.0</c:v>
                </c:pt>
                <c:pt idx="13">
                  <c:v>4000.0</c:v>
                </c:pt>
                <c:pt idx="14">
                  <c:v>4500.0</c:v>
                </c:pt>
                <c:pt idx="15">
                  <c:v>5000.0</c:v>
                </c:pt>
                <c:pt idx="16">
                  <c:v>5500.0</c:v>
                </c:pt>
                <c:pt idx="17">
                  <c:v>6000.0</c:v>
                </c:pt>
                <c:pt idx="18">
                  <c:v>6500.0</c:v>
                </c:pt>
                <c:pt idx="19">
                  <c:v>7000.0</c:v>
                </c:pt>
                <c:pt idx="20">
                  <c:v>7500.0</c:v>
                </c:pt>
                <c:pt idx="21">
                  <c:v>8000.0</c:v>
                </c:pt>
                <c:pt idx="22">
                  <c:v>8500.0</c:v>
                </c:pt>
                <c:pt idx="23">
                  <c:v>9000.0</c:v>
                </c:pt>
                <c:pt idx="24">
                  <c:v>9500.0</c:v>
                </c:pt>
                <c:pt idx="25">
                  <c:v>10000.0</c:v>
                </c:pt>
                <c:pt idx="26">
                  <c:v>11000.0</c:v>
                </c:pt>
                <c:pt idx="27">
                  <c:v>12000.0</c:v>
                </c:pt>
                <c:pt idx="28">
                  <c:v>13000.0</c:v>
                </c:pt>
                <c:pt idx="29">
                  <c:v>14000.0</c:v>
                </c:pt>
                <c:pt idx="30">
                  <c:v>15000.0</c:v>
                </c:pt>
                <c:pt idx="31">
                  <c:v>16000.0</c:v>
                </c:pt>
                <c:pt idx="32">
                  <c:v>17000.0</c:v>
                </c:pt>
                <c:pt idx="33">
                  <c:v>18000.0</c:v>
                </c:pt>
                <c:pt idx="34">
                  <c:v>19000.0</c:v>
                </c:pt>
                <c:pt idx="35">
                  <c:v>20000.0</c:v>
                </c:pt>
                <c:pt idx="36">
                  <c:v>21000.0</c:v>
                </c:pt>
                <c:pt idx="37">
                  <c:v>22000.0</c:v>
                </c:pt>
                <c:pt idx="38">
                  <c:v>23000.0</c:v>
                </c:pt>
                <c:pt idx="39">
                  <c:v>24000.0</c:v>
                </c:pt>
                <c:pt idx="40">
                  <c:v>25000.0</c:v>
                </c:pt>
                <c:pt idx="41">
                  <c:v>30000.0</c:v>
                </c:pt>
                <c:pt idx="42">
                  <c:v>35000.0</c:v>
                </c:pt>
                <c:pt idx="43">
                  <c:v>40000.0</c:v>
                </c:pt>
                <c:pt idx="44">
                  <c:v>45000.0</c:v>
                </c:pt>
                <c:pt idx="45">
                  <c:v>50000.0</c:v>
                </c:pt>
              </c:numCache>
            </c:numRef>
          </c:xVal>
          <c:yVal>
            <c:numRef>
              <c:f>PSA!$AE$12:$AE$57</c:f>
              <c:numCache>
                <c:formatCode>General</c:formatCode>
                <c:ptCount val="46"/>
                <c:pt idx="0">
                  <c:v>0.8715</c:v>
                </c:pt>
                <c:pt idx="1">
                  <c:v>0.868</c:v>
                </c:pt>
                <c:pt idx="2">
                  <c:v>0.8635</c:v>
                </c:pt>
                <c:pt idx="3">
                  <c:v>0.8565</c:v>
                </c:pt>
                <c:pt idx="4">
                  <c:v>0.8385</c:v>
                </c:pt>
                <c:pt idx="5">
                  <c:v>0.798</c:v>
                </c:pt>
                <c:pt idx="6">
                  <c:v>0.686</c:v>
                </c:pt>
                <c:pt idx="7">
                  <c:v>0.4735</c:v>
                </c:pt>
                <c:pt idx="8">
                  <c:v>0.306</c:v>
                </c:pt>
                <c:pt idx="9">
                  <c:v>0.2075</c:v>
                </c:pt>
                <c:pt idx="10">
                  <c:v>0.1555</c:v>
                </c:pt>
                <c:pt idx="11">
                  <c:v>0.1165</c:v>
                </c:pt>
                <c:pt idx="12">
                  <c:v>0.0945</c:v>
                </c:pt>
                <c:pt idx="13">
                  <c:v>0.0745</c:v>
                </c:pt>
                <c:pt idx="14">
                  <c:v>0.0665</c:v>
                </c:pt>
                <c:pt idx="15">
                  <c:v>0.059</c:v>
                </c:pt>
                <c:pt idx="16">
                  <c:v>0.056</c:v>
                </c:pt>
                <c:pt idx="17">
                  <c:v>0.0535</c:v>
                </c:pt>
                <c:pt idx="18">
                  <c:v>0.0495</c:v>
                </c:pt>
                <c:pt idx="19">
                  <c:v>0.046</c:v>
                </c:pt>
                <c:pt idx="20">
                  <c:v>0.0415</c:v>
                </c:pt>
                <c:pt idx="21">
                  <c:v>0.0375</c:v>
                </c:pt>
                <c:pt idx="22">
                  <c:v>0.037</c:v>
                </c:pt>
                <c:pt idx="23">
                  <c:v>0.0345</c:v>
                </c:pt>
                <c:pt idx="24">
                  <c:v>0.0345</c:v>
                </c:pt>
                <c:pt idx="25">
                  <c:v>0.0325</c:v>
                </c:pt>
                <c:pt idx="26">
                  <c:v>0.031</c:v>
                </c:pt>
                <c:pt idx="27">
                  <c:v>0.0285</c:v>
                </c:pt>
                <c:pt idx="28">
                  <c:v>0.027</c:v>
                </c:pt>
                <c:pt idx="29">
                  <c:v>0.027</c:v>
                </c:pt>
                <c:pt idx="30">
                  <c:v>0.0265</c:v>
                </c:pt>
                <c:pt idx="31">
                  <c:v>0.0255</c:v>
                </c:pt>
                <c:pt idx="32">
                  <c:v>0.025</c:v>
                </c:pt>
                <c:pt idx="33">
                  <c:v>0.024</c:v>
                </c:pt>
                <c:pt idx="34">
                  <c:v>0.023</c:v>
                </c:pt>
                <c:pt idx="35">
                  <c:v>0.022</c:v>
                </c:pt>
                <c:pt idx="36">
                  <c:v>0.0215</c:v>
                </c:pt>
                <c:pt idx="37">
                  <c:v>0.0215</c:v>
                </c:pt>
                <c:pt idx="38">
                  <c:v>0.0185</c:v>
                </c:pt>
                <c:pt idx="39">
                  <c:v>0.0075</c:v>
                </c:pt>
                <c:pt idx="40">
                  <c:v>0.0035</c:v>
                </c:pt>
                <c:pt idx="41">
                  <c:v>0.0</c:v>
                </c:pt>
                <c:pt idx="42">
                  <c:v>0.0</c:v>
                </c:pt>
                <c:pt idx="43">
                  <c:v>0.0</c:v>
                </c:pt>
                <c:pt idx="44">
                  <c:v>0.0</c:v>
                </c:pt>
                <c:pt idx="45">
                  <c:v>0.0</c:v>
                </c:pt>
              </c:numCache>
            </c:numRef>
          </c:yVal>
          <c:smooth val="1"/>
        </c:ser>
        <c:ser>
          <c:idx val="1"/>
          <c:order val="1"/>
          <c:tx>
            <c:strRef>
              <c:f>PSA!$AF$11</c:f>
              <c:strCache>
                <c:ptCount val="1"/>
                <c:pt idx="0">
                  <c:v>Secondary</c:v>
                </c:pt>
              </c:strCache>
            </c:strRef>
          </c:tx>
          <c:marker>
            <c:symbol val="none"/>
          </c:marker>
          <c:xVal>
            <c:numRef>
              <c:f>PSA!$AD$12:$AD$57</c:f>
              <c:numCache>
                <c:formatCode>General</c:formatCode>
                <c:ptCount val="46"/>
                <c:pt idx="0">
                  <c:v>0.0</c:v>
                </c:pt>
                <c:pt idx="1">
                  <c:v>10.0</c:v>
                </c:pt>
                <c:pt idx="2">
                  <c:v>25.0</c:v>
                </c:pt>
                <c:pt idx="3">
                  <c:v>50.0</c:v>
                </c:pt>
                <c:pt idx="4">
                  <c:v>100.0</c:v>
                </c:pt>
                <c:pt idx="5">
                  <c:v>250.0</c:v>
                </c:pt>
                <c:pt idx="6">
                  <c:v>500.0</c:v>
                </c:pt>
                <c:pt idx="7">
                  <c:v>1000.0</c:v>
                </c:pt>
                <c:pt idx="8">
                  <c:v>1500.0</c:v>
                </c:pt>
                <c:pt idx="9">
                  <c:v>2000.0</c:v>
                </c:pt>
                <c:pt idx="10">
                  <c:v>2500.0</c:v>
                </c:pt>
                <c:pt idx="11">
                  <c:v>3000.0</c:v>
                </c:pt>
                <c:pt idx="12">
                  <c:v>3500.0</c:v>
                </c:pt>
                <c:pt idx="13">
                  <c:v>4000.0</c:v>
                </c:pt>
                <c:pt idx="14">
                  <c:v>4500.0</c:v>
                </c:pt>
                <c:pt idx="15">
                  <c:v>5000.0</c:v>
                </c:pt>
                <c:pt idx="16">
                  <c:v>5500.0</c:v>
                </c:pt>
                <c:pt idx="17">
                  <c:v>6000.0</c:v>
                </c:pt>
                <c:pt idx="18">
                  <c:v>6500.0</c:v>
                </c:pt>
                <c:pt idx="19">
                  <c:v>7000.0</c:v>
                </c:pt>
                <c:pt idx="20">
                  <c:v>7500.0</c:v>
                </c:pt>
                <c:pt idx="21">
                  <c:v>8000.0</c:v>
                </c:pt>
                <c:pt idx="22">
                  <c:v>8500.0</c:v>
                </c:pt>
                <c:pt idx="23">
                  <c:v>9000.0</c:v>
                </c:pt>
                <c:pt idx="24">
                  <c:v>9500.0</c:v>
                </c:pt>
                <c:pt idx="25">
                  <c:v>10000.0</c:v>
                </c:pt>
                <c:pt idx="26">
                  <c:v>11000.0</c:v>
                </c:pt>
                <c:pt idx="27">
                  <c:v>12000.0</c:v>
                </c:pt>
                <c:pt idx="28">
                  <c:v>13000.0</c:v>
                </c:pt>
                <c:pt idx="29">
                  <c:v>14000.0</c:v>
                </c:pt>
                <c:pt idx="30">
                  <c:v>15000.0</c:v>
                </c:pt>
                <c:pt idx="31">
                  <c:v>16000.0</c:v>
                </c:pt>
                <c:pt idx="32">
                  <c:v>17000.0</c:v>
                </c:pt>
                <c:pt idx="33">
                  <c:v>18000.0</c:v>
                </c:pt>
                <c:pt idx="34">
                  <c:v>19000.0</c:v>
                </c:pt>
                <c:pt idx="35">
                  <c:v>20000.0</c:v>
                </c:pt>
                <c:pt idx="36">
                  <c:v>21000.0</c:v>
                </c:pt>
                <c:pt idx="37">
                  <c:v>22000.0</c:v>
                </c:pt>
                <c:pt idx="38">
                  <c:v>23000.0</c:v>
                </c:pt>
                <c:pt idx="39">
                  <c:v>24000.0</c:v>
                </c:pt>
                <c:pt idx="40">
                  <c:v>25000.0</c:v>
                </c:pt>
                <c:pt idx="41">
                  <c:v>30000.0</c:v>
                </c:pt>
                <c:pt idx="42">
                  <c:v>35000.0</c:v>
                </c:pt>
                <c:pt idx="43">
                  <c:v>40000.0</c:v>
                </c:pt>
                <c:pt idx="44">
                  <c:v>45000.0</c:v>
                </c:pt>
                <c:pt idx="45">
                  <c:v>50000.0</c:v>
                </c:pt>
              </c:numCache>
            </c:numRef>
          </c:xVal>
          <c:yVal>
            <c:numRef>
              <c:f>PSA!$AF$12:$AF$57</c:f>
              <c:numCache>
                <c:formatCode>General</c:formatCode>
                <c:ptCount val="46"/>
                <c:pt idx="0">
                  <c:v>0.1285</c:v>
                </c:pt>
                <c:pt idx="1">
                  <c:v>0.132</c:v>
                </c:pt>
                <c:pt idx="2">
                  <c:v>0.1365</c:v>
                </c:pt>
                <c:pt idx="3">
                  <c:v>0.1435</c:v>
                </c:pt>
                <c:pt idx="4">
                  <c:v>0.1615</c:v>
                </c:pt>
                <c:pt idx="5">
                  <c:v>0.202</c:v>
                </c:pt>
                <c:pt idx="6">
                  <c:v>0.314</c:v>
                </c:pt>
                <c:pt idx="7">
                  <c:v>0.5265</c:v>
                </c:pt>
                <c:pt idx="8">
                  <c:v>0.694</c:v>
                </c:pt>
                <c:pt idx="9">
                  <c:v>0.7925</c:v>
                </c:pt>
                <c:pt idx="10">
                  <c:v>0.8445</c:v>
                </c:pt>
                <c:pt idx="11">
                  <c:v>0.8835</c:v>
                </c:pt>
                <c:pt idx="12">
                  <c:v>0.9055</c:v>
                </c:pt>
                <c:pt idx="13">
                  <c:v>0.9255</c:v>
                </c:pt>
                <c:pt idx="14">
                  <c:v>0.9335</c:v>
                </c:pt>
                <c:pt idx="15">
                  <c:v>0.941</c:v>
                </c:pt>
                <c:pt idx="16">
                  <c:v>0.944</c:v>
                </c:pt>
                <c:pt idx="17">
                  <c:v>0.9465</c:v>
                </c:pt>
                <c:pt idx="18">
                  <c:v>0.9505</c:v>
                </c:pt>
                <c:pt idx="19">
                  <c:v>0.954</c:v>
                </c:pt>
                <c:pt idx="20">
                  <c:v>0.9585</c:v>
                </c:pt>
                <c:pt idx="21">
                  <c:v>0.9625</c:v>
                </c:pt>
                <c:pt idx="22">
                  <c:v>0.963</c:v>
                </c:pt>
                <c:pt idx="23">
                  <c:v>0.9655</c:v>
                </c:pt>
                <c:pt idx="24">
                  <c:v>0.9655</c:v>
                </c:pt>
                <c:pt idx="25">
                  <c:v>0.9675</c:v>
                </c:pt>
                <c:pt idx="26">
                  <c:v>0.969</c:v>
                </c:pt>
                <c:pt idx="27">
                  <c:v>0.9715</c:v>
                </c:pt>
                <c:pt idx="28">
                  <c:v>0.973</c:v>
                </c:pt>
                <c:pt idx="29">
                  <c:v>0.973</c:v>
                </c:pt>
                <c:pt idx="30">
                  <c:v>0.9735</c:v>
                </c:pt>
                <c:pt idx="31">
                  <c:v>0.9745</c:v>
                </c:pt>
                <c:pt idx="32">
                  <c:v>0.975</c:v>
                </c:pt>
                <c:pt idx="33">
                  <c:v>0.976</c:v>
                </c:pt>
                <c:pt idx="34">
                  <c:v>0.977</c:v>
                </c:pt>
                <c:pt idx="35">
                  <c:v>0.978</c:v>
                </c:pt>
                <c:pt idx="36">
                  <c:v>0.9785</c:v>
                </c:pt>
                <c:pt idx="37">
                  <c:v>0.9785</c:v>
                </c:pt>
                <c:pt idx="38">
                  <c:v>0.979</c:v>
                </c:pt>
                <c:pt idx="39">
                  <c:v>0.9775</c:v>
                </c:pt>
                <c:pt idx="40">
                  <c:v>0.976</c:v>
                </c:pt>
                <c:pt idx="41">
                  <c:v>0.9565</c:v>
                </c:pt>
                <c:pt idx="42">
                  <c:v>0.936</c:v>
                </c:pt>
                <c:pt idx="43">
                  <c:v>0.9165</c:v>
                </c:pt>
                <c:pt idx="44">
                  <c:v>0.892</c:v>
                </c:pt>
                <c:pt idx="45">
                  <c:v>0.875</c:v>
                </c:pt>
              </c:numCache>
            </c:numRef>
          </c:yVal>
          <c:smooth val="1"/>
        </c:ser>
        <c:ser>
          <c:idx val="2"/>
          <c:order val="2"/>
          <c:tx>
            <c:strRef>
              <c:f>PSA!$AG$11</c:f>
              <c:strCache>
                <c:ptCount val="1"/>
                <c:pt idx="0">
                  <c:v>Surgery</c:v>
                </c:pt>
              </c:strCache>
            </c:strRef>
          </c:tx>
          <c:marker>
            <c:symbol val="none"/>
          </c:marker>
          <c:xVal>
            <c:numRef>
              <c:f>PSA!$AD$12:$AD$57</c:f>
              <c:numCache>
                <c:formatCode>General</c:formatCode>
                <c:ptCount val="46"/>
                <c:pt idx="0">
                  <c:v>0.0</c:v>
                </c:pt>
                <c:pt idx="1">
                  <c:v>10.0</c:v>
                </c:pt>
                <c:pt idx="2">
                  <c:v>25.0</c:v>
                </c:pt>
                <c:pt idx="3">
                  <c:v>50.0</c:v>
                </c:pt>
                <c:pt idx="4">
                  <c:v>100.0</c:v>
                </c:pt>
                <c:pt idx="5">
                  <c:v>250.0</c:v>
                </c:pt>
                <c:pt idx="6">
                  <c:v>500.0</c:v>
                </c:pt>
                <c:pt idx="7">
                  <c:v>1000.0</c:v>
                </c:pt>
                <c:pt idx="8">
                  <c:v>1500.0</c:v>
                </c:pt>
                <c:pt idx="9">
                  <c:v>2000.0</c:v>
                </c:pt>
                <c:pt idx="10">
                  <c:v>2500.0</c:v>
                </c:pt>
                <c:pt idx="11">
                  <c:v>3000.0</c:v>
                </c:pt>
                <c:pt idx="12">
                  <c:v>3500.0</c:v>
                </c:pt>
                <c:pt idx="13">
                  <c:v>4000.0</c:v>
                </c:pt>
                <c:pt idx="14">
                  <c:v>4500.0</c:v>
                </c:pt>
                <c:pt idx="15">
                  <c:v>5000.0</c:v>
                </c:pt>
                <c:pt idx="16">
                  <c:v>5500.0</c:v>
                </c:pt>
                <c:pt idx="17">
                  <c:v>6000.0</c:v>
                </c:pt>
                <c:pt idx="18">
                  <c:v>6500.0</c:v>
                </c:pt>
                <c:pt idx="19">
                  <c:v>7000.0</c:v>
                </c:pt>
                <c:pt idx="20">
                  <c:v>7500.0</c:v>
                </c:pt>
                <c:pt idx="21">
                  <c:v>8000.0</c:v>
                </c:pt>
                <c:pt idx="22">
                  <c:v>8500.0</c:v>
                </c:pt>
                <c:pt idx="23">
                  <c:v>9000.0</c:v>
                </c:pt>
                <c:pt idx="24">
                  <c:v>9500.0</c:v>
                </c:pt>
                <c:pt idx="25">
                  <c:v>10000.0</c:v>
                </c:pt>
                <c:pt idx="26">
                  <c:v>11000.0</c:v>
                </c:pt>
                <c:pt idx="27">
                  <c:v>12000.0</c:v>
                </c:pt>
                <c:pt idx="28">
                  <c:v>13000.0</c:v>
                </c:pt>
                <c:pt idx="29">
                  <c:v>14000.0</c:v>
                </c:pt>
                <c:pt idx="30">
                  <c:v>15000.0</c:v>
                </c:pt>
                <c:pt idx="31">
                  <c:v>16000.0</c:v>
                </c:pt>
                <c:pt idx="32">
                  <c:v>17000.0</c:v>
                </c:pt>
                <c:pt idx="33">
                  <c:v>18000.0</c:v>
                </c:pt>
                <c:pt idx="34">
                  <c:v>19000.0</c:v>
                </c:pt>
                <c:pt idx="35">
                  <c:v>20000.0</c:v>
                </c:pt>
                <c:pt idx="36">
                  <c:v>21000.0</c:v>
                </c:pt>
                <c:pt idx="37">
                  <c:v>22000.0</c:v>
                </c:pt>
                <c:pt idx="38">
                  <c:v>23000.0</c:v>
                </c:pt>
                <c:pt idx="39">
                  <c:v>24000.0</c:v>
                </c:pt>
                <c:pt idx="40">
                  <c:v>25000.0</c:v>
                </c:pt>
                <c:pt idx="41">
                  <c:v>30000.0</c:v>
                </c:pt>
                <c:pt idx="42">
                  <c:v>35000.0</c:v>
                </c:pt>
                <c:pt idx="43">
                  <c:v>40000.0</c:v>
                </c:pt>
                <c:pt idx="44">
                  <c:v>45000.0</c:v>
                </c:pt>
                <c:pt idx="45">
                  <c:v>50000.0</c:v>
                </c:pt>
              </c:numCache>
            </c:numRef>
          </c:xVal>
          <c:yVal>
            <c:numRef>
              <c:f>PSA!$AG$12:$AG$57</c:f>
              <c:numCache>
                <c:formatCode>General</c:formatCode>
                <c:ptCount val="46"/>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0.0025</c:v>
                </c:pt>
                <c:pt idx="39">
                  <c:v>0.015</c:v>
                </c:pt>
                <c:pt idx="40">
                  <c:v>0.0205</c:v>
                </c:pt>
                <c:pt idx="41">
                  <c:v>0.0435</c:v>
                </c:pt>
                <c:pt idx="42">
                  <c:v>0.064</c:v>
                </c:pt>
                <c:pt idx="43">
                  <c:v>0.0835</c:v>
                </c:pt>
                <c:pt idx="44">
                  <c:v>0.108</c:v>
                </c:pt>
                <c:pt idx="45">
                  <c:v>0.125</c:v>
                </c:pt>
              </c:numCache>
            </c:numRef>
          </c:yVal>
          <c:smooth val="1"/>
        </c:ser>
        <c:dLbls>
          <c:showLegendKey val="0"/>
          <c:showVal val="0"/>
          <c:showCatName val="0"/>
          <c:showSerName val="0"/>
          <c:showPercent val="0"/>
          <c:showBubbleSize val="0"/>
        </c:dLbls>
        <c:axId val="-2115684136"/>
        <c:axId val="-2118103672"/>
      </c:scatterChart>
      <c:valAx>
        <c:axId val="-2115684136"/>
        <c:scaling>
          <c:orientation val="minMax"/>
          <c:max val="50000.0"/>
          <c:min val="0.0"/>
        </c:scaling>
        <c:delete val="0"/>
        <c:axPos val="b"/>
        <c:title>
          <c:tx>
            <c:rich>
              <a:bodyPr/>
              <a:lstStyle/>
              <a:p>
                <a:pPr>
                  <a:defRPr/>
                </a:pPr>
                <a:r>
                  <a:rPr lang="en-US"/>
                  <a:t>Willingness to pay (US$ per DALY averted)</a:t>
                </a:r>
              </a:p>
            </c:rich>
          </c:tx>
          <c:overlay val="0"/>
        </c:title>
        <c:numFmt formatCode="General" sourceLinked="1"/>
        <c:majorTickMark val="out"/>
        <c:minorTickMark val="none"/>
        <c:tickLblPos val="nextTo"/>
        <c:crossAx val="-2118103672"/>
        <c:crosses val="autoZero"/>
        <c:crossBetween val="midCat"/>
      </c:valAx>
      <c:valAx>
        <c:axId val="-2118103672"/>
        <c:scaling>
          <c:orientation val="minMax"/>
          <c:max val="1.0"/>
          <c:min val="0.0"/>
        </c:scaling>
        <c:delete val="0"/>
        <c:axPos val="l"/>
        <c:title>
          <c:tx>
            <c:rich>
              <a:bodyPr/>
              <a:lstStyle/>
              <a:p>
                <a:pPr>
                  <a:defRPr/>
                </a:pPr>
                <a:r>
                  <a:rPr lang="en-US"/>
                  <a:t>Probability intervention is cost-effective</a:t>
                </a:r>
              </a:p>
            </c:rich>
          </c:tx>
          <c:overlay val="0"/>
        </c:title>
        <c:numFmt formatCode="General" sourceLinked="1"/>
        <c:majorTickMark val="out"/>
        <c:minorTickMark val="none"/>
        <c:tickLblPos val="nextTo"/>
        <c:crossAx val="-2115684136"/>
        <c:crosses val="autoZero"/>
        <c:crossBetween val="midCat"/>
      </c:valAx>
      <c:spPr>
        <a:noFill/>
        <a:extLst>
          <a:ext uri="{909E8E84-426E-40dd-AFC4-6F175D3DCCD1}">
            <a14:hiddenFill xmlns:a14="http://schemas.microsoft.com/office/drawing/2010/main">
              <a:solidFill>
                <a:sysClr val="window" lastClr="FFFFFF"/>
              </a:solidFill>
            </a14:hiddenFill>
          </a:ext>
        </a:extLst>
      </c:spPr>
    </c:plotArea>
    <c:legend>
      <c:legendPos val="r"/>
      <c:overlay val="0"/>
    </c:legend>
    <c:plotVisOnly val="1"/>
    <c:dispBlanksAs val="gap"/>
    <c:showDLblsOverMax val="0"/>
  </c:chart>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Tornado Diagram Scenario 1</a:t>
            </a:r>
          </a:p>
        </c:rich>
      </c:tx>
      <c:overlay val="0"/>
    </c:title>
    <c:autoTitleDeleted val="0"/>
    <c:plotArea>
      <c:layout/>
      <c:barChart>
        <c:barDir val="bar"/>
        <c:grouping val="clustered"/>
        <c:varyColors val="0"/>
        <c:ser>
          <c:idx val="0"/>
          <c:order val="0"/>
          <c:tx>
            <c:v>Scen 1 - low</c:v>
          </c:tx>
          <c:spPr>
            <a:effectLst/>
          </c:spPr>
          <c:invertIfNegative val="0"/>
          <c:cat>
            <c:numRef>
              <c:f>USA!$D$43:$D$61</c:f>
              <c:numCache>
                <c:formatCode>General</c:formatCode>
                <c:ptCount val="19"/>
              </c:numCache>
            </c:numRef>
          </c:cat>
          <c:val>
            <c:numRef>
              <c:f>USA!$E$43:$E$61</c:f>
              <c:numCache>
                <c:formatCode>General</c:formatCode>
                <c:ptCount val="19"/>
              </c:numCache>
            </c:numRef>
          </c:val>
        </c:ser>
        <c:ser>
          <c:idx val="1"/>
          <c:order val="1"/>
          <c:tx>
            <c:v>Scen 1 - high</c:v>
          </c:tx>
          <c:spPr>
            <a:effectLst/>
          </c:spPr>
          <c:invertIfNegative val="0"/>
          <c:cat>
            <c:numRef>
              <c:f>USA!$D$43:$D$61</c:f>
              <c:numCache>
                <c:formatCode>General</c:formatCode>
                <c:ptCount val="19"/>
              </c:numCache>
            </c:numRef>
          </c:cat>
          <c:val>
            <c:numRef>
              <c:f>USA!$F$43:$F$61</c:f>
              <c:numCache>
                <c:formatCode>General</c:formatCode>
                <c:ptCount val="19"/>
              </c:numCache>
            </c:numRef>
          </c:val>
        </c:ser>
        <c:dLbls>
          <c:showLegendKey val="0"/>
          <c:showVal val="0"/>
          <c:showCatName val="0"/>
          <c:showSerName val="0"/>
          <c:showPercent val="0"/>
          <c:showBubbleSize val="0"/>
        </c:dLbls>
        <c:gapWidth val="250"/>
        <c:overlap val="100"/>
        <c:axId val="-2115613032"/>
        <c:axId val="2126844936"/>
      </c:barChart>
      <c:catAx>
        <c:axId val="-2115613032"/>
        <c:scaling>
          <c:orientation val="minMax"/>
        </c:scaling>
        <c:delete val="0"/>
        <c:axPos val="l"/>
        <c:numFmt formatCode="General" sourceLinked="1"/>
        <c:majorTickMark val="out"/>
        <c:minorTickMark val="none"/>
        <c:tickLblPos val="low"/>
        <c:crossAx val="2126844936"/>
        <c:crossesAt val="3.0"/>
        <c:auto val="1"/>
        <c:lblAlgn val="ctr"/>
        <c:lblOffset val="100"/>
        <c:noMultiLvlLbl val="0"/>
      </c:catAx>
      <c:valAx>
        <c:axId val="2126844936"/>
        <c:scaling>
          <c:orientation val="minMax"/>
        </c:scaling>
        <c:delete val="0"/>
        <c:axPos val="b"/>
        <c:title>
          <c:tx>
            <c:rich>
              <a:bodyPr/>
              <a:lstStyle/>
              <a:p>
                <a:pPr>
                  <a:defRPr/>
                </a:pPr>
                <a:r>
                  <a:rPr lang="en-US"/>
                  <a:t>ICER</a:t>
                </a:r>
              </a:p>
            </c:rich>
          </c:tx>
          <c:overlay val="0"/>
        </c:title>
        <c:numFmt formatCode="General" sourceLinked="1"/>
        <c:majorTickMark val="out"/>
        <c:minorTickMark val="none"/>
        <c:tickLblPos val="nextTo"/>
        <c:crossAx val="-2115613032"/>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r"/>
      <c:overlay val="0"/>
    </c:legend>
    <c:plotVisOnly val="1"/>
    <c:dispBlanksAs val="gap"/>
    <c:showDLblsOverMax val="0"/>
  </c:chart>
  <c:printSettings>
    <c:headerFooter/>
    <c:pageMargins b="1.0" l="0.75" r="0.7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Tornado Diagram for Scenario 2</a:t>
            </a:r>
          </a:p>
        </c:rich>
      </c:tx>
      <c:overlay val="0"/>
    </c:title>
    <c:autoTitleDeleted val="0"/>
    <c:plotArea>
      <c:layout/>
      <c:barChart>
        <c:barDir val="bar"/>
        <c:grouping val="clustered"/>
        <c:varyColors val="0"/>
        <c:ser>
          <c:idx val="0"/>
          <c:order val="0"/>
          <c:tx>
            <c:v>Scen 2 - low</c:v>
          </c:tx>
          <c:spPr>
            <a:effectLst/>
          </c:spPr>
          <c:invertIfNegative val="0"/>
          <c:cat>
            <c:numRef>
              <c:f>USA!$I$43:$I$61</c:f>
              <c:numCache>
                <c:formatCode>General</c:formatCode>
                <c:ptCount val="19"/>
              </c:numCache>
            </c:numRef>
          </c:cat>
          <c:val>
            <c:numRef>
              <c:f>USA!$J$43:$J$61</c:f>
              <c:numCache>
                <c:formatCode>General</c:formatCode>
                <c:ptCount val="19"/>
              </c:numCache>
            </c:numRef>
          </c:val>
        </c:ser>
        <c:ser>
          <c:idx val="1"/>
          <c:order val="1"/>
          <c:tx>
            <c:v>Scen 2 - high</c:v>
          </c:tx>
          <c:spPr>
            <a:effectLst/>
          </c:spPr>
          <c:invertIfNegative val="0"/>
          <c:cat>
            <c:numRef>
              <c:f>USA!$I$43:$I$61</c:f>
              <c:numCache>
                <c:formatCode>General</c:formatCode>
                <c:ptCount val="19"/>
              </c:numCache>
            </c:numRef>
          </c:cat>
          <c:val>
            <c:numRef>
              <c:f>USA!$K$43:$K$61</c:f>
              <c:numCache>
                <c:formatCode>General</c:formatCode>
                <c:ptCount val="19"/>
              </c:numCache>
            </c:numRef>
          </c:val>
        </c:ser>
        <c:dLbls>
          <c:showLegendKey val="0"/>
          <c:showVal val="0"/>
          <c:showCatName val="0"/>
          <c:showSerName val="0"/>
          <c:showPercent val="0"/>
          <c:showBubbleSize val="0"/>
        </c:dLbls>
        <c:gapWidth val="250"/>
        <c:overlap val="100"/>
        <c:axId val="2145442200"/>
        <c:axId val="2126924600"/>
      </c:barChart>
      <c:catAx>
        <c:axId val="2145442200"/>
        <c:scaling>
          <c:orientation val="minMax"/>
        </c:scaling>
        <c:delete val="0"/>
        <c:axPos val="l"/>
        <c:numFmt formatCode="General" sourceLinked="1"/>
        <c:majorTickMark val="out"/>
        <c:minorTickMark val="none"/>
        <c:tickLblPos val="low"/>
        <c:crossAx val="2126924600"/>
        <c:crossesAt val="0.0"/>
        <c:auto val="1"/>
        <c:lblAlgn val="ctr"/>
        <c:lblOffset val="100"/>
        <c:noMultiLvlLbl val="0"/>
      </c:catAx>
      <c:valAx>
        <c:axId val="2126924600"/>
        <c:scaling>
          <c:orientation val="minMax"/>
        </c:scaling>
        <c:delete val="0"/>
        <c:axPos val="b"/>
        <c:title>
          <c:tx>
            <c:rich>
              <a:bodyPr/>
              <a:lstStyle/>
              <a:p>
                <a:pPr>
                  <a:defRPr/>
                </a:pPr>
                <a:r>
                  <a:rPr lang="en-US"/>
                  <a:t>ICER</a:t>
                </a:r>
              </a:p>
            </c:rich>
          </c:tx>
          <c:overlay val="0"/>
        </c:title>
        <c:numFmt formatCode="General" sourceLinked="1"/>
        <c:majorTickMark val="out"/>
        <c:minorTickMark val="none"/>
        <c:tickLblPos val="nextTo"/>
        <c:crossAx val="2145442200"/>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r"/>
      <c:overlay val="0"/>
    </c:legend>
    <c:plotVisOnly val="1"/>
    <c:dispBlanksAs val="gap"/>
    <c:showDLblsOverMax val="0"/>
  </c:chart>
  <c:printSettings>
    <c:headerFooter/>
    <c:pageMargins b="1.0" l="0.75" r="0.75"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Tornado Diagram for Scenario 3</a:t>
            </a:r>
          </a:p>
        </c:rich>
      </c:tx>
      <c:overlay val="0"/>
    </c:title>
    <c:autoTitleDeleted val="0"/>
    <c:plotArea>
      <c:layout/>
      <c:barChart>
        <c:barDir val="bar"/>
        <c:grouping val="clustered"/>
        <c:varyColors val="0"/>
        <c:ser>
          <c:idx val="0"/>
          <c:order val="0"/>
          <c:tx>
            <c:v>Scen 3 - low</c:v>
          </c:tx>
          <c:spPr>
            <a:effectLst/>
          </c:spPr>
          <c:invertIfNegative val="0"/>
          <c:cat>
            <c:numRef>
              <c:f>USA!$N$43:$N$61</c:f>
              <c:numCache>
                <c:formatCode>General</c:formatCode>
                <c:ptCount val="19"/>
              </c:numCache>
            </c:numRef>
          </c:cat>
          <c:val>
            <c:numRef>
              <c:f>USA!$O$43:$O$61</c:f>
              <c:numCache>
                <c:formatCode>General</c:formatCode>
                <c:ptCount val="19"/>
              </c:numCache>
            </c:numRef>
          </c:val>
        </c:ser>
        <c:ser>
          <c:idx val="1"/>
          <c:order val="1"/>
          <c:tx>
            <c:v>Scen 3 - high</c:v>
          </c:tx>
          <c:spPr>
            <a:effectLst/>
          </c:spPr>
          <c:invertIfNegative val="0"/>
          <c:cat>
            <c:numRef>
              <c:f>USA!$N$43:$N$61</c:f>
              <c:numCache>
                <c:formatCode>General</c:formatCode>
                <c:ptCount val="19"/>
              </c:numCache>
            </c:numRef>
          </c:cat>
          <c:val>
            <c:numRef>
              <c:f>USA!$P$43:$P$61</c:f>
              <c:numCache>
                <c:formatCode>General</c:formatCode>
                <c:ptCount val="19"/>
              </c:numCache>
            </c:numRef>
          </c:val>
        </c:ser>
        <c:dLbls>
          <c:showLegendKey val="0"/>
          <c:showVal val="0"/>
          <c:showCatName val="0"/>
          <c:showSerName val="0"/>
          <c:showPercent val="0"/>
          <c:showBubbleSize val="0"/>
        </c:dLbls>
        <c:gapWidth val="250"/>
        <c:overlap val="100"/>
        <c:axId val="2145730216"/>
        <c:axId val="2127513016"/>
      </c:barChart>
      <c:catAx>
        <c:axId val="2145730216"/>
        <c:scaling>
          <c:orientation val="minMax"/>
        </c:scaling>
        <c:delete val="0"/>
        <c:axPos val="l"/>
        <c:numFmt formatCode="General" sourceLinked="1"/>
        <c:majorTickMark val="out"/>
        <c:minorTickMark val="none"/>
        <c:tickLblPos val="low"/>
        <c:crossAx val="2127513016"/>
        <c:crossesAt val="0.0"/>
        <c:auto val="1"/>
        <c:lblAlgn val="ctr"/>
        <c:lblOffset val="100"/>
        <c:noMultiLvlLbl val="0"/>
      </c:catAx>
      <c:valAx>
        <c:axId val="2127513016"/>
        <c:scaling>
          <c:orientation val="minMax"/>
        </c:scaling>
        <c:delete val="0"/>
        <c:axPos val="b"/>
        <c:title>
          <c:tx>
            <c:rich>
              <a:bodyPr/>
              <a:lstStyle/>
              <a:p>
                <a:pPr>
                  <a:defRPr/>
                </a:pPr>
                <a:r>
                  <a:t>ICER</a:t>
                </a:r>
              </a:p>
            </c:rich>
          </c:tx>
          <c:overlay val="0"/>
        </c:title>
        <c:numFmt formatCode="General" sourceLinked="1"/>
        <c:majorTickMark val="out"/>
        <c:minorTickMark val="none"/>
        <c:tickLblPos val="nextTo"/>
        <c:crossAx val="2145730216"/>
        <c:crosses val="autoZero"/>
        <c:crossBetween val="between"/>
      </c:valAx>
      <c:spPr>
        <a:noFill/>
        <a:extLst>
          <a:ext uri="{909E8E84-426E-40dd-AFC4-6F175D3DCCD1}">
            <a14:hiddenFill xmlns:a14="http://schemas.microsoft.com/office/drawing/2010/main">
              <a:solidFill>
                <a:sysClr val="window" lastClr="FFFFFF"/>
              </a:solidFill>
            </a14:hiddenFill>
          </a:ext>
        </a:extLst>
      </c:spPr>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 Id="rId3"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12</xdr:row>
      <xdr:rowOff>1</xdr:rowOff>
    </xdr:from>
    <xdr:to>
      <xdr:col>10</xdr:col>
      <xdr:colOff>274205</xdr:colOff>
      <xdr:row>38</xdr:row>
      <xdr:rowOff>8161</xdr:rowOff>
    </xdr:to>
    <xdr:pic>
      <xdr:nvPicPr>
        <xdr:cNvPr id="4" name="Picture 3"/>
        <xdr:cNvPicPr>
          <a:picLocks noChangeAspect="1"/>
        </xdr:cNvPicPr>
      </xdr:nvPicPr>
      <xdr:blipFill>
        <a:blip xmlns:r="http://schemas.openxmlformats.org/officeDocument/2006/relationships" r:embed="rId1"/>
        <a:stretch>
          <a:fillRect/>
        </a:stretch>
      </xdr:blipFill>
      <xdr:spPr>
        <a:xfrm>
          <a:off x="678295" y="2063751"/>
          <a:ext cx="6811819" cy="488611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1</xdr:row>
          <xdr:rowOff>177800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PSA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469900</xdr:colOff>
          <xdr:row>1</xdr:row>
          <xdr:rowOff>165100</xdr:rowOff>
        </xdr:from>
        <xdr:to>
          <xdr:col>28</xdr:col>
          <xdr:colOff>393700</xdr:colOff>
          <xdr:row>2</xdr:row>
          <xdr:rowOff>177800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Calculate CEAC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12700</xdr:colOff>
          <xdr:row>1</xdr:row>
          <xdr:rowOff>12700</xdr:rowOff>
        </xdr:from>
        <xdr:to>
          <xdr:col>33</xdr:col>
          <xdr:colOff>558800</xdr:colOff>
          <xdr:row>2</xdr:row>
          <xdr:rowOff>12700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Draw CEAC</a:t>
              </a:r>
            </a:p>
          </xdr:txBody>
        </xdr:sp>
        <xdr:clientData fPrintsWithSheet="0"/>
      </xdr:twoCellAnchor>
    </mc:Choice>
    <mc:Fallback/>
  </mc:AlternateContent>
  <xdr:twoCellAnchor>
    <xdr:from>
      <xdr:col>36</xdr:col>
      <xdr:colOff>0</xdr:colOff>
      <xdr:row>1</xdr:row>
      <xdr:rowOff>0</xdr:rowOff>
    </xdr:from>
    <xdr:to>
      <xdr:col>46</xdr:col>
      <xdr:colOff>0</xdr:colOff>
      <xdr:row>25</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25400</xdr:rowOff>
        </xdr:from>
        <xdr:to>
          <xdr:col>2</xdr:col>
          <xdr:colOff>50800</xdr:colOff>
          <xdr:row>7</xdr:row>
          <xdr:rowOff>38100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Perform</a:t>
              </a:r>
            </a:p>
            <a:p>
              <a:pPr algn="ctr" rtl="0">
                <a:defRPr sz="1000"/>
              </a:pPr>
              <a:r>
                <a:rPr lang="en-US" sz="1200" b="0" i="0" u="none" strike="noStrike" baseline="0">
                  <a:solidFill>
                    <a:srgbClr val="000000"/>
                  </a:solidFill>
                  <a:latin typeface="Calibri"/>
                  <a:ea typeface="Calibri"/>
                  <a:cs typeface="Calibri"/>
                </a:rPr>
                <a:t>Univariate</a:t>
              </a:r>
            </a:p>
            <a:p>
              <a:pPr algn="ctr" rtl="0">
                <a:defRPr sz="1000"/>
              </a:pPr>
              <a:r>
                <a:rPr lang="en-US" sz="1200" b="0" i="0" u="none" strike="noStrike" baseline="0">
                  <a:solidFill>
                    <a:srgbClr val="000000"/>
                  </a:solidFill>
                  <a:latin typeface="Calibri"/>
                  <a:ea typeface="Calibri"/>
                  <a:cs typeface="Calibri"/>
                </a:rPr>
                <a:t>Sensitivity</a:t>
              </a:r>
            </a:p>
            <a:p>
              <a:pPr algn="ctr" rtl="0">
                <a:defRPr sz="1000"/>
              </a:pPr>
              <a:r>
                <a:rPr lang="en-US" sz="1200" b="0" i="0" u="none" strike="noStrike" baseline="0">
                  <a:solidFill>
                    <a:srgbClr val="000000"/>
                  </a:solidFill>
                  <a:latin typeface="Calibri"/>
                  <a:ea typeface="Calibri"/>
                  <a:cs typeface="Calibri"/>
                </a:rPr>
                <a:t>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8</xdr:row>
          <xdr:rowOff>25400</xdr:rowOff>
        </xdr:from>
        <xdr:to>
          <xdr:col>2</xdr:col>
          <xdr:colOff>38100</xdr:colOff>
          <xdr:row>11</xdr:row>
          <xdr:rowOff>88900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Draw</a:t>
              </a:r>
            </a:p>
            <a:p>
              <a:pPr algn="ctr" rtl="0">
                <a:defRPr sz="1000"/>
              </a:pPr>
              <a:r>
                <a:rPr lang="en-US" sz="1200" b="0" i="0" u="none" strike="noStrike" baseline="0">
                  <a:solidFill>
                    <a:srgbClr val="000000"/>
                  </a:solidFill>
                  <a:latin typeface="Calibri"/>
                  <a:ea typeface="Calibri"/>
                  <a:cs typeface="Calibri"/>
                </a:rPr>
                <a:t>Tornado Plot</a:t>
              </a:r>
            </a:p>
          </xdr:txBody>
        </xdr:sp>
        <xdr:clientData fPrintsWithSheet="0"/>
      </xdr:twoCellAnchor>
    </mc:Choice>
    <mc:Fallback/>
  </mc:AlternateContent>
  <xdr:twoCellAnchor>
    <xdr:from>
      <xdr:col>3</xdr:col>
      <xdr:colOff>0</xdr:colOff>
      <xdr:row>25</xdr:row>
      <xdr:rowOff>0</xdr:rowOff>
    </xdr:from>
    <xdr:to>
      <xdr:col>7</xdr:col>
      <xdr:colOff>0</xdr:colOff>
      <xdr:row>66</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25</xdr:row>
      <xdr:rowOff>0</xdr:rowOff>
    </xdr:from>
    <xdr:to>
      <xdr:col>12</xdr:col>
      <xdr:colOff>0</xdr:colOff>
      <xdr:row>66</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25</xdr:row>
      <xdr:rowOff>0</xdr:rowOff>
    </xdr:from>
    <xdr:to>
      <xdr:col>17</xdr:col>
      <xdr:colOff>0</xdr:colOff>
      <xdr:row>66</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1" Type="http://schemas.openxmlformats.org/officeDocument/2006/relationships/drawing" Target="../drawings/drawing2.xml"/><Relationship Id="rId2"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M67"/>
  <sheetViews>
    <sheetView topLeftCell="A8" workbookViewId="0">
      <selection activeCell="F8" sqref="F8"/>
    </sheetView>
  </sheetViews>
  <sheetFormatPr baseColWidth="10" defaultColWidth="8.83203125" defaultRowHeight="15" x14ac:dyDescent="0"/>
  <cols>
    <col min="1" max="1" width="8.83203125" style="35"/>
    <col min="2" max="2" width="12.5" style="35" customWidth="1"/>
    <col min="3" max="3" width="9.33203125" style="35" bestFit="1" customWidth="1"/>
    <col min="4" max="5" width="8.83203125" style="35"/>
    <col min="6" max="6" width="9.83203125" style="35" customWidth="1"/>
    <col min="7" max="7" width="9.6640625" style="35" customWidth="1"/>
    <col min="8" max="16384" width="8.83203125" style="35"/>
  </cols>
  <sheetData>
    <row r="2" spans="2:13" ht="21">
      <c r="B2" s="227" t="s">
        <v>400</v>
      </c>
    </row>
    <row r="4" spans="2:13">
      <c r="B4" s="35" t="s">
        <v>31</v>
      </c>
      <c r="C4" s="35" t="s">
        <v>32</v>
      </c>
    </row>
    <row r="5" spans="2:13">
      <c r="B5" s="35" t="s">
        <v>37</v>
      </c>
      <c r="C5" s="35" t="s">
        <v>401</v>
      </c>
    </row>
    <row r="6" spans="2:13">
      <c r="B6" s="35" t="s">
        <v>33</v>
      </c>
      <c r="C6" s="35" t="s">
        <v>34</v>
      </c>
    </row>
    <row r="7" spans="2:13">
      <c r="B7" s="35" t="s">
        <v>38</v>
      </c>
      <c r="C7" s="35" t="s">
        <v>402</v>
      </c>
    </row>
    <row r="8" spans="2:13">
      <c r="B8" s="35" t="s">
        <v>36</v>
      </c>
      <c r="C8" s="35" t="s">
        <v>403</v>
      </c>
    </row>
    <row r="9" spans="2:13">
      <c r="C9" s="35" t="s">
        <v>407</v>
      </c>
    </row>
    <row r="10" spans="2:13">
      <c r="C10" s="35" t="s">
        <v>408</v>
      </c>
    </row>
    <row r="11" spans="2:13">
      <c r="B11" s="35" t="s">
        <v>35</v>
      </c>
      <c r="C11" s="35" t="s">
        <v>404</v>
      </c>
    </row>
    <row r="13" spans="2:13">
      <c r="L13" s="35" t="s">
        <v>405</v>
      </c>
    </row>
    <row r="15" spans="2:13">
      <c r="L15" s="35" t="s">
        <v>91</v>
      </c>
    </row>
    <row r="16" spans="2:13">
      <c r="L16" s="56">
        <v>1</v>
      </c>
      <c r="M16" s="35" t="s">
        <v>89</v>
      </c>
    </row>
    <row r="17" spans="12:13">
      <c r="L17" s="56">
        <v>2</v>
      </c>
      <c r="M17" s="35" t="s">
        <v>90</v>
      </c>
    </row>
    <row r="18" spans="12:13">
      <c r="L18" s="56">
        <v>3</v>
      </c>
      <c r="M18" s="35" t="s">
        <v>194</v>
      </c>
    </row>
    <row r="19" spans="12:13">
      <c r="L19" s="56"/>
    </row>
    <row r="20" spans="12:13">
      <c r="L20" s="35" t="s">
        <v>406</v>
      </c>
    </row>
    <row r="22" spans="12:13">
      <c r="L22" s="35" t="s">
        <v>231</v>
      </c>
    </row>
    <row r="24" spans="12:13">
      <c r="L24" s="35" t="s">
        <v>165</v>
      </c>
    </row>
    <row r="25" spans="12:13">
      <c r="L25" s="35" t="s">
        <v>232</v>
      </c>
    </row>
    <row r="26" spans="12:13">
      <c r="L26" s="35" t="s">
        <v>166</v>
      </c>
    </row>
    <row r="28" spans="12:13">
      <c r="L28" s="35" t="s">
        <v>92</v>
      </c>
    </row>
    <row r="30" spans="12:13">
      <c r="L30" s="35" t="s">
        <v>227</v>
      </c>
    </row>
    <row r="31" spans="12:13">
      <c r="L31" s="35" t="s">
        <v>228</v>
      </c>
    </row>
    <row r="33" spans="12:12">
      <c r="L33" s="35" t="s">
        <v>229</v>
      </c>
    </row>
    <row r="34" spans="12:12">
      <c r="L34" s="35" t="s">
        <v>230</v>
      </c>
    </row>
    <row r="59" spans="2:4">
      <c r="B59" s="224"/>
      <c r="C59" s="56"/>
    </row>
    <row r="60" spans="2:4">
      <c r="C60" s="126"/>
    </row>
    <row r="61" spans="2:4">
      <c r="C61" s="126"/>
      <c r="D61" s="225"/>
    </row>
    <row r="67" spans="4:4">
      <c r="D67" s="226"/>
    </row>
  </sheetData>
  <pageMargins left="0.7" right="0.7" top="0.75" bottom="0.75" header="0.3" footer="0.3"/>
  <pageSetup orientation="portrait"/>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AZ198"/>
  <sheetViews>
    <sheetView workbookViewId="0">
      <selection activeCell="D5" sqref="D5"/>
    </sheetView>
  </sheetViews>
  <sheetFormatPr baseColWidth="10" defaultColWidth="8.83203125" defaultRowHeight="15" x14ac:dyDescent="0"/>
  <cols>
    <col min="1" max="1" width="8.83203125" style="35" customWidth="1"/>
    <col min="2" max="2" width="76.1640625" bestFit="1" customWidth="1"/>
    <col min="3" max="3" width="22.6640625" bestFit="1" customWidth="1"/>
    <col min="4" max="4" width="12.6640625" customWidth="1"/>
    <col min="5" max="5" width="11.1640625" bestFit="1" customWidth="1"/>
    <col min="6" max="6" width="10.6640625" customWidth="1"/>
    <col min="7" max="7" width="11.1640625" bestFit="1" customWidth="1"/>
    <col min="8" max="8" width="10.83203125" customWidth="1"/>
    <col min="9" max="9" width="11" bestFit="1" customWidth="1"/>
    <col min="10" max="10" width="11" style="25" customWidth="1"/>
    <col min="11" max="11" width="14.1640625" style="27" customWidth="1"/>
    <col min="12" max="12" width="16" style="27" customWidth="1"/>
    <col min="13" max="13" width="89.5" bestFit="1" customWidth="1"/>
    <col min="14" max="15" width="8.83203125" style="35"/>
    <col min="16" max="16" width="9.1640625" style="35" bestFit="1" customWidth="1"/>
    <col min="17" max="17" width="9.6640625" style="35" bestFit="1" customWidth="1"/>
    <col min="18" max="18" width="10.1640625" style="35" bestFit="1" customWidth="1"/>
    <col min="19" max="52" width="8.83203125" style="35"/>
  </cols>
  <sheetData>
    <row r="1" spans="1:52">
      <c r="B1" s="36" t="s">
        <v>410</v>
      </c>
      <c r="C1" s="35"/>
      <c r="D1" s="35">
        <v>0</v>
      </c>
      <c r="E1" s="35"/>
      <c r="F1" s="35">
        <v>0</v>
      </c>
      <c r="G1" s="35"/>
      <c r="H1" s="35"/>
      <c r="I1" s="35"/>
      <c r="J1" s="56"/>
      <c r="K1" s="56"/>
      <c r="L1" s="56"/>
      <c r="M1" s="35"/>
      <c r="N1" s="35">
        <v>3</v>
      </c>
    </row>
    <row r="2" spans="1:52">
      <c r="B2" s="156" t="s">
        <v>411</v>
      </c>
      <c r="C2" s="157"/>
      <c r="D2" s="157">
        <v>0</v>
      </c>
      <c r="E2" s="157"/>
      <c r="F2" s="157">
        <v>0</v>
      </c>
      <c r="G2" s="157"/>
      <c r="H2" s="157"/>
      <c r="I2" s="157"/>
      <c r="J2" s="158"/>
      <c r="K2" s="158"/>
      <c r="L2" s="158"/>
      <c r="M2" s="157"/>
      <c r="N2" s="157">
        <v>3</v>
      </c>
      <c r="O2" s="157"/>
      <c r="P2" s="157"/>
    </row>
    <row r="3" spans="1:52">
      <c r="B3" s="157"/>
      <c r="C3" s="157"/>
      <c r="D3" s="157"/>
      <c r="E3" s="157"/>
      <c r="F3" s="157">
        <v>0</v>
      </c>
      <c r="G3" s="157"/>
      <c r="H3" s="157"/>
      <c r="I3" s="157"/>
      <c r="J3" s="158"/>
      <c r="K3" s="158"/>
      <c r="L3" s="158"/>
      <c r="M3" s="157" t="s">
        <v>187</v>
      </c>
      <c r="N3" s="157">
        <v>3</v>
      </c>
      <c r="O3" s="157"/>
      <c r="P3" s="157"/>
      <c r="R3" s="73"/>
    </row>
    <row r="4" spans="1:52">
      <c r="B4" s="157" t="s">
        <v>175</v>
      </c>
      <c r="C4" s="157"/>
      <c r="D4" s="157">
        <v>0</v>
      </c>
      <c r="E4" s="157"/>
      <c r="F4" s="157">
        <v>0</v>
      </c>
      <c r="G4" s="157"/>
      <c r="H4" s="157"/>
      <c r="I4" s="157"/>
      <c r="J4" s="158"/>
      <c r="K4" s="158"/>
      <c r="L4" s="158"/>
      <c r="M4" s="157" t="s">
        <v>303</v>
      </c>
      <c r="N4" s="157">
        <f>IF($N$3=1,Results!D34,IF($N$3=2,Results!C34,Results!E34))</f>
        <v>-2539.0076415363515</v>
      </c>
      <c r="O4" s="157">
        <f>IF($N$3=1,Results!D35,IF($N$3=2,Results!C35,Results!E35))</f>
        <v>752.33535538591013</v>
      </c>
      <c r="P4" s="157">
        <f>IF($N$3=1,Results!D36,IF($N$3=2,Results!C36,Results!E36))</f>
        <v>23827.037857844876</v>
      </c>
      <c r="R4" s="35">
        <v>0</v>
      </c>
      <c r="T4" s="35">
        <v>1</v>
      </c>
    </row>
    <row r="5" spans="1:52">
      <c r="B5" s="35"/>
      <c r="C5" s="35"/>
      <c r="D5" s="35"/>
      <c r="E5" s="35"/>
      <c r="F5" s="35"/>
      <c r="G5" s="35"/>
      <c r="H5" s="35"/>
      <c r="I5" s="35"/>
      <c r="J5" s="56"/>
      <c r="K5" s="56"/>
      <c r="L5" s="56"/>
      <c r="M5" s="35"/>
    </row>
    <row r="6" spans="1:52">
      <c r="B6" s="137" t="s">
        <v>15</v>
      </c>
      <c r="C6" s="162" t="s">
        <v>8</v>
      </c>
      <c r="D6" s="162" t="s">
        <v>174</v>
      </c>
      <c r="E6" s="162" t="s">
        <v>9</v>
      </c>
      <c r="F6" s="162" t="s">
        <v>10</v>
      </c>
      <c r="G6" s="162" t="s">
        <v>11</v>
      </c>
      <c r="H6" s="162" t="s">
        <v>12</v>
      </c>
      <c r="I6" s="162" t="s">
        <v>14</v>
      </c>
      <c r="J6" s="162" t="s">
        <v>173</v>
      </c>
      <c r="K6" s="162" t="s">
        <v>311</v>
      </c>
      <c r="L6" s="162" t="s">
        <v>312</v>
      </c>
      <c r="M6" s="163" t="s">
        <v>94</v>
      </c>
      <c r="R6" s="76" t="s">
        <v>10</v>
      </c>
      <c r="S6" s="76" t="s">
        <v>11</v>
      </c>
      <c r="T6" s="76" t="s">
        <v>174</v>
      </c>
    </row>
    <row r="7" spans="1:52">
      <c r="B7" s="109"/>
      <c r="C7" s="78"/>
      <c r="D7" s="78"/>
      <c r="E7" s="78"/>
      <c r="F7" s="78"/>
      <c r="G7" s="78"/>
      <c r="H7" s="78"/>
      <c r="I7" s="78"/>
      <c r="J7" s="81"/>
      <c r="K7" s="81"/>
      <c r="L7" s="81"/>
      <c r="M7" s="110"/>
    </row>
    <row r="8" spans="1:52">
      <c r="B8" s="139" t="s">
        <v>13</v>
      </c>
      <c r="C8" s="78"/>
      <c r="D8" s="78"/>
      <c r="E8" s="78"/>
      <c r="F8" s="78"/>
      <c r="G8" s="78"/>
      <c r="H8" s="78"/>
      <c r="I8" s="78"/>
      <c r="J8" s="81"/>
      <c r="K8" s="81"/>
      <c r="L8" s="81"/>
      <c r="M8" s="110"/>
    </row>
    <row r="9" spans="1:52">
      <c r="B9" s="109"/>
      <c r="C9" s="78"/>
      <c r="D9" s="78"/>
      <c r="E9" s="78"/>
      <c r="F9" s="78"/>
      <c r="G9" s="78"/>
      <c r="H9" s="78"/>
      <c r="I9" s="78"/>
      <c r="J9" s="81"/>
      <c r="K9" s="81"/>
      <c r="L9" s="81"/>
      <c r="M9" s="110"/>
    </row>
    <row r="10" spans="1:52">
      <c r="B10" s="109" t="s">
        <v>313</v>
      </c>
      <c r="C10" s="81" t="s">
        <v>323</v>
      </c>
      <c r="D10" s="164">
        <f>IF($D$4=0,E10,J10)</f>
        <v>4.4999999999999999E-4</v>
      </c>
      <c r="E10" s="165">
        <f>0.15*0.003</f>
        <v>4.4999999999999999E-4</v>
      </c>
      <c r="F10" s="165">
        <f>E10-(E10*0.33)</f>
        <v>3.0150000000000001E-4</v>
      </c>
      <c r="G10" s="165">
        <f>E10+(E10*0.33)</f>
        <v>5.9849999999999997E-4</v>
      </c>
      <c r="H10" s="166">
        <f>ABS((G10-F10)/3.92)</f>
        <v>7.5765306122448968E-5</v>
      </c>
      <c r="I10" s="81" t="s">
        <v>20</v>
      </c>
      <c r="J10" s="81">
        <f ca="1">_xlfn.BETA.INV(RAND(), K10, L10)</f>
        <v>4.1574198466571178E-4</v>
      </c>
      <c r="K10" s="81">
        <f>E10*((E10*(1-E10)/H10^2)-1)</f>
        <v>35.260075987144177</v>
      </c>
      <c r="L10" s="81">
        <f>(K10/E10)-K10</f>
        <v>78320.464339888815</v>
      </c>
      <c r="M10" s="147" t="s">
        <v>17</v>
      </c>
      <c r="R10" s="159">
        <v>3.0150000000000001E-4</v>
      </c>
      <c r="S10" s="159">
        <v>5.9849999999999997E-4</v>
      </c>
      <c r="T10" s="35">
        <f>IF($D$4=0,E10,J10)</f>
        <v>4.4999999999999999E-4</v>
      </c>
    </row>
    <row r="11" spans="1:52">
      <c r="B11" s="167" t="s">
        <v>314</v>
      </c>
      <c r="C11" s="168" t="s">
        <v>328</v>
      </c>
      <c r="D11" s="169">
        <f>IF($D$4=0,E11,J11)</f>
        <v>0.36000000000000004</v>
      </c>
      <c r="E11" s="170">
        <f>0.4*0.9</f>
        <v>0.36000000000000004</v>
      </c>
      <c r="F11" s="170">
        <f>E11-(E11*0.33)</f>
        <v>0.24120000000000003</v>
      </c>
      <c r="G11" s="170">
        <f>E11+(E11*0.33)</f>
        <v>0.47880000000000006</v>
      </c>
      <c r="H11" s="171">
        <f t="shared" ref="H11:H25" si="0">ABS((G11-F11)/3.92)</f>
        <v>6.0612244897959196E-2</v>
      </c>
      <c r="I11" s="168" t="s">
        <v>167</v>
      </c>
      <c r="J11" s="168">
        <f ca="1">L11/SUM($L$11:$L$13)</f>
        <v>0.35974862741040137</v>
      </c>
      <c r="K11" s="168">
        <f>popsize*E11+1</f>
        <v>1747636.1401869161</v>
      </c>
      <c r="L11" s="168">
        <f ca="1">IF(K11&lt;340,_xlfn.GAMMA.INV(RAND(),K11,1),_xlfn.NORM.INV(RAND(),K11,SQRT(K11)))</f>
        <v>1746847.9143101538</v>
      </c>
      <c r="M11" s="172" t="s">
        <v>378</v>
      </c>
      <c r="R11" s="159">
        <v>0.24120000000000003</v>
      </c>
      <c r="S11" s="159">
        <v>0.47880000000000006</v>
      </c>
      <c r="T11" s="35">
        <f>IF($D$4=0,E11,J11)</f>
        <v>0.36000000000000004</v>
      </c>
    </row>
    <row r="12" spans="1:52">
      <c r="B12" s="167" t="s">
        <v>18</v>
      </c>
      <c r="C12" s="168" t="s">
        <v>324</v>
      </c>
      <c r="D12" s="169">
        <f>IF($D$4=0,E12,J12)</f>
        <v>0.01</v>
      </c>
      <c r="E12" s="170">
        <v>0.01</v>
      </c>
      <c r="F12" s="170">
        <v>5.0000000000000001E-3</v>
      </c>
      <c r="G12" s="170">
        <v>0.02</v>
      </c>
      <c r="H12" s="171">
        <f t="shared" si="0"/>
        <v>3.8265306122448979E-3</v>
      </c>
      <c r="I12" s="168" t="s">
        <v>167</v>
      </c>
      <c r="J12" s="168">
        <f ca="1">L12/SUM($L$11:$L$13)</f>
        <v>1.0033546465176572E-2</v>
      </c>
      <c r="K12" s="168">
        <f>popsize*E12+1</f>
        <v>48546.420560747669</v>
      </c>
      <c r="L12" s="168">
        <f ca="1">IF(K12&lt;340,_xlfn.GAMMA.INV(RAND(),K12,1),_xlfn.NORM.INV(RAND(),K12,SQRT(K12)))</f>
        <v>48720.351880127702</v>
      </c>
      <c r="M12" s="172" t="s">
        <v>19</v>
      </c>
      <c r="R12" s="159">
        <v>5.0000000000000001E-3</v>
      </c>
      <c r="S12" s="159">
        <v>0.02</v>
      </c>
      <c r="T12" s="35">
        <f>IF($D$4=0,E12,J12)</f>
        <v>0.01</v>
      </c>
    </row>
    <row r="13" spans="1:52">
      <c r="B13" s="167" t="s">
        <v>306</v>
      </c>
      <c r="C13" s="168" t="s">
        <v>354</v>
      </c>
      <c r="D13" s="169">
        <f>IF($D$4=0,E13,J13)</f>
        <v>0.62999999999999989</v>
      </c>
      <c r="E13" s="170">
        <f>1-SUM(E11:E12)</f>
        <v>0.62999999999999989</v>
      </c>
      <c r="F13" s="170"/>
      <c r="G13" s="170"/>
      <c r="H13" s="171"/>
      <c r="I13" s="168" t="s">
        <v>167</v>
      </c>
      <c r="J13" s="168">
        <f ca="1">L13/SUM($L$11:$L$13)</f>
        <v>0.63021782612442201</v>
      </c>
      <c r="K13" s="168">
        <f>popsize*E13+1</f>
        <v>3058362.4953271025</v>
      </c>
      <c r="L13" s="168">
        <f ca="1">IF(K13&lt;340,_xlfn.GAMMA.INV(RAND(),K13,1),_xlfn.NORM.INV(RAND(),K13,SQRT(K13)))</f>
        <v>3060177.6108255298</v>
      </c>
      <c r="M13" s="172" t="s">
        <v>309</v>
      </c>
      <c r="R13" s="159"/>
      <c r="S13" s="159"/>
      <c r="T13" s="35">
        <f>IF($D$4=0,E13,J13)</f>
        <v>0.62999999999999989</v>
      </c>
    </row>
    <row r="14" spans="1:52">
      <c r="B14" s="173" t="s">
        <v>310</v>
      </c>
      <c r="C14" s="168"/>
      <c r="D14" s="174">
        <f>SUM(D11:D13)</f>
        <v>1</v>
      </c>
      <c r="E14" s="175">
        <f>SUM(E11:E13)</f>
        <v>1</v>
      </c>
      <c r="F14" s="170"/>
      <c r="G14" s="170"/>
      <c r="H14" s="171"/>
      <c r="I14" s="168"/>
      <c r="J14" s="174">
        <f ca="1">SUM(J11:J13)</f>
        <v>1</v>
      </c>
      <c r="K14" s="168"/>
      <c r="L14" s="168"/>
      <c r="M14" s="172"/>
      <c r="R14" s="159"/>
      <c r="S14" s="159"/>
      <c r="T14" s="159">
        <f>SUM(D11:D13)</f>
        <v>1</v>
      </c>
    </row>
    <row r="15" spans="1:52" s="32" customFormat="1">
      <c r="A15" s="35"/>
      <c r="B15" s="109" t="s">
        <v>362</v>
      </c>
      <c r="C15" s="81" t="s">
        <v>325</v>
      </c>
      <c r="D15" s="164">
        <f>IF($D$4=0,E15,J15)</f>
        <v>0.11249999999999999</v>
      </c>
      <c r="E15" s="165">
        <f>0.15*0.75</f>
        <v>0.11249999999999999</v>
      </c>
      <c r="F15" s="165">
        <f>E15-(E15*0.33)</f>
        <v>7.5374999999999998E-2</v>
      </c>
      <c r="G15" s="165">
        <f>E15+(E15*0.33)</f>
        <v>0.14962499999999998</v>
      </c>
      <c r="H15" s="166">
        <f>ABS((G15-F15)/3.92)</f>
        <v>1.894132653061224E-2</v>
      </c>
      <c r="I15" s="81" t="s">
        <v>20</v>
      </c>
      <c r="J15" s="81">
        <f ca="1">_xlfn.BETA.INV(RAND(), K15, L15)</f>
        <v>9.8433809132075403E-2</v>
      </c>
      <c r="K15" s="81">
        <f>E15*((E15*(1-E15)/H15^2)-1)</f>
        <v>31.195305325987153</v>
      </c>
      <c r="L15" s="81">
        <f>(K15/E15)-K15</f>
        <v>246.09629757167644</v>
      </c>
      <c r="M15" s="147" t="s">
        <v>380</v>
      </c>
      <c r="N15" s="35"/>
      <c r="O15" s="35"/>
      <c r="P15" s="35"/>
      <c r="Q15" s="35"/>
      <c r="R15" s="159">
        <v>7.5374999999999998E-2</v>
      </c>
      <c r="S15" s="159">
        <v>0.14962499999999998</v>
      </c>
      <c r="T15" s="35">
        <f>IF($D$4=0,E15,J15)</f>
        <v>0.11249999999999999</v>
      </c>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35"/>
      <c r="AS15" s="35"/>
      <c r="AT15" s="35"/>
      <c r="AU15" s="35"/>
      <c r="AV15" s="35"/>
      <c r="AW15" s="35"/>
      <c r="AX15" s="35"/>
      <c r="AY15" s="35"/>
      <c r="AZ15" s="35"/>
    </row>
    <row r="16" spans="1:52">
      <c r="B16" s="176" t="s">
        <v>308</v>
      </c>
      <c r="C16" s="177" t="s">
        <v>326</v>
      </c>
      <c r="D16" s="178">
        <f>IF($D$4=0,E16,J16)</f>
        <v>0.02</v>
      </c>
      <c r="E16" s="179">
        <f>E12*2</f>
        <v>0.02</v>
      </c>
      <c r="F16" s="179">
        <f>F12*2</f>
        <v>0.01</v>
      </c>
      <c r="G16" s="179">
        <f>G12*2</f>
        <v>0.04</v>
      </c>
      <c r="H16" s="180">
        <f t="shared" si="0"/>
        <v>7.6530612244897957E-3</v>
      </c>
      <c r="I16" s="177" t="s">
        <v>167</v>
      </c>
      <c r="J16" s="177">
        <f ca="1">L16/SUM($L$16:$L$18)</f>
        <v>1.9554017941971764E-2</v>
      </c>
      <c r="K16" s="177">
        <f>(popsize*rfprv*E16)+1</f>
        <v>1662.5489500400122</v>
      </c>
      <c r="L16" s="177">
        <f ca="1">IF(K16&lt;340,_xlfn.GAMMA.INV(RAND(),K16,1),_xlfn.NORM.INV(RAND(),K16,SQRT(K16)))</f>
        <v>1621.185786526529</v>
      </c>
      <c r="M16" s="181" t="s">
        <v>67</v>
      </c>
      <c r="R16" s="159">
        <v>0.01</v>
      </c>
      <c r="S16" s="159">
        <v>0.04</v>
      </c>
      <c r="T16" s="35">
        <f>IF($D$4=0,E16,J16)</f>
        <v>0.02</v>
      </c>
    </row>
    <row r="17" spans="1:20">
      <c r="A17" s="155"/>
      <c r="B17" s="176" t="s">
        <v>315</v>
      </c>
      <c r="C17" s="177" t="s">
        <v>327</v>
      </c>
      <c r="D17" s="178">
        <f>IF($D$4=0,E17,J17)</f>
        <v>0.72000000000000008</v>
      </c>
      <c r="E17" s="179">
        <f>0.8*0.9</f>
        <v>0.72000000000000008</v>
      </c>
      <c r="F17" s="179">
        <f>E17-(0.33*E17)</f>
        <v>0.48240000000000005</v>
      </c>
      <c r="G17" s="179">
        <f>E17+(0.33*E17)</f>
        <v>0.95760000000000012</v>
      </c>
      <c r="H17" s="180">
        <f t="shared" si="0"/>
        <v>0.12122448979591839</v>
      </c>
      <c r="I17" s="177" t="s">
        <v>167</v>
      </c>
      <c r="J17" s="177">
        <f ca="1">L17/SUM($L$16:$L$18)</f>
        <v>0.71927547202567987</v>
      </c>
      <c r="K17" s="177">
        <f>(popsize*rfprv*E17)+1</f>
        <v>59816.762201440441</v>
      </c>
      <c r="L17" s="177">
        <f ca="1">IF(K17&lt;340,_xlfn.GAMMA.INV(RAND(),K17,1),_xlfn.NORM.INV(RAND(),K17,SQRT(K17)))</f>
        <v>59633.737439826065</v>
      </c>
      <c r="M17" s="181" t="s">
        <v>379</v>
      </c>
      <c r="R17" s="159">
        <v>0.48240000000000005</v>
      </c>
      <c r="S17" s="159">
        <v>0.95760000000000012</v>
      </c>
      <c r="T17" s="35">
        <f>IF($D$4=0,E17,J17)</f>
        <v>0.72000000000000008</v>
      </c>
    </row>
    <row r="18" spans="1:20">
      <c r="A18" s="155"/>
      <c r="B18" s="176" t="s">
        <v>307</v>
      </c>
      <c r="C18" s="177" t="s">
        <v>329</v>
      </c>
      <c r="D18" s="178">
        <f>IF($D$4=0,E18,J18)</f>
        <v>0.2599999999999999</v>
      </c>
      <c r="E18" s="179">
        <f>1-SUM(E16:E17)</f>
        <v>0.2599999999999999</v>
      </c>
      <c r="F18" s="179"/>
      <c r="G18" s="179"/>
      <c r="H18" s="180"/>
      <c r="I18" s="177" t="s">
        <v>167</v>
      </c>
      <c r="J18" s="177">
        <f ca="1">L18/SUM($L$16:$L$18)</f>
        <v>0.26117051003234837</v>
      </c>
      <c r="K18" s="177">
        <f>(popsize*rfprv*E18)+1</f>
        <v>21601.136350520148</v>
      </c>
      <c r="L18" s="177">
        <f ca="1">IF(K18&lt;340,_xlfn.GAMMA.INV(RAND(),K18,1),_xlfn.NORM.INV(RAND(),K18,SQRT(K18)))</f>
        <v>21653.141568184146</v>
      </c>
      <c r="M18" s="181" t="s">
        <v>309</v>
      </c>
      <c r="R18" s="159"/>
      <c r="S18" s="159"/>
      <c r="T18" s="35">
        <f>IF($D$4=0,E18,J18)</f>
        <v>0.2599999999999999</v>
      </c>
    </row>
    <row r="19" spans="1:20">
      <c r="A19" s="155"/>
      <c r="B19" s="182" t="s">
        <v>310</v>
      </c>
      <c r="C19" s="177"/>
      <c r="D19" s="183">
        <f>SUM(D16:D18)</f>
        <v>1</v>
      </c>
      <c r="E19" s="184">
        <f>SUM(E16:E18)</f>
        <v>1</v>
      </c>
      <c r="F19" s="179"/>
      <c r="G19" s="179"/>
      <c r="H19" s="180"/>
      <c r="I19" s="177"/>
      <c r="J19" s="183">
        <f ca="1">SUM(J16:J18)</f>
        <v>1</v>
      </c>
      <c r="K19" s="177"/>
      <c r="L19" s="177"/>
      <c r="M19" s="181"/>
      <c r="R19" s="159"/>
      <c r="S19" s="159"/>
      <c r="T19" s="159">
        <f>SUM(D16:D18)</f>
        <v>1</v>
      </c>
    </row>
    <row r="20" spans="1:20">
      <c r="A20" s="155"/>
      <c r="B20" s="185" t="s">
        <v>318</v>
      </c>
      <c r="C20" s="186" t="s">
        <v>330</v>
      </c>
      <c r="D20" s="187">
        <f>IF($D$4=0,E20,J20)</f>
        <v>8.0231034247650879E-3</v>
      </c>
      <c r="E20" s="188">
        <f>1-(1-0.41)^(1/'Other parameters'!G16)</f>
        <v>8.0231034247650879E-3</v>
      </c>
      <c r="F20" s="188">
        <f>E20-(0.33*E20)</f>
        <v>5.3754792945926088E-3</v>
      </c>
      <c r="G20" s="188">
        <f>E20+(0.33*E20)</f>
        <v>1.0670727554937566E-2</v>
      </c>
      <c r="H20" s="189">
        <f t="shared" si="0"/>
        <v>1.3508286378431014E-3</v>
      </c>
      <c r="I20" s="186" t="s">
        <v>167</v>
      </c>
      <c r="J20" s="186">
        <f ca="1">L20/SUM($L$20:$L$22)</f>
        <v>7.5241999681407842E-3</v>
      </c>
      <c r="K20" s="186">
        <f>(popsize*rhdprv*E20)+1</f>
        <v>390.48492995759614</v>
      </c>
      <c r="L20" s="186">
        <f ca="1">IF(K20&lt;340,_xlfn.GAMMA.INV(RAND(),K20,1),_xlfn.NORM.INV(RAND(),K20,SQRT(K20)))</f>
        <v>365.25149550683778</v>
      </c>
      <c r="M20" s="190" t="s">
        <v>364</v>
      </c>
      <c r="R20" s="159">
        <v>5.3754792945926088E-3</v>
      </c>
      <c r="S20" s="159">
        <v>1.0670727554937566E-2</v>
      </c>
      <c r="T20" s="35">
        <f>IF($D$4=0,E20,J20)</f>
        <v>8.0231034247650879E-3</v>
      </c>
    </row>
    <row r="21" spans="1:20">
      <c r="A21" s="155"/>
      <c r="B21" s="185" t="s">
        <v>319</v>
      </c>
      <c r="C21" s="186" t="s">
        <v>331</v>
      </c>
      <c r="D21" s="187">
        <f>IF($D$4=0,E21,J21)</f>
        <v>3.0057740360666108E-3</v>
      </c>
      <c r="E21" s="188">
        <f>1-(1-0.1)^(1/'Other parameters'!G23)</f>
        <v>3.0057740360666108E-3</v>
      </c>
      <c r="F21" s="188">
        <f>E21-(0.33*E21)</f>
        <v>2.0138686041646292E-3</v>
      </c>
      <c r="G21" s="188">
        <f>E21+(0.33*E21)</f>
        <v>3.9976794679685923E-3</v>
      </c>
      <c r="H21" s="189">
        <f>ABS((G21-F21)/3.92)</f>
        <v>5.0607419994999061E-4</v>
      </c>
      <c r="I21" s="186" t="s">
        <v>167</v>
      </c>
      <c r="J21" s="186">
        <f t="shared" ref="J21:J22" ca="1" si="1">L21/SUM($L$20:$L$22)</f>
        <v>2.8392262499193012E-3</v>
      </c>
      <c r="K21" s="186">
        <f>(popsize*rhdprv*E21)+1</f>
        <v>146.91656469142956</v>
      </c>
      <c r="L21" s="186">
        <f ca="1">IF(K21&lt;340,_xlfn.GAMMA.INV(RAND(),K21,1),_xlfn.NORM.INV(RAND(),K21,SQRT(K21)))</f>
        <v>137.82616600520043</v>
      </c>
      <c r="M21" s="190" t="s">
        <v>365</v>
      </c>
      <c r="R21" s="159">
        <v>2.0138686041646292E-3</v>
      </c>
      <c r="S21" s="159">
        <v>3.9976794679685923E-3</v>
      </c>
      <c r="T21" s="35">
        <f>IF($D$4=0,E21,J21)</f>
        <v>3.0057740360666108E-3</v>
      </c>
    </row>
    <row r="22" spans="1:20">
      <c r="A22" s="155"/>
      <c r="B22" s="185" t="s">
        <v>320</v>
      </c>
      <c r="C22" s="191" t="s">
        <v>332</v>
      </c>
      <c r="D22" s="187">
        <f>IF($D$4=0,E22,J22)</f>
        <v>0.9889711225391683</v>
      </c>
      <c r="E22" s="188">
        <f>1-SUM(E20:E21)</f>
        <v>0.9889711225391683</v>
      </c>
      <c r="F22" s="188"/>
      <c r="G22" s="188"/>
      <c r="H22" s="189"/>
      <c r="I22" s="186" t="s">
        <v>167</v>
      </c>
      <c r="J22" s="186">
        <f t="shared" ca="1" si="1"/>
        <v>0.98963657378193981</v>
      </c>
      <c r="K22" s="186">
        <f>(popsize*rhdprv*E22)+1</f>
        <v>48011.019066098641</v>
      </c>
      <c r="L22" s="186">
        <f ca="1">IF(K22&lt;340,_xlfn.GAMMA.INV(RAND(),K22,1),_xlfn.NORM.INV(RAND(),K22,SQRT(K22)))</f>
        <v>48040.488040276548</v>
      </c>
      <c r="M22" s="190" t="s">
        <v>309</v>
      </c>
      <c r="R22" s="159"/>
      <c r="S22" s="159"/>
      <c r="T22" s="35">
        <f>IF($D$4=0,E22,J22)</f>
        <v>0.9889711225391683</v>
      </c>
    </row>
    <row r="23" spans="1:20">
      <c r="A23" s="155"/>
      <c r="B23" s="192" t="s">
        <v>310</v>
      </c>
      <c r="C23" s="193"/>
      <c r="D23" s="193">
        <f>SUM(D20:D22)</f>
        <v>1</v>
      </c>
      <c r="E23" s="194">
        <f>SUM(E20:E22)</f>
        <v>1</v>
      </c>
      <c r="F23" s="195"/>
      <c r="G23" s="195"/>
      <c r="H23" s="196"/>
      <c r="I23" s="193"/>
      <c r="J23" s="193">
        <f ca="1">SUM(J20:J22)</f>
        <v>0.99999999999999989</v>
      </c>
      <c r="K23" s="186"/>
      <c r="L23" s="186"/>
      <c r="M23" s="190"/>
      <c r="R23" s="159"/>
      <c r="S23" s="159"/>
      <c r="T23" s="159">
        <f>SUM(D20:D22)</f>
        <v>1</v>
      </c>
    </row>
    <row r="24" spans="1:20">
      <c r="A24" s="155"/>
      <c r="B24" s="197" t="s">
        <v>333</v>
      </c>
      <c r="C24" s="198" t="s">
        <v>334</v>
      </c>
      <c r="D24" s="199">
        <f>IF($D$4=0,E24,J24)</f>
        <v>0</v>
      </c>
      <c r="E24" s="200">
        <v>0</v>
      </c>
      <c r="F24" s="200">
        <f>E24-(0.33*E24)</f>
        <v>0</v>
      </c>
      <c r="G24" s="200">
        <f>E24+(0.33*E24)</f>
        <v>0</v>
      </c>
      <c r="H24" s="201">
        <f t="shared" si="0"/>
        <v>0</v>
      </c>
      <c r="I24" s="198" t="s">
        <v>167</v>
      </c>
      <c r="J24" s="198">
        <f ca="1">L24/SUM($L$24:$L$26)</f>
        <v>1.4547924684367389E-5</v>
      </c>
      <c r="K24" s="198">
        <f>popsize*rhdprv*rhdsrg*E24+1</f>
        <v>1</v>
      </c>
      <c r="L24" s="198">
        <f ca="1">IF(K24&lt;340,_xlfn.GAMMA.INV(RAND(),K24,1),_xlfn.NORM.INV(RAND(),K24,SQRT(K24)))</f>
        <v>0.29128812015178168</v>
      </c>
      <c r="M24" s="202" t="s">
        <v>363</v>
      </c>
      <c r="R24" s="159">
        <v>0</v>
      </c>
      <c r="S24" s="159">
        <v>0</v>
      </c>
      <c r="T24" s="35">
        <f>IF($D$4=0,E24,J24)</f>
        <v>0</v>
      </c>
    </row>
    <row r="25" spans="1:20">
      <c r="A25" s="155"/>
      <c r="B25" s="197" t="s">
        <v>321</v>
      </c>
      <c r="C25" s="198" t="s">
        <v>335</v>
      </c>
      <c r="D25" s="199">
        <f>IF($D$4=0,E25,J25)</f>
        <v>0.125</v>
      </c>
      <c r="E25" s="200">
        <v>0.125</v>
      </c>
      <c r="F25" s="200">
        <f>E25-(0.3*E25)</f>
        <v>8.7499999999999994E-2</v>
      </c>
      <c r="G25" s="200">
        <f>E25+(0.33*E25)</f>
        <v>0.16625000000000001</v>
      </c>
      <c r="H25" s="201">
        <f t="shared" si="0"/>
        <v>2.0089285714285719E-2</v>
      </c>
      <c r="I25" s="198" t="s">
        <v>167</v>
      </c>
      <c r="J25" s="198">
        <f t="shared" ref="J25:J26" ca="1" si="2">L25/SUM($L$24:$L$26)</f>
        <v>0.12429767569883318</v>
      </c>
      <c r="K25" s="198">
        <f>popsize*rhdprv*rhdsrg*E25+1</f>
        <v>2488.9528037383179</v>
      </c>
      <c r="L25" s="198">
        <f t="shared" ref="L25:L26" ca="1" si="3">IF(K25&lt;340,_xlfn.GAMMA.INV(RAND(),K25,1),_xlfn.NORM.INV(RAND(),K25,SQRT(K25)))</f>
        <v>2488.7698471834187</v>
      </c>
      <c r="M25" s="202" t="s">
        <v>72</v>
      </c>
      <c r="R25" s="159">
        <v>8.7499999999999994E-2</v>
      </c>
      <c r="S25" s="159">
        <v>0.16625000000000001</v>
      </c>
      <c r="T25" s="35">
        <f>IF($D$4=0,E25,J25)</f>
        <v>0.125</v>
      </c>
    </row>
    <row r="26" spans="1:20">
      <c r="A26" s="155"/>
      <c r="B26" s="197" t="s">
        <v>322</v>
      </c>
      <c r="C26" s="203" t="s">
        <v>336</v>
      </c>
      <c r="D26" s="199">
        <f>IF($D$4=0,E26,J26)</f>
        <v>0.875</v>
      </c>
      <c r="E26" s="200">
        <f>1-SUM(E24:E25)</f>
        <v>0.875</v>
      </c>
      <c r="F26" s="200"/>
      <c r="G26" s="200"/>
      <c r="H26" s="201"/>
      <c r="I26" s="198" t="s">
        <v>167</v>
      </c>
      <c r="J26" s="198">
        <f t="shared" ca="1" si="2"/>
        <v>0.87568777637648243</v>
      </c>
      <c r="K26" s="198">
        <f>popsize*rhdprv*rhdsrg*E26+1</f>
        <v>17416.669626168226</v>
      </c>
      <c r="L26" s="198">
        <f t="shared" ca="1" si="3"/>
        <v>17533.596836303066</v>
      </c>
      <c r="M26" s="202" t="s">
        <v>309</v>
      </c>
      <c r="R26" s="159"/>
      <c r="S26" s="159"/>
      <c r="T26" s="35">
        <f>IF($D$4=0,E26,J26)</f>
        <v>0.875</v>
      </c>
    </row>
    <row r="27" spans="1:20">
      <c r="A27" s="155"/>
      <c r="B27" s="204" t="s">
        <v>310</v>
      </c>
      <c r="C27" s="198"/>
      <c r="D27" s="205">
        <f>SUM(D24:D26)</f>
        <v>1</v>
      </c>
      <c r="E27" s="206">
        <f>SUM(E24:E26)</f>
        <v>1</v>
      </c>
      <c r="F27" s="200"/>
      <c r="G27" s="200"/>
      <c r="H27" s="201"/>
      <c r="I27" s="198"/>
      <c r="J27" s="205">
        <f ca="1">SUM(J24:J26)</f>
        <v>1</v>
      </c>
      <c r="K27" s="198"/>
      <c r="L27" s="198"/>
      <c r="M27" s="202"/>
      <c r="R27" s="159"/>
      <c r="S27" s="159"/>
      <c r="T27" s="159">
        <f>SUM(D24:D26)</f>
        <v>1</v>
      </c>
    </row>
    <row r="28" spans="1:20">
      <c r="A28" s="155"/>
      <c r="B28" s="109" t="s">
        <v>316</v>
      </c>
      <c r="C28" s="81" t="s">
        <v>337</v>
      </c>
      <c r="D28" s="164">
        <f>IF($D$4=0,E28,J28)</f>
        <v>0.16700000000000001</v>
      </c>
      <c r="E28" s="165">
        <v>0.16700000000000001</v>
      </c>
      <c r="F28" s="165">
        <v>0.13</v>
      </c>
      <c r="G28" s="165">
        <v>0.19</v>
      </c>
      <c r="H28" s="166">
        <f>ABS((G28-F28)/3.92)</f>
        <v>1.5306122448979591E-2</v>
      </c>
      <c r="I28" s="81" t="s">
        <v>20</v>
      </c>
      <c r="J28" s="81">
        <f ca="1">_xlfn.BETA.INV(RAND(), K28, L28)</f>
        <v>0.16958310391265885</v>
      </c>
      <c r="K28" s="81">
        <f>E28*((E28*(1-E28)/H28^2)-1)</f>
        <v>98.995525043555574</v>
      </c>
      <c r="L28" s="81">
        <f>(K28/E28)-K28</f>
        <v>493.79205006755564</v>
      </c>
      <c r="M28" s="147" t="s">
        <v>71</v>
      </c>
      <c r="R28" s="159">
        <v>0.13</v>
      </c>
      <c r="S28" s="159">
        <v>0.19</v>
      </c>
      <c r="T28" s="35">
        <f>IF($D$4=0,E28,J28)</f>
        <v>0.16700000000000001</v>
      </c>
    </row>
    <row r="29" spans="1:20">
      <c r="B29" s="109"/>
      <c r="C29" s="81"/>
      <c r="D29" s="81"/>
      <c r="E29" s="144"/>
      <c r="F29" s="144"/>
      <c r="G29" s="144"/>
      <c r="H29" s="81"/>
      <c r="I29" s="81"/>
      <c r="J29" s="81"/>
      <c r="K29" s="81"/>
      <c r="L29" s="81"/>
      <c r="M29" s="147"/>
      <c r="R29" s="159"/>
      <c r="S29" s="159"/>
    </row>
    <row r="30" spans="1:20">
      <c r="B30" s="139" t="s">
        <v>55</v>
      </c>
      <c r="C30" s="81"/>
      <c r="D30" s="81"/>
      <c r="E30" s="144"/>
      <c r="F30" s="144"/>
      <c r="G30" s="144"/>
      <c r="H30" s="81"/>
      <c r="I30" s="81"/>
      <c r="J30" s="81"/>
      <c r="K30" s="81"/>
      <c r="L30" s="81"/>
      <c r="M30" s="147"/>
      <c r="R30" s="159"/>
      <c r="S30" s="159"/>
    </row>
    <row r="31" spans="1:20">
      <c r="B31" s="109"/>
      <c r="C31" s="81"/>
      <c r="D31" s="81"/>
      <c r="E31" s="144"/>
      <c r="F31" s="144"/>
      <c r="G31" s="144"/>
      <c r="H31" s="81"/>
      <c r="I31" s="81"/>
      <c r="J31" s="81"/>
      <c r="K31" s="81"/>
      <c r="L31" s="81"/>
      <c r="M31" s="147"/>
      <c r="R31" s="159"/>
      <c r="S31" s="159"/>
    </row>
    <row r="32" spans="1:20">
      <c r="B32" s="109" t="s">
        <v>40</v>
      </c>
      <c r="C32" s="81" t="s">
        <v>42</v>
      </c>
      <c r="D32" s="207">
        <f>IF($D$4=0,E32,J32)</f>
        <v>0.32</v>
      </c>
      <c r="E32" s="208">
        <v>0.32</v>
      </c>
      <c r="F32" s="208">
        <v>0.21</v>
      </c>
      <c r="G32" s="208">
        <v>0.48</v>
      </c>
      <c r="H32" s="84">
        <f>ABS((G32-F32)/3.92)</f>
        <v>6.887755102040817E-2</v>
      </c>
      <c r="I32" s="81" t="s">
        <v>154</v>
      </c>
      <c r="J32" s="81">
        <f ca="1">EXP(_xlfn.NORM.INV(RAND(), K32, L32))</f>
        <v>0.31135852308836548</v>
      </c>
      <c r="K32" s="81">
        <f>LN(E32)</f>
        <v>-1.1394342831883648</v>
      </c>
      <c r="L32" s="81">
        <f>(LN(G32)-LN(F32))/(1.96*2)</f>
        <v>0.21088739111848673</v>
      </c>
      <c r="M32" s="147" t="s">
        <v>355</v>
      </c>
      <c r="R32" s="159">
        <v>0.21</v>
      </c>
      <c r="S32" s="159">
        <v>0.48</v>
      </c>
      <c r="T32" s="35">
        <f>IF($D$4=0,E32,J32)</f>
        <v>0.32</v>
      </c>
    </row>
    <row r="33" spans="2:20">
      <c r="B33" s="109" t="s">
        <v>41</v>
      </c>
      <c r="C33" s="81" t="s">
        <v>43</v>
      </c>
      <c r="D33" s="207">
        <f>IF($D$4=0,E33,J33)</f>
        <v>0.45</v>
      </c>
      <c r="E33" s="208">
        <v>0.45</v>
      </c>
      <c r="F33" s="208">
        <v>0.22</v>
      </c>
      <c r="G33" s="208">
        <v>0.92</v>
      </c>
      <c r="H33" s="84">
        <f>ABS((G33-F33)/3.92)</f>
        <v>0.1785714285714286</v>
      </c>
      <c r="I33" s="81" t="s">
        <v>154</v>
      </c>
      <c r="J33" s="81">
        <f ca="1">EXP(_xlfn.NORM.INV(RAND(), K33, L33))</f>
        <v>0.33832255758785135</v>
      </c>
      <c r="K33" s="81">
        <f>LN(E33)</f>
        <v>-0.79850769621777162</v>
      </c>
      <c r="L33" s="81">
        <f>(LN(G33)-LN(F33))/(1.96*2)</f>
        <v>0.36498625604355217</v>
      </c>
      <c r="M33" s="147" t="s">
        <v>356</v>
      </c>
      <c r="R33" s="159">
        <v>0.22</v>
      </c>
      <c r="S33" s="159">
        <v>0.92</v>
      </c>
      <c r="T33" s="35">
        <f>IF($D$4=0,E33,J33)</f>
        <v>0.45</v>
      </c>
    </row>
    <row r="34" spans="2:20">
      <c r="B34" s="109" t="s">
        <v>377</v>
      </c>
      <c r="C34" s="81" t="s">
        <v>44</v>
      </c>
      <c r="D34" s="207">
        <f>IF($D$4=0,E34,J34)</f>
        <v>0.8</v>
      </c>
      <c r="E34" s="208">
        <v>0.8</v>
      </c>
      <c r="F34" s="208">
        <f>0.8-0.11</f>
        <v>0.69000000000000006</v>
      </c>
      <c r="G34" s="208">
        <f>0.8+0.11</f>
        <v>0.91</v>
      </c>
      <c r="H34" s="84">
        <f>ABS((G34-F34)/3.92)</f>
        <v>5.612244897959183E-2</v>
      </c>
      <c r="I34" s="81" t="s">
        <v>20</v>
      </c>
      <c r="J34" s="81">
        <f ca="1">_xlfn.BETA.INV(RAND(), K34, L34)</f>
        <v>0.73007219364526899</v>
      </c>
      <c r="K34" s="81">
        <f>E34*((E34*(1-E34)/H34^2)-1)</f>
        <v>39.838413223140499</v>
      </c>
      <c r="L34" s="81">
        <f>(K34/E34)-K34</f>
        <v>9.959603305785123</v>
      </c>
      <c r="M34" s="147" t="s">
        <v>357</v>
      </c>
      <c r="R34" s="159">
        <v>0.69000000000000006</v>
      </c>
      <c r="S34" s="159">
        <v>0.91</v>
      </c>
      <c r="T34" s="35">
        <f>IF($D$4=0,E34,J34)</f>
        <v>0.8</v>
      </c>
    </row>
    <row r="35" spans="2:20">
      <c r="B35" s="109"/>
      <c r="C35" s="81"/>
      <c r="D35" s="81"/>
      <c r="E35" s="144"/>
      <c r="F35" s="144"/>
      <c r="G35" s="144"/>
      <c r="H35" s="81"/>
      <c r="I35" s="81"/>
      <c r="J35" s="81"/>
      <c r="K35" s="81"/>
      <c r="L35" s="81"/>
      <c r="M35" s="147"/>
      <c r="R35" s="159"/>
      <c r="S35" s="159"/>
    </row>
    <row r="36" spans="2:20">
      <c r="B36" s="139" t="s">
        <v>26</v>
      </c>
      <c r="C36" s="81"/>
      <c r="D36" s="81"/>
      <c r="E36" s="144"/>
      <c r="F36" s="144"/>
      <c r="G36" s="144"/>
      <c r="H36" s="81"/>
      <c r="I36" s="81"/>
      <c r="J36" s="81"/>
      <c r="K36" s="81"/>
      <c r="L36" s="81"/>
      <c r="M36" s="147"/>
      <c r="R36" s="159"/>
      <c r="S36" s="159"/>
    </row>
    <row r="37" spans="2:20">
      <c r="B37" s="109"/>
      <c r="C37" s="81"/>
      <c r="D37" s="81"/>
      <c r="E37" s="144"/>
      <c r="F37" s="144"/>
      <c r="G37" s="144"/>
      <c r="H37" s="81"/>
      <c r="I37" s="81"/>
      <c r="J37" s="81"/>
      <c r="K37" s="81"/>
      <c r="L37" s="81"/>
      <c r="M37" s="147"/>
      <c r="R37" s="159"/>
      <c r="S37" s="159"/>
    </row>
    <row r="38" spans="2:20">
      <c r="B38" s="109" t="s">
        <v>21</v>
      </c>
      <c r="C38" s="81" t="s">
        <v>45</v>
      </c>
      <c r="D38" s="209">
        <f>IF($D$4=0,E38,J38)</f>
        <v>1490</v>
      </c>
      <c r="E38" s="210">
        <f>1490</f>
        <v>1490</v>
      </c>
      <c r="F38" s="210">
        <f>E38-(0.5*E38)</f>
        <v>745</v>
      </c>
      <c r="G38" s="210">
        <f>E38+(0.5*E38)</f>
        <v>2235</v>
      </c>
      <c r="H38" s="211">
        <f>ABS((G38-F38)/3.92)</f>
        <v>380.10204081632656</v>
      </c>
      <c r="I38" s="81" t="s">
        <v>22</v>
      </c>
      <c r="J38" s="81">
        <f ca="1">_xlfn.GAMMA.INV(RAND(), K38, L38)</f>
        <v>1246.8993497053068</v>
      </c>
      <c r="K38" s="81">
        <f>E38^2/H38^2</f>
        <v>15.366399999999999</v>
      </c>
      <c r="L38" s="81">
        <f>H38^2/E38</f>
        <v>96.964806330695552</v>
      </c>
      <c r="M38" s="147" t="s">
        <v>376</v>
      </c>
      <c r="R38" s="159">
        <v>745</v>
      </c>
      <c r="S38" s="159">
        <v>2235</v>
      </c>
      <c r="T38" s="35">
        <f>IF($D$4=0,E38,J38)</f>
        <v>1490</v>
      </c>
    </row>
    <row r="39" spans="2:20">
      <c r="B39" s="109" t="s">
        <v>79</v>
      </c>
      <c r="C39" s="81" t="s">
        <v>80</v>
      </c>
      <c r="D39" s="209">
        <f>IF($D$4=0,E39,J39)</f>
        <v>288</v>
      </c>
      <c r="E39" s="210">
        <f>24*12</f>
        <v>288</v>
      </c>
      <c r="F39" s="210">
        <f>E39-(0.5*E39)</f>
        <v>144</v>
      </c>
      <c r="G39" s="210">
        <f>E39+(0.5*E39)</f>
        <v>432</v>
      </c>
      <c r="H39" s="211">
        <f>ABS((G39-F39)/3.92)</f>
        <v>73.469387755102048</v>
      </c>
      <c r="I39" s="81" t="s">
        <v>22</v>
      </c>
      <c r="J39" s="81">
        <f ca="1">_xlfn.GAMMA.INV(RAND(), K39, L39)</f>
        <v>274.58580712037474</v>
      </c>
      <c r="K39" s="81">
        <f>E39^2/H39^2</f>
        <v>15.366399999999999</v>
      </c>
      <c r="L39" s="81">
        <f>H39^2/E39</f>
        <v>18.742190753852565</v>
      </c>
      <c r="M39" s="147" t="s">
        <v>375</v>
      </c>
      <c r="R39" s="159">
        <v>144</v>
      </c>
      <c r="S39" s="159">
        <v>432</v>
      </c>
      <c r="T39" s="35">
        <f>IF($D$4=0,E39,J39)</f>
        <v>288</v>
      </c>
    </row>
    <row r="40" spans="2:20">
      <c r="B40" s="109" t="s">
        <v>69</v>
      </c>
      <c r="C40" s="81" t="s">
        <v>50</v>
      </c>
      <c r="D40" s="209">
        <f>IF($D$4=0,E40,J40)</f>
        <v>617.1</v>
      </c>
      <c r="E40" s="210">
        <f>12342/20</f>
        <v>617.1</v>
      </c>
      <c r="F40" s="210">
        <f>E40-(0.5*E40)</f>
        <v>308.55</v>
      </c>
      <c r="G40" s="210">
        <f>E40+(0.5*E40)</f>
        <v>925.65000000000009</v>
      </c>
      <c r="H40" s="211">
        <f>ABS((G40-F40)/3.92)</f>
        <v>157.42346938775515</v>
      </c>
      <c r="I40" s="81" t="s">
        <v>22</v>
      </c>
      <c r="J40" s="81">
        <f ca="1">_xlfn.GAMMA.INV(RAND(), K40, L40)</f>
        <v>886.86251403055462</v>
      </c>
      <c r="K40" s="81">
        <f>E40^2/H40^2</f>
        <v>15.366399999999993</v>
      </c>
      <c r="L40" s="81">
        <f>H40^2/E40</f>
        <v>40.159048313202852</v>
      </c>
      <c r="M40" s="147" t="s">
        <v>373</v>
      </c>
      <c r="R40" s="159">
        <v>308.55</v>
      </c>
      <c r="S40" s="159">
        <v>925.65</v>
      </c>
      <c r="T40" s="35">
        <f>IF($D$4=0,E40,J40)</f>
        <v>617.1</v>
      </c>
    </row>
    <row r="41" spans="2:20">
      <c r="B41" s="109" t="s">
        <v>73</v>
      </c>
      <c r="C41" s="81" t="s">
        <v>46</v>
      </c>
      <c r="D41" s="209">
        <f>IF($D$4=0,E41,J41)</f>
        <v>957.1</v>
      </c>
      <c r="E41" s="210">
        <f>19142/20</f>
        <v>957.1</v>
      </c>
      <c r="F41" s="210">
        <f>E41-(0.5*E41)</f>
        <v>478.55</v>
      </c>
      <c r="G41" s="210">
        <f>E41+(0.5*E41)</f>
        <v>1435.65</v>
      </c>
      <c r="H41" s="211">
        <f>ABS((G41-F41)/3.92)</f>
        <v>244.15816326530617</v>
      </c>
      <c r="I41" s="81" t="s">
        <v>22</v>
      </c>
      <c r="J41" s="81">
        <f ca="1">_xlfn.GAMMA.INV(RAND(), K41, L41)</f>
        <v>1471.3208102252192</v>
      </c>
      <c r="K41" s="81">
        <f>E41^2/H41^2</f>
        <v>15.366399999999993</v>
      </c>
      <c r="L41" s="81">
        <f>H41^2/E41</f>
        <v>62.285245730945469</v>
      </c>
      <c r="M41" s="147" t="s">
        <v>373</v>
      </c>
      <c r="R41" s="159">
        <v>478.55</v>
      </c>
      <c r="S41" s="159">
        <v>1435.65</v>
      </c>
      <c r="T41" s="35">
        <f>IF($D$4=0,E41,J41)</f>
        <v>957.1</v>
      </c>
    </row>
    <row r="42" spans="2:20">
      <c r="B42" s="109" t="s">
        <v>68</v>
      </c>
      <c r="C42" s="81" t="s">
        <v>51</v>
      </c>
      <c r="D42" s="209">
        <f>IF($D$4=0,E42,J42)</f>
        <v>617.1</v>
      </c>
      <c r="E42" s="210">
        <f>12342/20</f>
        <v>617.1</v>
      </c>
      <c r="F42" s="210">
        <f>E42-(0.5*E42)</f>
        <v>308.55</v>
      </c>
      <c r="G42" s="210">
        <f>E42+(0.5*E42)</f>
        <v>925.65000000000009</v>
      </c>
      <c r="H42" s="211">
        <f>ABS((G42-F42)/3.92)</f>
        <v>157.42346938775515</v>
      </c>
      <c r="I42" s="81" t="s">
        <v>22</v>
      </c>
      <c r="J42" s="81">
        <f ca="1">_xlfn.GAMMA.INV(RAND(), K42, L42)</f>
        <v>1191.5836973607682</v>
      </c>
      <c r="K42" s="81">
        <f>E42^2/H42^2</f>
        <v>15.366399999999993</v>
      </c>
      <c r="L42" s="81">
        <f>H42^2/E42</f>
        <v>40.159048313202852</v>
      </c>
      <c r="M42" s="147" t="s">
        <v>374</v>
      </c>
      <c r="R42" s="159">
        <v>308.55</v>
      </c>
      <c r="S42" s="159">
        <v>925.65</v>
      </c>
      <c r="T42" s="35">
        <f>IF($D$4=0,E42,J42)</f>
        <v>617.1</v>
      </c>
    </row>
    <row r="43" spans="2:20">
      <c r="B43" s="109"/>
      <c r="C43" s="81"/>
      <c r="D43" s="81"/>
      <c r="E43" s="144"/>
      <c r="F43" s="144"/>
      <c r="G43" s="144"/>
      <c r="H43" s="81"/>
      <c r="I43" s="81"/>
      <c r="J43" s="81"/>
      <c r="K43" s="81"/>
      <c r="L43" s="81"/>
      <c r="M43" s="147"/>
      <c r="R43" s="159"/>
      <c r="S43" s="159"/>
    </row>
    <row r="44" spans="2:20">
      <c r="B44" s="139" t="s">
        <v>56</v>
      </c>
      <c r="C44" s="81"/>
      <c r="D44" s="81"/>
      <c r="E44" s="144"/>
      <c r="F44" s="144"/>
      <c r="G44" s="144"/>
      <c r="H44" s="81"/>
      <c r="I44" s="81"/>
      <c r="J44" s="81"/>
      <c r="K44" s="81"/>
      <c r="L44" s="81"/>
      <c r="M44" s="147" t="s">
        <v>64</v>
      </c>
      <c r="R44" s="159"/>
      <c r="S44" s="159"/>
    </row>
    <row r="45" spans="2:20">
      <c r="B45" s="139"/>
      <c r="C45" s="81"/>
      <c r="D45" s="81"/>
      <c r="E45" s="144"/>
      <c r="F45" s="144"/>
      <c r="G45" s="144"/>
      <c r="H45" s="81"/>
      <c r="I45" s="81"/>
      <c r="J45" s="81"/>
      <c r="K45" s="81"/>
      <c r="L45" s="81"/>
      <c r="M45" s="147"/>
      <c r="R45" s="159"/>
      <c r="S45" s="159"/>
    </row>
    <row r="46" spans="2:20">
      <c r="B46" s="109" t="s">
        <v>263</v>
      </c>
      <c r="C46" s="81" t="s">
        <v>47</v>
      </c>
      <c r="D46" s="209">
        <f>IF($D$4=0,E46,J46)</f>
        <v>5.4328613201038172</v>
      </c>
      <c r="E46" s="210">
        <f>'Program costs'!G7</f>
        <v>5.4328613201038172</v>
      </c>
      <c r="F46" s="210">
        <f>E46-(0.5*E46)</f>
        <v>2.7164306600519086</v>
      </c>
      <c r="G46" s="210">
        <f>E46+(0.5*E46)</f>
        <v>8.1492919801557253</v>
      </c>
      <c r="H46" s="211">
        <f>ABS((G46-F46)/3.92)</f>
        <v>1.3859340102305655</v>
      </c>
      <c r="I46" s="81" t="s">
        <v>22</v>
      </c>
      <c r="J46" s="81">
        <f ca="1">_xlfn.GAMMA.INV(RAND(), K46, L46)</f>
        <v>5.048570717491228</v>
      </c>
      <c r="K46" s="81">
        <f>E46^2/H46^2</f>
        <v>15.366400000000002</v>
      </c>
      <c r="L46" s="81">
        <f>H46^2/E46</f>
        <v>0.35355459444657283</v>
      </c>
      <c r="M46" s="147" t="s">
        <v>192</v>
      </c>
      <c r="R46" s="159">
        <v>2.72</v>
      </c>
      <c r="S46" s="159">
        <v>8.15</v>
      </c>
      <c r="T46" s="35">
        <f>IF($D$4=0,E46,J46)</f>
        <v>5.4328613201038172</v>
      </c>
    </row>
    <row r="47" spans="2:20">
      <c r="B47" s="109" t="s">
        <v>264</v>
      </c>
      <c r="C47" s="81" t="s">
        <v>48</v>
      </c>
      <c r="D47" s="209">
        <f>IF($D$4=0,E47,J47)</f>
        <v>3308.7127659574476</v>
      </c>
      <c r="E47" s="210">
        <f>'Program costs'!G8</f>
        <v>3308.7127659574476</v>
      </c>
      <c r="F47" s="210">
        <f>E47-(0.5*E47)</f>
        <v>1654.3563829787238</v>
      </c>
      <c r="G47" s="210">
        <f>E47+(0.5*E47)</f>
        <v>4963.0691489361716</v>
      </c>
      <c r="H47" s="211">
        <f>ABS((G47-F47)/3.92)</f>
        <v>844.0593790707776</v>
      </c>
      <c r="I47" s="81" t="s">
        <v>22</v>
      </c>
      <c r="J47" s="81">
        <f ca="1">_xlfn.GAMMA.INV(RAND(), K47, L47)</f>
        <v>2536.1308793284661</v>
      </c>
      <c r="K47" s="81">
        <f>E47^2/H47^2</f>
        <v>15.366399999999993</v>
      </c>
      <c r="L47" s="81">
        <f>H47^2/E47</f>
        <v>215.32127017111679</v>
      </c>
      <c r="M47" s="147" t="s">
        <v>191</v>
      </c>
      <c r="R47" s="159">
        <v>1654.36</v>
      </c>
      <c r="S47" s="159">
        <v>4963.07</v>
      </c>
      <c r="T47" s="35">
        <f>IF($D$4=0,E47,J47)</f>
        <v>3308.7127659574476</v>
      </c>
    </row>
    <row r="48" spans="2:20">
      <c r="B48" s="109" t="s">
        <v>265</v>
      </c>
      <c r="C48" s="81" t="s">
        <v>49</v>
      </c>
      <c r="D48" s="209">
        <f>IF($D$4=0,E48,J48)</f>
        <v>38080.977812543999</v>
      </c>
      <c r="E48" s="210">
        <f>'Program costs'!G9</f>
        <v>38080.977812543999</v>
      </c>
      <c r="F48" s="210">
        <f>E48-(0.5*E48)</f>
        <v>19040.488906271999</v>
      </c>
      <c r="G48" s="210">
        <f>E48+(0.5*E48)</f>
        <v>57121.466718815995</v>
      </c>
      <c r="H48" s="211">
        <f>ABS((G48-F48)/3.92)</f>
        <v>9714.5351562612232</v>
      </c>
      <c r="I48" s="81" t="s">
        <v>22</v>
      </c>
      <c r="J48" s="81">
        <f ca="1">_xlfn.GAMMA.INV(RAND(), K48, L48)</f>
        <v>58542.026154108476</v>
      </c>
      <c r="K48" s="81">
        <f>E48^2/H48^2</f>
        <v>15.366400000000006</v>
      </c>
      <c r="L48" s="81">
        <f>H48^2/E48</f>
        <v>2478.1977439441889</v>
      </c>
      <c r="M48" s="147" t="s">
        <v>63</v>
      </c>
      <c r="R48" s="159">
        <v>19040.490000000002</v>
      </c>
      <c r="S48" s="159">
        <v>57121.47</v>
      </c>
      <c r="T48" s="35">
        <f>IF($D$4=0,E48,J48)</f>
        <v>38080.977812543999</v>
      </c>
    </row>
    <row r="49" spans="2:20">
      <c r="B49" s="109"/>
      <c r="C49" s="81"/>
      <c r="D49" s="209"/>
      <c r="E49" s="210"/>
      <c r="F49" s="210"/>
      <c r="G49" s="210"/>
      <c r="H49" s="211"/>
      <c r="I49" s="81"/>
      <c r="J49" s="81"/>
      <c r="K49" s="81"/>
      <c r="L49" s="81"/>
      <c r="M49" s="147"/>
      <c r="R49" s="159"/>
      <c r="S49" s="159"/>
    </row>
    <row r="50" spans="2:20">
      <c r="B50" s="109" t="s">
        <v>266</v>
      </c>
      <c r="C50" s="81" t="s">
        <v>269</v>
      </c>
      <c r="D50" s="209">
        <f>IF($D$4=0,E50,J50)</f>
        <v>3.6560358018144288</v>
      </c>
      <c r="E50" s="210">
        <f>'Program costs'!H7</f>
        <v>3.6560358018144288</v>
      </c>
      <c r="F50" s="210">
        <f>E50-(0.5*E50)</f>
        <v>1.8280179009072144</v>
      </c>
      <c r="G50" s="210">
        <f>E50+(0.5*E50)</f>
        <v>5.4840537027216429</v>
      </c>
      <c r="H50" s="211">
        <f>ABS((G50-F50)/3.92)</f>
        <v>0.93266219434041542</v>
      </c>
      <c r="I50" s="81" t="s">
        <v>22</v>
      </c>
      <c r="J50" s="81">
        <f ca="1">_xlfn.GAMMA.INV(RAND(), K50, L50)</f>
        <v>3.660731745632011</v>
      </c>
      <c r="K50" s="81">
        <f>E50^2/H50^2</f>
        <v>15.366400000000002</v>
      </c>
      <c r="L50" s="81">
        <f>H50^2/E50</f>
        <v>0.2379240291684733</v>
      </c>
      <c r="M50" s="147"/>
      <c r="R50" s="159">
        <v>1.83</v>
      </c>
      <c r="S50" s="159">
        <v>5.48</v>
      </c>
      <c r="T50" s="35">
        <f>IF($D$4=0,E50,J50)</f>
        <v>3.6560358018144288</v>
      </c>
    </row>
    <row r="51" spans="2:20">
      <c r="B51" s="109" t="s">
        <v>267</v>
      </c>
      <c r="C51" s="81" t="s">
        <v>270</v>
      </c>
      <c r="D51" s="209">
        <f>IF($D$4=0,E51,J51)</f>
        <v>2226.5932475577529</v>
      </c>
      <c r="E51" s="210">
        <f>'Program costs'!H8</f>
        <v>2226.5932475577529</v>
      </c>
      <c r="F51" s="210">
        <f>E51-(0.5*E51)</f>
        <v>1113.2966237788764</v>
      </c>
      <c r="G51" s="210">
        <f>E51+(0.5*E51)</f>
        <v>3339.8898713366293</v>
      </c>
      <c r="H51" s="211">
        <f>ABS((G51-F51)/3.92)</f>
        <v>568.00848151983496</v>
      </c>
      <c r="I51" s="81" t="s">
        <v>22</v>
      </c>
      <c r="J51" s="81">
        <f ca="1">_xlfn.GAMMA.INV(RAND(), K51, L51)</f>
        <v>2367.6515287793532</v>
      </c>
      <c r="K51" s="81">
        <f>E51^2/H51^2</f>
        <v>15.366399999999997</v>
      </c>
      <c r="L51" s="81">
        <f>H51^2/E51</f>
        <v>144.90012283669262</v>
      </c>
      <c r="M51" s="147"/>
      <c r="R51" s="159">
        <v>1113.3</v>
      </c>
      <c r="S51" s="159">
        <v>3339.89</v>
      </c>
      <c r="T51" s="35">
        <f>IF($D$4=0,E51,J51)</f>
        <v>2226.5932475577529</v>
      </c>
    </row>
    <row r="52" spans="2:20">
      <c r="B52" s="109" t="s">
        <v>268</v>
      </c>
      <c r="C52" s="81" t="s">
        <v>271</v>
      </c>
      <c r="D52" s="209">
        <f>IF($D$4=0,E52,J52)</f>
        <v>25626.536376986169</v>
      </c>
      <c r="E52" s="210">
        <f>'Program costs'!H9</f>
        <v>25626.536376986169</v>
      </c>
      <c r="F52" s="210">
        <f>E52-(0.5*E52)</f>
        <v>12813.268188493084</v>
      </c>
      <c r="G52" s="210">
        <f>E52+(0.5*E52)</f>
        <v>38439.804565479251</v>
      </c>
      <c r="H52" s="211">
        <f>ABS((G52-F52)/3.92)</f>
        <v>6537.3817288230011</v>
      </c>
      <c r="I52" s="81" t="s">
        <v>22</v>
      </c>
      <c r="J52" s="81">
        <f ca="1">_xlfn.GAMMA.INV(RAND(), K52, L52)</f>
        <v>36407.363287931803</v>
      </c>
      <c r="K52" s="81">
        <f>E52^2/H52^2</f>
        <v>15.366400000000002</v>
      </c>
      <c r="L52" s="81">
        <f>H52^2/E52</f>
        <v>1667.6994206181123</v>
      </c>
      <c r="M52" s="147"/>
      <c r="R52" s="159">
        <v>12813.27</v>
      </c>
      <c r="S52" s="159">
        <v>38439.800000000003</v>
      </c>
      <c r="T52" s="35">
        <f>IF($D$4=0,E52,J52)</f>
        <v>25626.536376986169</v>
      </c>
    </row>
    <row r="53" spans="2:20">
      <c r="B53" s="109"/>
      <c r="C53" s="81"/>
      <c r="D53" s="81"/>
      <c r="E53" s="144"/>
      <c r="F53" s="144"/>
      <c r="G53" s="144"/>
      <c r="H53" s="211"/>
      <c r="I53" s="81"/>
      <c r="J53" s="81"/>
      <c r="K53" s="81"/>
      <c r="L53" s="81"/>
      <c r="M53" s="147"/>
      <c r="R53" s="159"/>
      <c r="S53" s="159"/>
    </row>
    <row r="54" spans="2:20">
      <c r="B54" s="109" t="s">
        <v>16</v>
      </c>
      <c r="C54" s="81" t="s">
        <v>27</v>
      </c>
      <c r="D54" s="212">
        <f t="shared" ref="D54:D59" si="4">IF($D$4=0,E54,J54)</f>
        <v>0.03</v>
      </c>
      <c r="E54" s="213">
        <v>0.03</v>
      </c>
      <c r="F54" s="213">
        <v>0</v>
      </c>
      <c r="G54" s="213">
        <v>0.06</v>
      </c>
      <c r="H54" s="214" t="s">
        <v>177</v>
      </c>
      <c r="I54" s="81" t="s">
        <v>176</v>
      </c>
      <c r="J54" s="207">
        <f>E54</f>
        <v>0.03</v>
      </c>
      <c r="K54" s="81"/>
      <c r="L54" s="81"/>
      <c r="M54" s="147" t="s">
        <v>93</v>
      </c>
      <c r="R54" s="159">
        <v>0</v>
      </c>
      <c r="S54" s="159">
        <v>0.06</v>
      </c>
      <c r="T54" s="35">
        <f t="shared" ref="T54:T59" si="5">IF($D$4=0,E54,J54)</f>
        <v>0.03</v>
      </c>
    </row>
    <row r="55" spans="2:20">
      <c r="B55" s="109" t="s">
        <v>88</v>
      </c>
      <c r="C55" s="81" t="s">
        <v>86</v>
      </c>
      <c r="D55" s="212">
        <f t="shared" si="4"/>
        <v>0.6</v>
      </c>
      <c r="E55" s="215">
        <f>1-0.4</f>
        <v>0.6</v>
      </c>
      <c r="F55" s="213">
        <f>E55-(0.2*E55)</f>
        <v>0.48</v>
      </c>
      <c r="G55" s="213">
        <f>E55+(0.2*E55)</f>
        <v>0.72</v>
      </c>
      <c r="H55" s="216">
        <f>ABS((G55-F55)/3.92)</f>
        <v>6.1224489795918366E-2</v>
      </c>
      <c r="I55" s="81" t="s">
        <v>20</v>
      </c>
      <c r="J55" s="81">
        <f ca="1">_xlfn.BETA.INV(RAND(), K55, L55)</f>
        <v>0.57878433650308492</v>
      </c>
      <c r="K55" s="81">
        <f>E55*((E55*(1-E55)/H55^2)-1)</f>
        <v>37.816000000000003</v>
      </c>
      <c r="L55" s="81">
        <f>(K55/E55)-K55</f>
        <v>25.210666666666668</v>
      </c>
      <c r="M55" s="147" t="s">
        <v>87</v>
      </c>
      <c r="R55" s="159">
        <v>0.48</v>
      </c>
      <c r="S55" s="159">
        <v>0.72</v>
      </c>
      <c r="T55" s="35">
        <f t="shared" si="5"/>
        <v>0.6</v>
      </c>
    </row>
    <row r="56" spans="2:20">
      <c r="B56" s="109" t="s">
        <v>23</v>
      </c>
      <c r="C56" s="81" t="s">
        <v>52</v>
      </c>
      <c r="D56" s="212">
        <f t="shared" si="4"/>
        <v>5.1013698630136993E-3</v>
      </c>
      <c r="E56" s="213">
        <f>(0.133*(14/365))</f>
        <v>5.1013698630136993E-3</v>
      </c>
      <c r="F56" s="213">
        <f>(0.088*(14/365))</f>
        <v>3.3753424657534245E-3</v>
      </c>
      <c r="G56" s="213">
        <f>(0.19*(14/365))</f>
        <v>7.2876712328767126E-3</v>
      </c>
      <c r="H56" s="216">
        <f>ABS((G56-F56)/3.92)</f>
        <v>9.9804305283757362E-4</v>
      </c>
      <c r="I56" s="81" t="s">
        <v>20</v>
      </c>
      <c r="J56" s="81">
        <f ca="1">_xlfn.BETA.INV(RAND(), K56, L56)</f>
        <v>3.6577526336018921E-3</v>
      </c>
      <c r="K56" s="81">
        <f>E56*((E56*(1-E56)/H56^2)-1)</f>
        <v>25.987748916182071</v>
      </c>
      <c r="L56" s="81">
        <f>(K56/E56)-K56</f>
        <v>5068.2809698842775</v>
      </c>
      <c r="M56" s="147" t="s">
        <v>358</v>
      </c>
      <c r="R56" s="159">
        <v>3.3753424657534245E-3</v>
      </c>
      <c r="S56" s="159">
        <v>7.2876712328767126E-3</v>
      </c>
      <c r="T56" s="35">
        <f t="shared" si="5"/>
        <v>5.1013698630136993E-3</v>
      </c>
    </row>
    <row r="57" spans="2:20">
      <c r="B57" s="109" t="s">
        <v>24</v>
      </c>
      <c r="C57" s="81" t="s">
        <v>28</v>
      </c>
      <c r="D57" s="217">
        <f t="shared" si="4"/>
        <v>4.1000000000000002E-2</v>
      </c>
      <c r="E57" s="218">
        <v>4.1000000000000002E-2</v>
      </c>
      <c r="F57" s="215">
        <v>2.5999999999999999E-2</v>
      </c>
      <c r="G57" s="215">
        <v>6.2E-2</v>
      </c>
      <c r="H57" s="216">
        <f>ABS((G57-F57)/3.92)</f>
        <v>9.1836734693877559E-3</v>
      </c>
      <c r="I57" s="81" t="s">
        <v>20</v>
      </c>
      <c r="J57" s="81">
        <f ca="1">_xlfn.BETA.INV(RAND(), K57, L57)</f>
        <v>3.2471242623410515E-2</v>
      </c>
      <c r="K57" s="81">
        <f>E57*((E57*(1-E57)/H57^2)-1)</f>
        <v>19.073082365432093</v>
      </c>
      <c r="L57" s="81">
        <f>(K57/E57)-K57</f>
        <v>446.12404849876532</v>
      </c>
      <c r="M57" s="147" t="s">
        <v>359</v>
      </c>
      <c r="R57" s="159">
        <v>2.5999999999999999E-2</v>
      </c>
      <c r="S57" s="159">
        <v>6.2E-2</v>
      </c>
      <c r="T57" s="35">
        <f t="shared" si="5"/>
        <v>4.1000000000000002E-2</v>
      </c>
    </row>
    <row r="58" spans="2:20">
      <c r="B58" s="109" t="s">
        <v>25</v>
      </c>
      <c r="C58" s="81" t="s">
        <v>29</v>
      </c>
      <c r="D58" s="217">
        <f t="shared" si="4"/>
        <v>0.17899999999999999</v>
      </c>
      <c r="E58" s="218">
        <v>0.17899999999999999</v>
      </c>
      <c r="F58" s="215">
        <v>0.122</v>
      </c>
      <c r="G58" s="215">
        <v>0.251</v>
      </c>
      <c r="H58" s="216">
        <f>ABS((G58-F58)/3.92)</f>
        <v>3.2908163265306122E-2</v>
      </c>
      <c r="I58" s="81" t="s">
        <v>20</v>
      </c>
      <c r="J58" s="81">
        <f ca="1">_xlfn.BETA.INV(RAND(), K58, L58)</f>
        <v>0.18594290412327308</v>
      </c>
      <c r="K58" s="81">
        <f>E58*((E58*(1-E58)/H58^2)-1)</f>
        <v>24.111806393269628</v>
      </c>
      <c r="L58" s="81">
        <f>(K58/E58)-K58</f>
        <v>110.59102261940987</v>
      </c>
      <c r="M58" s="147" t="s">
        <v>360</v>
      </c>
      <c r="R58" s="159">
        <v>0.122</v>
      </c>
      <c r="S58" s="159">
        <v>0.251</v>
      </c>
      <c r="T58" s="35">
        <f t="shared" si="5"/>
        <v>0.17899999999999999</v>
      </c>
    </row>
    <row r="59" spans="2:20">
      <c r="B59" s="109" t="s">
        <v>70</v>
      </c>
      <c r="C59" s="81" t="s">
        <v>30</v>
      </c>
      <c r="D59" s="217">
        <f t="shared" si="4"/>
        <v>7.0000000000000007E-2</v>
      </c>
      <c r="E59" s="213">
        <v>7.0000000000000007E-2</v>
      </c>
      <c r="F59" s="213">
        <v>4.5999999999999999E-2</v>
      </c>
      <c r="G59" s="213">
        <v>9.9000000000000005E-2</v>
      </c>
      <c r="H59" s="216">
        <f>ABS((G59-F59)/3.92)</f>
        <v>1.3520408163265307E-2</v>
      </c>
      <c r="I59" s="81" t="s">
        <v>20</v>
      </c>
      <c r="J59" s="81">
        <f ca="1">_xlfn.BETA.INV(RAND(), K59, L59)</f>
        <v>8.8718989729133058E-2</v>
      </c>
      <c r="K59" s="81">
        <f>E59*((E59*(1-E59)/H59^2)-1)</f>
        <v>24.858688074047706</v>
      </c>
      <c r="L59" s="81">
        <f>(K59/E59)-K59</f>
        <v>330.26542726949094</v>
      </c>
      <c r="M59" s="219" t="s">
        <v>361</v>
      </c>
      <c r="R59" s="159">
        <v>4.5999999999999999E-2</v>
      </c>
      <c r="S59" s="159">
        <v>9.9000000000000005E-2</v>
      </c>
      <c r="T59" s="35">
        <f t="shared" si="5"/>
        <v>7.0000000000000007E-2</v>
      </c>
    </row>
    <row r="60" spans="2:20">
      <c r="B60" s="109"/>
      <c r="C60" s="78"/>
      <c r="D60" s="78"/>
      <c r="E60" s="146"/>
      <c r="F60" s="146"/>
      <c r="G60" s="146"/>
      <c r="H60" s="78"/>
      <c r="I60" s="78"/>
      <c r="J60" s="81"/>
      <c r="K60" s="81"/>
      <c r="L60" s="81"/>
      <c r="M60" s="147"/>
      <c r="R60" s="159"/>
      <c r="S60" s="159"/>
    </row>
    <row r="61" spans="2:20">
      <c r="B61" s="111" t="s">
        <v>195</v>
      </c>
      <c r="C61" s="81" t="s">
        <v>198</v>
      </c>
      <c r="D61" s="81">
        <f>IF($D$4=0,E61,J61)</f>
        <v>8</v>
      </c>
      <c r="E61" s="144">
        <v>8</v>
      </c>
      <c r="F61" s="208">
        <v>5</v>
      </c>
      <c r="G61" s="208">
        <v>11</v>
      </c>
      <c r="H61" s="84">
        <f>ABS((G61-F61)/3.92)</f>
        <v>1.5306122448979591</v>
      </c>
      <c r="I61" s="220" t="s">
        <v>22</v>
      </c>
      <c r="J61" s="81">
        <f ca="1">_xlfn.GAMMA.INV(RAND(), K61, L61)</f>
        <v>8.1600544320389226</v>
      </c>
      <c r="K61" s="81">
        <f>E61^2/H61^2</f>
        <v>27.31804444444445</v>
      </c>
      <c r="L61" s="81">
        <f>H61^2/E61</f>
        <v>0.29284673052894622</v>
      </c>
      <c r="M61" s="147" t="s">
        <v>274</v>
      </c>
      <c r="R61" s="159">
        <v>5</v>
      </c>
      <c r="S61" s="159">
        <v>11</v>
      </c>
      <c r="T61" s="35">
        <f>IF($D$4=0,E61,J61)</f>
        <v>8</v>
      </c>
    </row>
    <row r="62" spans="2:20">
      <c r="B62" s="111" t="s">
        <v>196</v>
      </c>
      <c r="C62" s="81" t="s">
        <v>199</v>
      </c>
      <c r="D62" s="81">
        <f>IF($D$4=0,E62,J62)</f>
        <v>12</v>
      </c>
      <c r="E62" s="144">
        <v>12</v>
      </c>
      <c r="F62" s="208">
        <v>8</v>
      </c>
      <c r="G62" s="208">
        <v>16</v>
      </c>
      <c r="H62" s="84">
        <f>ABS((G62-F62)/3.92)</f>
        <v>2.0408163265306123</v>
      </c>
      <c r="I62" s="220" t="s">
        <v>22</v>
      </c>
      <c r="J62" s="81">
        <f ca="1">_xlfn.GAMMA.INV(RAND(), K62, L62)</f>
        <v>13.021566946559835</v>
      </c>
      <c r="K62" s="81">
        <f>E62^2/H62^2</f>
        <v>34.574399999999997</v>
      </c>
      <c r="L62" s="81">
        <f>H62^2/E62</f>
        <v>0.34707760655282521</v>
      </c>
      <c r="M62" s="147" t="s">
        <v>275</v>
      </c>
      <c r="R62" s="159">
        <v>8</v>
      </c>
      <c r="S62" s="159">
        <v>16</v>
      </c>
      <c r="T62" s="35">
        <f>IF($D$4=0,E62,J62)</f>
        <v>12</v>
      </c>
    </row>
    <row r="63" spans="2:20">
      <c r="B63" s="116" t="s">
        <v>197</v>
      </c>
      <c r="C63" s="117" t="s">
        <v>200</v>
      </c>
      <c r="D63" s="117">
        <f>IF($D$4=0,E63,J63)</f>
        <v>24</v>
      </c>
      <c r="E63" s="221">
        <v>24</v>
      </c>
      <c r="F63" s="222">
        <v>14</v>
      </c>
      <c r="G63" s="222">
        <v>34</v>
      </c>
      <c r="H63" s="133">
        <f>ABS((G63-F63)/3.92)</f>
        <v>5.1020408163265305</v>
      </c>
      <c r="I63" s="223" t="s">
        <v>22</v>
      </c>
      <c r="J63" s="117">
        <f ca="1">_xlfn.GAMMA.INV(RAND(), K63, L63)</f>
        <v>29.856348294246036</v>
      </c>
      <c r="K63" s="117">
        <f>E63^2/H63^2</f>
        <v>22.127616000000003</v>
      </c>
      <c r="L63" s="117">
        <f>H63^2/E63</f>
        <v>1.0846175204775788</v>
      </c>
      <c r="M63" s="150"/>
      <c r="R63" s="159">
        <v>14</v>
      </c>
      <c r="S63" s="159">
        <v>34</v>
      </c>
      <c r="T63" s="35">
        <f>IF($D$4=0,E63,J63)</f>
        <v>24</v>
      </c>
    </row>
    <row r="64" spans="2:20">
      <c r="B64" s="35"/>
      <c r="C64" s="35"/>
      <c r="D64" s="35"/>
      <c r="E64" s="35"/>
      <c r="F64" s="35"/>
      <c r="G64" s="35"/>
      <c r="H64" s="35"/>
      <c r="I64" s="35"/>
      <c r="J64" s="56"/>
      <c r="K64" s="56"/>
      <c r="L64" s="56"/>
      <c r="M64" s="35"/>
    </row>
    <row r="65" spans="2:13">
      <c r="B65" s="35"/>
      <c r="C65" s="35"/>
      <c r="D65" s="35"/>
      <c r="E65" s="35"/>
      <c r="F65" s="56"/>
      <c r="G65" s="35"/>
      <c r="H65" s="35"/>
      <c r="I65" s="35"/>
      <c r="J65" s="56"/>
      <c r="K65" s="56"/>
      <c r="L65" s="56"/>
      <c r="M65" s="35"/>
    </row>
    <row r="66" spans="2:13">
      <c r="B66" s="35"/>
      <c r="C66" s="35"/>
      <c r="D66" s="35"/>
      <c r="E66" s="35"/>
      <c r="F66" s="35"/>
      <c r="G66" s="35"/>
      <c r="H66" s="35"/>
      <c r="I66" s="35"/>
      <c r="J66" s="56"/>
      <c r="K66" s="56"/>
      <c r="L66" s="56"/>
      <c r="M66" s="35"/>
    </row>
    <row r="67" spans="2:13">
      <c r="B67" s="35"/>
      <c r="C67" s="35"/>
      <c r="D67" s="35"/>
      <c r="E67" s="35"/>
      <c r="F67" s="35"/>
      <c r="G67" s="35"/>
      <c r="H67" s="35"/>
      <c r="I67" s="35"/>
      <c r="J67" s="56"/>
      <c r="K67" s="56"/>
      <c r="L67" s="56"/>
      <c r="M67" s="35"/>
    </row>
    <row r="68" spans="2:13">
      <c r="B68" s="35"/>
      <c r="C68" s="35"/>
      <c r="D68" s="35"/>
      <c r="E68" s="35"/>
      <c r="F68" s="35"/>
      <c r="G68" s="35"/>
      <c r="H68" s="35"/>
      <c r="I68" s="35"/>
      <c r="J68" s="56"/>
      <c r="K68" s="56"/>
      <c r="L68" s="56"/>
      <c r="M68" s="35"/>
    </row>
    <row r="69" spans="2:13">
      <c r="B69" s="35"/>
      <c r="C69" s="35"/>
      <c r="D69" s="35"/>
      <c r="E69" s="35"/>
      <c r="F69" s="35"/>
      <c r="G69" s="35"/>
      <c r="H69" s="35"/>
      <c r="I69" s="35"/>
      <c r="J69" s="56"/>
      <c r="K69" s="56"/>
      <c r="L69" s="56"/>
      <c r="M69" s="35"/>
    </row>
    <row r="70" spans="2:13">
      <c r="B70" s="35"/>
      <c r="C70" s="35"/>
      <c r="D70" s="35"/>
      <c r="E70" s="35"/>
      <c r="F70" s="35"/>
      <c r="G70" s="35"/>
      <c r="H70" s="35"/>
      <c r="I70" s="35"/>
      <c r="J70" s="56"/>
      <c r="K70" s="56"/>
      <c r="L70" s="56"/>
      <c r="M70" s="35"/>
    </row>
    <row r="71" spans="2:13">
      <c r="B71" s="35"/>
      <c r="C71" s="35"/>
      <c r="D71" s="35"/>
      <c r="E71" s="35"/>
      <c r="F71" s="35"/>
      <c r="G71" s="35"/>
      <c r="H71" s="35"/>
      <c r="I71" s="35"/>
      <c r="J71" s="56"/>
      <c r="K71" s="56"/>
      <c r="L71" s="56"/>
      <c r="M71" s="35"/>
    </row>
    <row r="72" spans="2:13">
      <c r="B72" s="35"/>
      <c r="C72" s="35"/>
      <c r="D72" s="35"/>
      <c r="E72" s="35"/>
      <c r="F72" s="35"/>
      <c r="G72" s="35"/>
      <c r="H72" s="35"/>
      <c r="I72" s="35"/>
      <c r="J72" s="56"/>
      <c r="K72" s="56"/>
      <c r="L72" s="56"/>
      <c r="M72" s="35"/>
    </row>
    <row r="73" spans="2:13">
      <c r="B73" s="35"/>
      <c r="C73" s="35"/>
      <c r="D73" s="35"/>
      <c r="E73" s="35"/>
      <c r="F73" s="35"/>
      <c r="G73" s="35"/>
      <c r="H73" s="35"/>
      <c r="I73" s="35"/>
      <c r="J73" s="56"/>
      <c r="K73" s="56"/>
      <c r="L73" s="56"/>
      <c r="M73" s="35"/>
    </row>
    <row r="74" spans="2:13">
      <c r="B74" s="35"/>
      <c r="C74" s="35"/>
      <c r="D74" s="35"/>
      <c r="E74" s="35"/>
      <c r="F74" s="35"/>
      <c r="G74" s="35"/>
      <c r="H74" s="35"/>
      <c r="I74" s="35"/>
      <c r="J74" s="56"/>
      <c r="K74" s="56"/>
      <c r="L74" s="56"/>
      <c r="M74" s="35"/>
    </row>
    <row r="75" spans="2:13">
      <c r="B75" s="35"/>
      <c r="C75" s="35"/>
      <c r="D75" s="35"/>
      <c r="E75" s="35"/>
      <c r="F75" s="35"/>
      <c r="G75" s="35"/>
      <c r="H75" s="35"/>
      <c r="I75" s="35"/>
      <c r="J75" s="56"/>
      <c r="K75" s="56"/>
      <c r="L75" s="56"/>
      <c r="M75" s="35"/>
    </row>
    <row r="76" spans="2:13">
      <c r="B76" s="35"/>
      <c r="C76" s="35"/>
      <c r="D76" s="35"/>
      <c r="E76" s="35"/>
      <c r="F76" s="35"/>
      <c r="G76" s="35"/>
      <c r="H76" s="35"/>
      <c r="I76" s="35"/>
      <c r="J76" s="56"/>
      <c r="K76" s="56"/>
      <c r="L76" s="56"/>
      <c r="M76" s="35"/>
    </row>
    <row r="77" spans="2:13">
      <c r="B77" s="35"/>
      <c r="C77" s="35"/>
      <c r="D77" s="35"/>
      <c r="E77" s="35"/>
      <c r="F77" s="35"/>
      <c r="G77" s="35"/>
      <c r="H77" s="35"/>
      <c r="I77" s="35"/>
      <c r="J77" s="56"/>
      <c r="K77" s="56"/>
      <c r="L77" s="56"/>
      <c r="M77" s="35"/>
    </row>
    <row r="78" spans="2:13">
      <c r="B78" s="35"/>
      <c r="C78" s="35"/>
      <c r="D78" s="35"/>
      <c r="E78" s="35"/>
      <c r="F78" s="35"/>
      <c r="G78" s="35"/>
      <c r="H78" s="35"/>
      <c r="I78" s="35"/>
      <c r="J78" s="56"/>
      <c r="K78" s="56"/>
      <c r="L78" s="56"/>
      <c r="M78" s="35"/>
    </row>
    <row r="79" spans="2:13">
      <c r="B79" s="35"/>
      <c r="C79" s="35"/>
      <c r="D79" s="35"/>
      <c r="E79" s="35"/>
      <c r="F79" s="35"/>
      <c r="G79" s="35"/>
      <c r="H79" s="35"/>
      <c r="I79" s="35"/>
      <c r="J79" s="56"/>
      <c r="K79" s="56"/>
      <c r="L79" s="56"/>
      <c r="M79" s="35"/>
    </row>
    <row r="80" spans="2:13">
      <c r="B80" s="35"/>
      <c r="C80" s="35"/>
      <c r="D80" s="35"/>
      <c r="E80" s="35"/>
      <c r="F80" s="35"/>
      <c r="G80" s="35"/>
      <c r="H80" s="35"/>
      <c r="I80" s="35"/>
      <c r="J80" s="56"/>
      <c r="K80" s="56"/>
      <c r="L80" s="56"/>
      <c r="M80" s="35"/>
    </row>
    <row r="81" spans="2:13">
      <c r="B81" s="35"/>
      <c r="C81" s="35"/>
      <c r="D81" s="35"/>
      <c r="E81" s="35"/>
      <c r="F81" s="35"/>
      <c r="G81" s="35"/>
      <c r="H81" s="35"/>
      <c r="I81" s="35"/>
      <c r="J81" s="56"/>
      <c r="K81" s="56"/>
      <c r="L81" s="56"/>
      <c r="M81" s="35"/>
    </row>
    <row r="82" spans="2:13">
      <c r="B82" s="35"/>
      <c r="C82" s="35"/>
      <c r="D82" s="35"/>
      <c r="E82" s="35"/>
      <c r="F82" s="35"/>
      <c r="G82" s="35"/>
      <c r="H82" s="35"/>
      <c r="I82" s="35"/>
      <c r="J82" s="56"/>
      <c r="K82" s="56"/>
      <c r="L82" s="56"/>
      <c r="M82" s="35"/>
    </row>
    <row r="83" spans="2:13">
      <c r="B83" s="35"/>
      <c r="C83" s="35"/>
      <c r="D83" s="35"/>
      <c r="E83" s="35"/>
      <c r="F83" s="35"/>
      <c r="G83" s="35"/>
      <c r="H83" s="35"/>
      <c r="I83" s="35"/>
      <c r="J83" s="56"/>
      <c r="K83" s="56"/>
      <c r="L83" s="56"/>
      <c r="M83" s="35"/>
    </row>
    <row r="84" spans="2:13">
      <c r="B84" s="35"/>
      <c r="C84" s="35"/>
      <c r="D84" s="35"/>
      <c r="E84" s="35"/>
      <c r="F84" s="35"/>
      <c r="G84" s="35"/>
      <c r="H84" s="35"/>
      <c r="I84" s="35"/>
      <c r="J84" s="56"/>
      <c r="K84" s="56"/>
      <c r="L84" s="56"/>
      <c r="M84" s="35"/>
    </row>
    <row r="85" spans="2:13">
      <c r="B85" s="35"/>
      <c r="C85" s="35"/>
      <c r="D85" s="35"/>
      <c r="E85" s="35"/>
      <c r="F85" s="35"/>
      <c r="G85" s="35"/>
      <c r="H85" s="35"/>
      <c r="I85" s="35"/>
      <c r="J85" s="56"/>
      <c r="K85" s="56"/>
      <c r="L85" s="56"/>
      <c r="M85" s="35"/>
    </row>
    <row r="86" spans="2:13">
      <c r="B86" s="35"/>
      <c r="C86" s="35"/>
      <c r="D86" s="35"/>
      <c r="E86" s="35"/>
      <c r="F86" s="35"/>
      <c r="G86" s="35"/>
      <c r="H86" s="35"/>
      <c r="I86" s="35"/>
      <c r="J86" s="56"/>
      <c r="K86" s="56"/>
      <c r="L86" s="56"/>
      <c r="M86" s="35"/>
    </row>
    <row r="87" spans="2:13">
      <c r="B87" s="35"/>
      <c r="C87" s="35"/>
      <c r="D87" s="35"/>
      <c r="E87" s="35"/>
      <c r="F87" s="35"/>
      <c r="G87" s="35"/>
      <c r="H87" s="35"/>
      <c r="I87" s="35"/>
      <c r="J87" s="56"/>
      <c r="K87" s="56"/>
      <c r="L87" s="56"/>
      <c r="M87" s="35"/>
    </row>
    <row r="88" spans="2:13">
      <c r="B88" s="35"/>
      <c r="C88" s="35"/>
      <c r="D88" s="35"/>
      <c r="E88" s="35"/>
      <c r="F88" s="35"/>
      <c r="G88" s="35"/>
      <c r="H88" s="35"/>
      <c r="I88" s="35"/>
      <c r="J88" s="56"/>
      <c r="K88" s="56"/>
      <c r="L88" s="56"/>
      <c r="M88" s="35"/>
    </row>
    <row r="89" spans="2:13">
      <c r="B89" s="35"/>
      <c r="C89" s="35"/>
      <c r="D89" s="35"/>
      <c r="E89" s="35"/>
      <c r="F89" s="35"/>
      <c r="G89" s="35"/>
      <c r="H89" s="35"/>
      <c r="I89" s="35"/>
      <c r="J89" s="56"/>
      <c r="K89" s="56"/>
      <c r="L89" s="56"/>
      <c r="M89" s="35"/>
    </row>
    <row r="90" spans="2:13">
      <c r="B90" s="35"/>
      <c r="C90" s="35"/>
      <c r="D90" s="35"/>
      <c r="E90" s="35"/>
      <c r="F90" s="35"/>
      <c r="G90" s="35"/>
      <c r="H90" s="35"/>
      <c r="I90" s="35"/>
      <c r="J90" s="56"/>
      <c r="K90" s="56"/>
      <c r="L90" s="56"/>
      <c r="M90" s="35"/>
    </row>
    <row r="91" spans="2:13">
      <c r="B91" s="35"/>
      <c r="C91" s="35"/>
      <c r="D91" s="35"/>
      <c r="E91" s="35"/>
      <c r="F91" s="35"/>
      <c r="G91" s="35"/>
      <c r="H91" s="35"/>
      <c r="I91" s="35"/>
      <c r="J91" s="56"/>
      <c r="K91" s="56"/>
      <c r="L91" s="56"/>
      <c r="M91" s="35"/>
    </row>
    <row r="92" spans="2:13">
      <c r="B92" s="35"/>
      <c r="C92" s="35"/>
      <c r="D92" s="35"/>
      <c r="E92" s="35"/>
      <c r="F92" s="35"/>
      <c r="G92" s="35"/>
      <c r="H92" s="35"/>
      <c r="I92" s="35"/>
      <c r="J92" s="56"/>
      <c r="K92" s="56"/>
      <c r="L92" s="56"/>
      <c r="M92" s="35"/>
    </row>
    <row r="93" spans="2:13">
      <c r="B93" s="35"/>
      <c r="C93" s="35"/>
      <c r="D93" s="35"/>
      <c r="E93" s="35"/>
      <c r="F93" s="35"/>
      <c r="G93" s="35"/>
      <c r="H93" s="35"/>
      <c r="I93" s="35"/>
      <c r="J93" s="56"/>
      <c r="K93" s="56"/>
      <c r="L93" s="56"/>
      <c r="M93" s="35"/>
    </row>
    <row r="94" spans="2:13">
      <c r="B94" s="35"/>
      <c r="C94" s="35"/>
      <c r="D94" s="35"/>
      <c r="E94" s="35"/>
      <c r="F94" s="35"/>
      <c r="G94" s="35"/>
      <c r="H94" s="35"/>
      <c r="I94" s="35"/>
      <c r="J94" s="56"/>
      <c r="K94" s="56"/>
      <c r="L94" s="56"/>
      <c r="M94" s="35"/>
    </row>
    <row r="95" spans="2:13">
      <c r="B95" s="35"/>
      <c r="C95" s="35"/>
      <c r="D95" s="35"/>
      <c r="E95" s="35"/>
      <c r="F95" s="35"/>
      <c r="G95" s="35"/>
      <c r="H95" s="35"/>
      <c r="I95" s="35"/>
      <c r="J95" s="56"/>
      <c r="K95" s="56"/>
      <c r="L95" s="56"/>
      <c r="M95" s="35"/>
    </row>
    <row r="96" spans="2:13">
      <c r="B96" s="35"/>
      <c r="C96" s="35"/>
      <c r="D96" s="35"/>
      <c r="E96" s="35"/>
      <c r="F96" s="35"/>
      <c r="G96" s="35"/>
      <c r="H96" s="35"/>
      <c r="I96" s="35"/>
      <c r="J96" s="56"/>
      <c r="K96" s="56"/>
      <c r="L96" s="56"/>
      <c r="M96" s="35"/>
    </row>
    <row r="97" spans="2:13">
      <c r="B97" s="35"/>
      <c r="C97" s="35"/>
      <c r="D97" s="35"/>
      <c r="E97" s="35"/>
      <c r="F97" s="35"/>
      <c r="G97" s="35"/>
      <c r="H97" s="35"/>
      <c r="I97" s="35"/>
      <c r="J97" s="56"/>
      <c r="K97" s="56"/>
      <c r="L97" s="56"/>
      <c r="M97" s="35"/>
    </row>
    <row r="98" spans="2:13">
      <c r="B98" s="35"/>
      <c r="C98" s="35"/>
      <c r="D98" s="35"/>
      <c r="E98" s="35"/>
      <c r="F98" s="35"/>
      <c r="G98" s="35"/>
      <c r="H98" s="35"/>
      <c r="I98" s="35"/>
      <c r="J98" s="56"/>
      <c r="K98" s="56"/>
      <c r="L98" s="56"/>
      <c r="M98" s="35"/>
    </row>
    <row r="99" spans="2:13">
      <c r="B99" s="160"/>
      <c r="C99" s="35"/>
      <c r="D99" s="35"/>
      <c r="E99" s="35"/>
      <c r="F99" s="35"/>
      <c r="G99" s="35"/>
      <c r="H99" s="35"/>
      <c r="I99" s="35"/>
      <c r="J99" s="56"/>
      <c r="K99" s="56"/>
      <c r="L99" s="56"/>
      <c r="M99" s="35"/>
    </row>
    <row r="100" spans="2:13">
      <c r="B100" s="35"/>
      <c r="C100" s="35"/>
      <c r="D100" s="35"/>
      <c r="E100" s="35"/>
      <c r="F100" s="35"/>
      <c r="G100" s="35"/>
      <c r="H100" s="35"/>
      <c r="I100" s="35"/>
      <c r="J100" s="56"/>
      <c r="K100" s="56"/>
      <c r="L100" s="56"/>
      <c r="M100" s="35"/>
    </row>
    <row r="101" spans="2:13">
      <c r="B101" s="161"/>
      <c r="C101" s="56"/>
      <c r="D101" s="56"/>
      <c r="E101" s="56"/>
      <c r="F101" s="35"/>
      <c r="G101" s="35"/>
      <c r="H101" s="35"/>
      <c r="I101" s="35"/>
      <c r="J101" s="56"/>
      <c r="K101" s="56"/>
      <c r="L101" s="56"/>
      <c r="M101" s="35"/>
    </row>
    <row r="102" spans="2:13">
      <c r="B102" s="35"/>
      <c r="C102" s="56"/>
      <c r="D102" s="56"/>
      <c r="E102" s="56"/>
      <c r="F102" s="35"/>
      <c r="G102" s="35"/>
      <c r="H102" s="35"/>
      <c r="I102" s="35"/>
      <c r="J102" s="56"/>
      <c r="K102" s="56"/>
      <c r="L102" s="56"/>
      <c r="M102" s="35"/>
    </row>
    <row r="103" spans="2:13">
      <c r="B103" s="120"/>
      <c r="C103" s="35"/>
      <c r="D103" s="35"/>
      <c r="E103" s="35"/>
      <c r="F103" s="35"/>
      <c r="G103" s="35"/>
      <c r="H103" s="35"/>
      <c r="I103" s="35"/>
      <c r="J103" s="56"/>
      <c r="K103" s="56"/>
      <c r="L103" s="56"/>
      <c r="M103" s="35"/>
    </row>
    <row r="104" spans="2:13">
      <c r="B104" s="35"/>
      <c r="C104" s="56"/>
      <c r="D104" s="56"/>
      <c r="E104" s="56"/>
      <c r="F104" s="35"/>
      <c r="G104" s="35"/>
      <c r="H104" s="35"/>
      <c r="I104" s="35"/>
      <c r="J104" s="56"/>
      <c r="K104" s="56"/>
      <c r="L104" s="56"/>
      <c r="M104" s="35"/>
    </row>
    <row r="105" spans="2:13">
      <c r="B105" s="35"/>
      <c r="C105" s="66"/>
      <c r="D105" s="66"/>
      <c r="E105" s="66"/>
      <c r="F105" s="35"/>
      <c r="G105" s="121"/>
      <c r="H105" s="56"/>
      <c r="I105" s="35"/>
      <c r="J105" s="56"/>
      <c r="K105" s="56"/>
      <c r="L105" s="56"/>
      <c r="M105" s="35"/>
    </row>
    <row r="106" spans="2:13">
      <c r="B106" s="35"/>
      <c r="C106" s="66"/>
      <c r="D106" s="66"/>
      <c r="E106" s="66"/>
      <c r="F106" s="35"/>
      <c r="G106" s="121"/>
      <c r="H106" s="56"/>
      <c r="I106" s="35"/>
      <c r="J106" s="56"/>
      <c r="K106" s="56"/>
      <c r="L106" s="56"/>
      <c r="M106" s="35"/>
    </row>
    <row r="107" spans="2:13">
      <c r="B107" s="35"/>
      <c r="C107" s="66"/>
      <c r="D107" s="66"/>
      <c r="E107" s="66"/>
      <c r="F107" s="35"/>
      <c r="G107" s="121"/>
      <c r="H107" s="56"/>
      <c r="I107" s="35"/>
      <c r="J107" s="56"/>
      <c r="K107" s="56"/>
      <c r="L107" s="56"/>
      <c r="M107" s="35"/>
    </row>
    <row r="108" spans="2:13">
      <c r="B108" s="35"/>
      <c r="C108" s="66"/>
      <c r="D108" s="66"/>
      <c r="E108" s="66"/>
      <c r="F108" s="35"/>
      <c r="G108" s="121"/>
      <c r="H108" s="56"/>
      <c r="I108" s="35"/>
      <c r="J108" s="56"/>
      <c r="K108" s="56"/>
      <c r="L108" s="56"/>
      <c r="M108" s="35"/>
    </row>
    <row r="109" spans="2:13">
      <c r="B109" s="35"/>
      <c r="C109" s="66"/>
      <c r="D109" s="66"/>
      <c r="E109" s="66"/>
      <c r="F109" s="35"/>
      <c r="G109" s="121"/>
      <c r="H109" s="56"/>
      <c r="I109" s="35"/>
      <c r="J109" s="56"/>
      <c r="K109" s="56"/>
      <c r="L109" s="56"/>
      <c r="M109" s="35"/>
    </row>
    <row r="110" spans="2:13">
      <c r="B110" s="35"/>
      <c r="C110" s="66"/>
      <c r="D110" s="66"/>
      <c r="E110" s="66"/>
      <c r="F110" s="35"/>
      <c r="G110" s="121"/>
      <c r="H110" s="56"/>
      <c r="I110" s="35"/>
      <c r="J110" s="56"/>
      <c r="K110" s="56"/>
      <c r="L110" s="56"/>
      <c r="M110" s="35"/>
    </row>
    <row r="111" spans="2:13">
      <c r="B111" s="35"/>
      <c r="C111" s="66"/>
      <c r="D111" s="66"/>
      <c r="E111" s="66"/>
      <c r="F111" s="35"/>
      <c r="G111" s="121"/>
      <c r="H111" s="56"/>
      <c r="I111" s="35"/>
      <c r="J111" s="56"/>
      <c r="K111" s="56"/>
      <c r="L111" s="56"/>
      <c r="M111" s="35"/>
    </row>
    <row r="112" spans="2:13">
      <c r="B112" s="35"/>
      <c r="C112" s="66"/>
      <c r="D112" s="66"/>
      <c r="E112" s="66"/>
      <c r="F112" s="35"/>
      <c r="G112" s="121"/>
      <c r="H112" s="56"/>
      <c r="I112" s="35"/>
      <c r="J112" s="56"/>
      <c r="K112" s="56"/>
      <c r="L112" s="56"/>
      <c r="M112" s="35"/>
    </row>
    <row r="113" spans="2:13">
      <c r="B113" s="35"/>
      <c r="C113" s="66"/>
      <c r="D113" s="66"/>
      <c r="E113" s="66"/>
      <c r="F113" s="35"/>
      <c r="G113" s="121"/>
      <c r="H113" s="56"/>
      <c r="I113" s="35"/>
      <c r="J113" s="56"/>
      <c r="K113" s="56"/>
      <c r="L113" s="56"/>
      <c r="M113" s="35"/>
    </row>
    <row r="114" spans="2:13">
      <c r="B114" s="35"/>
      <c r="C114" s="66"/>
      <c r="D114" s="66"/>
      <c r="E114" s="66"/>
      <c r="F114" s="35"/>
      <c r="G114" s="121"/>
      <c r="H114" s="56"/>
      <c r="I114" s="35"/>
      <c r="J114" s="56"/>
      <c r="K114" s="56"/>
      <c r="L114" s="56"/>
      <c r="M114" s="35"/>
    </row>
    <row r="115" spans="2:13">
      <c r="B115" s="35"/>
      <c r="C115" s="66"/>
      <c r="D115" s="66"/>
      <c r="E115" s="66"/>
      <c r="F115" s="35"/>
      <c r="G115" s="121"/>
      <c r="H115" s="56"/>
      <c r="I115" s="35"/>
      <c r="J115" s="56"/>
      <c r="K115" s="56"/>
      <c r="L115" s="56"/>
      <c r="M115" s="35"/>
    </row>
    <row r="116" spans="2:13">
      <c r="B116" s="35"/>
      <c r="C116" s="66"/>
      <c r="D116" s="66"/>
      <c r="E116" s="66"/>
      <c r="F116" s="35"/>
      <c r="G116" s="121"/>
      <c r="H116" s="56"/>
      <c r="I116" s="35"/>
      <c r="J116" s="56"/>
      <c r="K116" s="56"/>
      <c r="L116" s="56"/>
      <c r="M116" s="35"/>
    </row>
    <row r="117" spans="2:13">
      <c r="B117" s="35"/>
      <c r="C117" s="66"/>
      <c r="D117" s="66"/>
      <c r="E117" s="66"/>
      <c r="F117" s="35"/>
      <c r="G117" s="121"/>
      <c r="H117" s="56"/>
      <c r="I117" s="35"/>
      <c r="J117" s="56"/>
      <c r="K117" s="56"/>
      <c r="L117" s="56"/>
      <c r="M117" s="35"/>
    </row>
    <row r="118" spans="2:13">
      <c r="B118" s="35"/>
      <c r="C118" s="66"/>
      <c r="D118" s="66"/>
      <c r="E118" s="66"/>
      <c r="F118" s="35"/>
      <c r="G118" s="121"/>
      <c r="H118" s="56"/>
      <c r="I118" s="35"/>
      <c r="J118" s="56"/>
      <c r="K118" s="56"/>
      <c r="L118" s="56"/>
      <c r="M118" s="35"/>
    </row>
    <row r="119" spans="2:13">
      <c r="B119" s="35"/>
      <c r="C119" s="66"/>
      <c r="D119" s="66"/>
      <c r="E119" s="66"/>
      <c r="F119" s="35"/>
      <c r="G119" s="121"/>
      <c r="H119" s="56"/>
      <c r="I119" s="35"/>
      <c r="J119" s="56"/>
      <c r="K119" s="56"/>
      <c r="L119" s="56"/>
      <c r="M119" s="35"/>
    </row>
    <row r="120" spans="2:13">
      <c r="B120" s="35"/>
      <c r="C120" s="66"/>
      <c r="D120" s="66"/>
      <c r="E120" s="66"/>
      <c r="F120" s="35"/>
      <c r="G120" s="121"/>
      <c r="H120" s="56"/>
      <c r="I120" s="35"/>
      <c r="J120" s="56"/>
      <c r="K120" s="56"/>
      <c r="L120" s="56"/>
      <c r="M120" s="35"/>
    </row>
    <row r="121" spans="2:13">
      <c r="B121" s="35"/>
      <c r="C121" s="66"/>
      <c r="D121" s="66"/>
      <c r="E121" s="66"/>
      <c r="F121" s="35"/>
      <c r="G121" s="121"/>
      <c r="H121" s="56"/>
      <c r="I121" s="35"/>
      <c r="J121" s="56"/>
      <c r="K121" s="56"/>
      <c r="L121" s="56"/>
      <c r="M121" s="35"/>
    </row>
    <row r="122" spans="2:13">
      <c r="B122" s="35"/>
      <c r="C122" s="66"/>
      <c r="D122" s="66"/>
      <c r="E122" s="66"/>
      <c r="F122" s="35"/>
      <c r="G122" s="121"/>
      <c r="H122" s="56"/>
      <c r="I122" s="35"/>
      <c r="J122" s="56"/>
      <c r="K122" s="56"/>
      <c r="L122" s="56"/>
      <c r="M122" s="35"/>
    </row>
    <row r="123" spans="2:13">
      <c r="B123" s="35"/>
      <c r="C123" s="66"/>
      <c r="D123" s="66"/>
      <c r="E123" s="66"/>
      <c r="F123" s="35"/>
      <c r="G123" s="121"/>
      <c r="H123" s="56"/>
      <c r="I123" s="35"/>
      <c r="J123" s="56"/>
      <c r="K123" s="56"/>
      <c r="L123" s="56"/>
      <c r="M123" s="35"/>
    </row>
    <row r="124" spans="2:13">
      <c r="B124" s="122"/>
      <c r="C124" s="66"/>
      <c r="D124" s="66"/>
      <c r="E124" s="66"/>
      <c r="F124" s="35"/>
      <c r="G124" s="123"/>
      <c r="H124" s="56"/>
      <c r="I124" s="35"/>
      <c r="J124" s="56"/>
      <c r="K124" s="56"/>
      <c r="L124" s="56"/>
      <c r="M124" s="35"/>
    </row>
    <row r="125" spans="2:13">
      <c r="B125" s="35"/>
      <c r="C125" s="66"/>
      <c r="D125" s="66"/>
      <c r="E125" s="66"/>
      <c r="F125" s="35"/>
      <c r="G125" s="121"/>
      <c r="H125" s="56"/>
      <c r="I125" s="35"/>
      <c r="J125" s="56"/>
      <c r="K125" s="56"/>
      <c r="L125" s="56"/>
      <c r="M125" s="35"/>
    </row>
    <row r="126" spans="2:13">
      <c r="B126" s="35"/>
      <c r="C126" s="35"/>
      <c r="D126" s="35"/>
      <c r="E126" s="35"/>
      <c r="F126" s="35"/>
      <c r="G126" s="35"/>
      <c r="H126" s="35"/>
      <c r="I126" s="35"/>
      <c r="J126" s="56"/>
      <c r="K126" s="56"/>
      <c r="L126" s="56"/>
      <c r="M126" s="35"/>
    </row>
    <row r="127" spans="2:13">
      <c r="B127" s="35"/>
      <c r="C127" s="35"/>
      <c r="D127" s="35"/>
      <c r="E127" s="35"/>
      <c r="F127" s="35"/>
      <c r="G127" s="35"/>
      <c r="H127" s="35"/>
      <c r="I127" s="35"/>
      <c r="J127" s="56"/>
      <c r="K127" s="56"/>
      <c r="L127" s="56"/>
      <c r="M127" s="35"/>
    </row>
    <row r="128" spans="2:13">
      <c r="B128" s="35"/>
      <c r="C128" s="35"/>
      <c r="D128" s="35"/>
      <c r="E128" s="35"/>
      <c r="F128" s="35"/>
      <c r="G128" s="35"/>
      <c r="H128" s="35"/>
      <c r="I128" s="35"/>
      <c r="J128" s="56"/>
      <c r="K128" s="56"/>
      <c r="L128" s="56"/>
      <c r="M128" s="35"/>
    </row>
    <row r="129" spans="2:13">
      <c r="B129" s="35"/>
      <c r="C129" s="35"/>
      <c r="D129" s="35"/>
      <c r="E129" s="35"/>
      <c r="F129" s="35"/>
      <c r="G129" s="35"/>
      <c r="H129" s="35"/>
      <c r="I129" s="35"/>
      <c r="J129" s="56"/>
      <c r="K129" s="56"/>
      <c r="L129" s="56"/>
      <c r="M129" s="35"/>
    </row>
    <row r="130" spans="2:13">
      <c r="B130" s="35"/>
      <c r="C130" s="35"/>
      <c r="D130" s="35"/>
      <c r="E130" s="35"/>
      <c r="F130" s="35"/>
      <c r="G130" s="35"/>
      <c r="H130" s="35"/>
      <c r="I130" s="35"/>
      <c r="J130" s="56"/>
      <c r="K130" s="56"/>
      <c r="L130" s="56"/>
      <c r="M130" s="35"/>
    </row>
    <row r="131" spans="2:13">
      <c r="B131" s="35"/>
      <c r="C131" s="35"/>
      <c r="D131" s="35"/>
      <c r="E131" s="35"/>
      <c r="F131" s="35"/>
      <c r="G131" s="35"/>
      <c r="H131" s="35"/>
      <c r="I131" s="35"/>
      <c r="J131" s="56"/>
      <c r="K131" s="56"/>
      <c r="L131" s="56"/>
      <c r="M131" s="35"/>
    </row>
    <row r="132" spans="2:13">
      <c r="B132" s="35"/>
      <c r="C132" s="35"/>
      <c r="D132" s="35"/>
      <c r="E132" s="35"/>
      <c r="F132" s="35"/>
      <c r="G132" s="35"/>
      <c r="H132" s="35"/>
      <c r="I132" s="35"/>
      <c r="J132" s="56"/>
      <c r="K132" s="56"/>
      <c r="L132" s="56"/>
      <c r="M132" s="35"/>
    </row>
    <row r="133" spans="2:13">
      <c r="B133" s="35"/>
      <c r="C133" s="35"/>
      <c r="D133" s="35"/>
      <c r="E133" s="35"/>
      <c r="F133" s="35"/>
      <c r="G133" s="35"/>
      <c r="H133" s="35"/>
      <c r="I133" s="35"/>
      <c r="J133" s="56"/>
      <c r="K133" s="56"/>
      <c r="L133" s="56"/>
      <c r="M133" s="35"/>
    </row>
    <row r="134" spans="2:13">
      <c r="B134" s="35"/>
      <c r="C134" s="35"/>
      <c r="D134" s="35"/>
      <c r="E134" s="35"/>
      <c r="F134" s="35"/>
      <c r="G134" s="35"/>
      <c r="H134" s="35"/>
      <c r="I134" s="35"/>
      <c r="J134" s="56"/>
      <c r="K134" s="56"/>
      <c r="L134" s="56"/>
      <c r="M134" s="35"/>
    </row>
    <row r="135" spans="2:13">
      <c r="B135" s="35"/>
      <c r="C135" s="35"/>
      <c r="D135" s="35"/>
      <c r="E135" s="35"/>
      <c r="F135" s="35"/>
      <c r="G135" s="35"/>
      <c r="H135" s="35"/>
      <c r="I135" s="35"/>
      <c r="J135" s="56"/>
      <c r="K135" s="56"/>
      <c r="L135" s="56"/>
      <c r="M135" s="35"/>
    </row>
    <row r="136" spans="2:13">
      <c r="B136" s="35"/>
      <c r="C136" s="35"/>
      <c r="D136" s="35"/>
      <c r="E136" s="35"/>
      <c r="F136" s="35"/>
      <c r="G136" s="35"/>
      <c r="H136" s="35"/>
      <c r="I136" s="35"/>
      <c r="J136" s="56"/>
      <c r="K136" s="56"/>
      <c r="L136" s="56"/>
      <c r="M136" s="35"/>
    </row>
    <row r="137" spans="2:13">
      <c r="B137" s="35"/>
      <c r="C137" s="35"/>
      <c r="D137" s="35"/>
      <c r="E137" s="35"/>
      <c r="F137" s="35"/>
      <c r="G137" s="35"/>
      <c r="H137" s="35"/>
      <c r="I137" s="35"/>
      <c r="J137" s="56"/>
      <c r="K137" s="56"/>
      <c r="L137" s="56"/>
      <c r="M137" s="35"/>
    </row>
    <row r="138" spans="2:13">
      <c r="B138" s="35"/>
      <c r="C138" s="35"/>
      <c r="D138" s="35"/>
      <c r="E138" s="35"/>
      <c r="F138" s="35"/>
      <c r="G138" s="35"/>
      <c r="H138" s="35"/>
      <c r="I138" s="35"/>
      <c r="J138" s="56"/>
      <c r="K138" s="56"/>
      <c r="L138" s="56"/>
      <c r="M138" s="35"/>
    </row>
    <row r="139" spans="2:13">
      <c r="B139" s="35"/>
      <c r="C139" s="35"/>
      <c r="D139" s="35"/>
      <c r="E139" s="35"/>
      <c r="F139" s="35"/>
      <c r="G139" s="35"/>
      <c r="H139" s="35"/>
      <c r="I139" s="35"/>
      <c r="J139" s="56"/>
      <c r="K139" s="56"/>
      <c r="L139" s="56"/>
      <c r="M139" s="35"/>
    </row>
    <row r="140" spans="2:13">
      <c r="B140" s="35"/>
      <c r="C140" s="35"/>
      <c r="D140" s="35"/>
      <c r="E140" s="35"/>
      <c r="F140" s="35"/>
      <c r="G140" s="35"/>
      <c r="H140" s="35"/>
      <c r="I140" s="35"/>
      <c r="J140" s="56"/>
      <c r="K140" s="56"/>
      <c r="L140" s="56"/>
      <c r="M140" s="35"/>
    </row>
    <row r="141" spans="2:13">
      <c r="B141" s="35"/>
      <c r="C141" s="35"/>
      <c r="D141" s="35"/>
      <c r="E141" s="35"/>
      <c r="F141" s="35"/>
      <c r="G141" s="35"/>
      <c r="H141" s="35"/>
      <c r="I141" s="35"/>
      <c r="J141" s="56"/>
      <c r="K141" s="56"/>
      <c r="L141" s="56"/>
      <c r="M141" s="35"/>
    </row>
    <row r="142" spans="2:13">
      <c r="B142" s="35"/>
      <c r="C142" s="35"/>
      <c r="D142" s="35"/>
      <c r="E142" s="35"/>
      <c r="F142" s="35"/>
      <c r="G142" s="35"/>
      <c r="H142" s="35"/>
      <c r="I142" s="35"/>
      <c r="J142" s="56"/>
      <c r="K142" s="56"/>
      <c r="L142" s="56"/>
      <c r="M142" s="35"/>
    </row>
    <row r="143" spans="2:13">
      <c r="B143" s="35"/>
      <c r="C143" s="35"/>
      <c r="D143" s="35"/>
      <c r="E143" s="35"/>
      <c r="F143" s="35"/>
      <c r="G143" s="35"/>
      <c r="H143" s="35"/>
      <c r="I143" s="35"/>
      <c r="J143" s="56"/>
      <c r="K143" s="56"/>
      <c r="L143" s="56"/>
      <c r="M143" s="35"/>
    </row>
    <row r="144" spans="2:13">
      <c r="B144" s="35"/>
      <c r="C144" s="35"/>
      <c r="D144" s="35"/>
      <c r="E144" s="35"/>
      <c r="F144" s="35"/>
      <c r="G144" s="35"/>
      <c r="H144" s="35"/>
      <c r="I144" s="35"/>
      <c r="J144" s="56"/>
      <c r="K144" s="56"/>
      <c r="L144" s="56"/>
      <c r="M144" s="35"/>
    </row>
    <row r="145" spans="2:13">
      <c r="B145" s="35"/>
      <c r="C145" s="35"/>
      <c r="D145" s="35"/>
      <c r="E145" s="35"/>
      <c r="F145" s="35"/>
      <c r="G145" s="35"/>
      <c r="H145" s="35"/>
      <c r="I145" s="35"/>
      <c r="J145" s="56"/>
      <c r="K145" s="56"/>
      <c r="L145" s="56"/>
      <c r="M145" s="35"/>
    </row>
    <row r="146" spans="2:13">
      <c r="B146" s="35"/>
      <c r="C146" s="35"/>
      <c r="D146" s="35"/>
      <c r="E146" s="35"/>
      <c r="F146" s="35"/>
      <c r="G146" s="35"/>
      <c r="H146" s="35"/>
      <c r="I146" s="35"/>
      <c r="J146" s="56"/>
      <c r="K146" s="56"/>
      <c r="L146" s="56"/>
      <c r="M146" s="35"/>
    </row>
    <row r="147" spans="2:13">
      <c r="B147" s="35"/>
      <c r="C147" s="35"/>
      <c r="D147" s="35"/>
      <c r="E147" s="35"/>
      <c r="F147" s="35"/>
      <c r="G147" s="35"/>
      <c r="H147" s="35"/>
      <c r="I147" s="35"/>
      <c r="J147" s="56"/>
      <c r="K147" s="56"/>
      <c r="L147" s="56"/>
      <c r="M147" s="35"/>
    </row>
    <row r="148" spans="2:13">
      <c r="B148" s="35"/>
      <c r="C148" s="35"/>
      <c r="D148" s="35"/>
      <c r="E148" s="35"/>
      <c r="F148" s="35"/>
      <c r="G148" s="35"/>
      <c r="H148" s="35"/>
      <c r="I148" s="35"/>
      <c r="J148" s="56"/>
      <c r="K148" s="56"/>
      <c r="L148" s="56"/>
      <c r="M148" s="35"/>
    </row>
    <row r="149" spans="2:13">
      <c r="B149" s="35"/>
      <c r="C149" s="35"/>
      <c r="D149" s="35"/>
      <c r="E149" s="35"/>
      <c r="F149" s="35"/>
      <c r="G149" s="35"/>
      <c r="H149" s="35"/>
      <c r="I149" s="35"/>
      <c r="J149" s="56"/>
      <c r="K149" s="56"/>
      <c r="L149" s="56"/>
      <c r="M149" s="35"/>
    </row>
    <row r="150" spans="2:13">
      <c r="B150" s="35"/>
      <c r="C150" s="35"/>
      <c r="D150" s="35"/>
      <c r="E150" s="35"/>
      <c r="F150" s="35"/>
      <c r="G150" s="35"/>
      <c r="H150" s="35"/>
      <c r="I150" s="35"/>
      <c r="J150" s="56"/>
      <c r="K150" s="56"/>
      <c r="L150" s="56"/>
      <c r="M150" s="35"/>
    </row>
    <row r="151" spans="2:13">
      <c r="B151" s="35"/>
      <c r="C151" s="35"/>
      <c r="D151" s="35"/>
      <c r="E151" s="35"/>
      <c r="F151" s="35"/>
      <c r="G151" s="35"/>
      <c r="H151" s="35"/>
      <c r="I151" s="35"/>
      <c r="J151" s="56"/>
      <c r="K151" s="56"/>
      <c r="L151" s="56"/>
      <c r="M151" s="35"/>
    </row>
    <row r="152" spans="2:13">
      <c r="B152" s="35"/>
      <c r="C152" s="35"/>
      <c r="D152" s="35"/>
      <c r="E152" s="35"/>
      <c r="F152" s="35"/>
      <c r="G152" s="35"/>
      <c r="H152" s="35"/>
      <c r="I152" s="35"/>
      <c r="J152" s="56"/>
      <c r="K152" s="56"/>
      <c r="L152" s="56"/>
      <c r="M152" s="35"/>
    </row>
    <row r="153" spans="2:13">
      <c r="B153" s="35"/>
      <c r="C153" s="35"/>
      <c r="D153" s="35"/>
      <c r="E153" s="35"/>
      <c r="F153" s="35"/>
      <c r="G153" s="35"/>
      <c r="H153" s="35"/>
      <c r="I153" s="35"/>
      <c r="J153" s="56"/>
      <c r="K153" s="56"/>
      <c r="L153" s="56"/>
      <c r="M153" s="35"/>
    </row>
    <row r="154" spans="2:13">
      <c r="B154" s="35"/>
      <c r="C154" s="35"/>
      <c r="D154" s="35"/>
      <c r="E154" s="35"/>
      <c r="F154" s="35"/>
      <c r="G154" s="35"/>
      <c r="H154" s="35"/>
      <c r="I154" s="35"/>
      <c r="J154" s="56"/>
      <c r="K154" s="56"/>
      <c r="L154" s="56"/>
      <c r="M154" s="35"/>
    </row>
    <row r="155" spans="2:13">
      <c r="B155" s="35"/>
      <c r="C155" s="35"/>
      <c r="D155" s="35"/>
      <c r="E155" s="35"/>
      <c r="F155" s="35"/>
      <c r="G155" s="35"/>
      <c r="H155" s="35"/>
      <c r="I155" s="35"/>
      <c r="J155" s="56"/>
      <c r="K155" s="56"/>
      <c r="L155" s="56"/>
      <c r="M155" s="35"/>
    </row>
    <row r="156" spans="2:13">
      <c r="B156" s="35"/>
      <c r="C156" s="35"/>
      <c r="D156" s="35"/>
      <c r="E156" s="35"/>
      <c r="F156" s="35"/>
      <c r="G156" s="35"/>
      <c r="H156" s="35"/>
      <c r="I156" s="35"/>
      <c r="J156" s="56"/>
      <c r="K156" s="56"/>
      <c r="L156" s="56"/>
      <c r="M156" s="35"/>
    </row>
    <row r="157" spans="2:13">
      <c r="B157" s="35"/>
      <c r="C157" s="35"/>
      <c r="D157" s="35"/>
      <c r="E157" s="35"/>
      <c r="F157" s="35"/>
      <c r="G157" s="35"/>
      <c r="H157" s="35"/>
      <c r="I157" s="35"/>
      <c r="J157" s="56"/>
      <c r="K157" s="56"/>
      <c r="L157" s="56"/>
      <c r="M157" s="35"/>
    </row>
    <row r="158" spans="2:13">
      <c r="B158" s="35"/>
      <c r="C158" s="35"/>
      <c r="D158" s="35"/>
      <c r="E158" s="35"/>
      <c r="F158" s="35"/>
      <c r="G158" s="35"/>
      <c r="H158" s="35"/>
      <c r="I158" s="35"/>
      <c r="J158" s="56"/>
      <c r="K158" s="56"/>
      <c r="L158" s="56"/>
      <c r="M158" s="35"/>
    </row>
    <row r="159" spans="2:13">
      <c r="B159" s="35"/>
      <c r="C159" s="35"/>
      <c r="D159" s="35"/>
      <c r="E159" s="35"/>
      <c r="F159" s="35"/>
      <c r="G159" s="35"/>
      <c r="H159" s="35"/>
      <c r="I159" s="35"/>
      <c r="J159" s="56"/>
      <c r="K159" s="56"/>
      <c r="L159" s="56"/>
      <c r="M159" s="35"/>
    </row>
    <row r="160" spans="2:13">
      <c r="B160" s="35"/>
      <c r="C160" s="35"/>
      <c r="D160" s="35"/>
      <c r="E160" s="35"/>
      <c r="F160" s="35"/>
      <c r="G160" s="35"/>
      <c r="H160" s="35"/>
      <c r="I160" s="35"/>
      <c r="J160" s="56"/>
      <c r="K160" s="56"/>
      <c r="L160" s="56"/>
      <c r="M160" s="35"/>
    </row>
    <row r="161" spans="2:13">
      <c r="B161" s="35"/>
      <c r="C161" s="35"/>
      <c r="D161" s="35"/>
      <c r="E161" s="35"/>
      <c r="F161" s="35"/>
      <c r="G161" s="35"/>
      <c r="H161" s="35"/>
      <c r="I161" s="35"/>
      <c r="J161" s="56"/>
      <c r="K161" s="56"/>
      <c r="L161" s="56"/>
      <c r="M161" s="35"/>
    </row>
    <row r="162" spans="2:13">
      <c r="B162" s="35"/>
      <c r="C162" s="35"/>
      <c r="D162" s="35"/>
      <c r="E162" s="35"/>
      <c r="F162" s="35"/>
      <c r="G162" s="35"/>
      <c r="H162" s="35"/>
      <c r="I162" s="35"/>
      <c r="J162" s="56"/>
      <c r="K162" s="56"/>
      <c r="L162" s="56"/>
      <c r="M162" s="35"/>
    </row>
    <row r="163" spans="2:13">
      <c r="B163" s="35"/>
      <c r="C163" s="35"/>
      <c r="D163" s="35"/>
      <c r="E163" s="35"/>
      <c r="F163" s="35"/>
      <c r="G163" s="35"/>
      <c r="H163" s="35"/>
      <c r="I163" s="35"/>
      <c r="J163" s="56"/>
      <c r="K163" s="56"/>
      <c r="L163" s="56"/>
      <c r="M163" s="35"/>
    </row>
    <row r="164" spans="2:13">
      <c r="B164" s="35"/>
      <c r="C164" s="35"/>
      <c r="D164" s="35"/>
      <c r="E164" s="35"/>
      <c r="F164" s="35"/>
      <c r="G164" s="35"/>
      <c r="H164" s="35"/>
      <c r="I164" s="35"/>
      <c r="J164" s="56"/>
      <c r="K164" s="56"/>
      <c r="L164" s="56"/>
      <c r="M164" s="35"/>
    </row>
    <row r="165" spans="2:13">
      <c r="B165" s="35"/>
      <c r="C165" s="35"/>
      <c r="D165" s="35"/>
      <c r="E165" s="35"/>
      <c r="F165" s="35"/>
      <c r="G165" s="35"/>
      <c r="H165" s="35"/>
      <c r="I165" s="35"/>
      <c r="J165" s="56"/>
      <c r="K165" s="56"/>
      <c r="L165" s="56"/>
      <c r="M165" s="35"/>
    </row>
    <row r="166" spans="2:13">
      <c r="B166" s="35"/>
      <c r="C166" s="35"/>
      <c r="D166" s="35"/>
      <c r="E166" s="35"/>
      <c r="F166" s="35"/>
      <c r="G166" s="35"/>
      <c r="H166" s="35"/>
      <c r="I166" s="35"/>
      <c r="J166" s="56"/>
      <c r="K166" s="56"/>
      <c r="L166" s="56"/>
      <c r="M166" s="35"/>
    </row>
    <row r="167" spans="2:13">
      <c r="B167" s="35"/>
      <c r="C167" s="35"/>
      <c r="D167" s="35"/>
      <c r="E167" s="35"/>
      <c r="F167" s="35"/>
      <c r="G167" s="35"/>
      <c r="H167" s="35"/>
      <c r="I167" s="35"/>
      <c r="J167" s="56"/>
      <c r="K167" s="56"/>
      <c r="L167" s="56"/>
      <c r="M167" s="35"/>
    </row>
    <row r="168" spans="2:13">
      <c r="B168" s="35"/>
      <c r="C168" s="35"/>
      <c r="D168" s="35"/>
      <c r="E168" s="35"/>
      <c r="F168" s="35"/>
      <c r="G168" s="35"/>
      <c r="H168" s="35"/>
      <c r="I168" s="35"/>
      <c r="J168" s="56"/>
      <c r="K168" s="56"/>
      <c r="L168" s="56"/>
      <c r="M168" s="35"/>
    </row>
    <row r="169" spans="2:13">
      <c r="B169" s="35"/>
      <c r="C169" s="35"/>
      <c r="D169" s="35"/>
      <c r="E169" s="35"/>
      <c r="F169" s="35"/>
      <c r="G169" s="35"/>
      <c r="H169" s="35"/>
      <c r="I169" s="35"/>
      <c r="J169" s="56"/>
      <c r="K169" s="56"/>
      <c r="L169" s="56"/>
      <c r="M169" s="35"/>
    </row>
    <row r="170" spans="2:13">
      <c r="B170" s="35"/>
      <c r="C170" s="35"/>
      <c r="D170" s="35"/>
      <c r="E170" s="35"/>
      <c r="F170" s="35"/>
      <c r="G170" s="35"/>
      <c r="H170" s="35"/>
      <c r="I170" s="35"/>
      <c r="J170" s="56"/>
      <c r="K170" s="56"/>
      <c r="L170" s="56"/>
      <c r="M170" s="35"/>
    </row>
    <row r="171" spans="2:13">
      <c r="B171" s="35"/>
      <c r="C171" s="35"/>
      <c r="D171" s="35"/>
      <c r="E171" s="35"/>
      <c r="F171" s="35"/>
      <c r="G171" s="35"/>
      <c r="H171" s="35"/>
      <c r="I171" s="35"/>
      <c r="J171" s="56"/>
      <c r="K171" s="56"/>
      <c r="L171" s="56"/>
      <c r="M171" s="35"/>
    </row>
    <row r="172" spans="2:13">
      <c r="B172" s="35"/>
      <c r="C172" s="35"/>
      <c r="D172" s="35"/>
      <c r="E172" s="35"/>
      <c r="F172" s="35"/>
      <c r="G172" s="35"/>
      <c r="H172" s="35"/>
      <c r="I172" s="35"/>
      <c r="J172" s="56"/>
      <c r="K172" s="56"/>
      <c r="L172" s="56"/>
      <c r="M172" s="35"/>
    </row>
    <row r="173" spans="2:13">
      <c r="B173" s="35"/>
      <c r="C173" s="35"/>
      <c r="D173" s="35"/>
      <c r="E173" s="35"/>
      <c r="F173" s="35"/>
      <c r="G173" s="35"/>
      <c r="H173" s="35"/>
      <c r="I173" s="35"/>
      <c r="J173" s="56"/>
      <c r="K173" s="56"/>
      <c r="L173" s="56"/>
      <c r="M173" s="35"/>
    </row>
    <row r="174" spans="2:13">
      <c r="B174" s="35"/>
      <c r="C174" s="35"/>
      <c r="D174" s="35"/>
      <c r="E174" s="35"/>
      <c r="F174" s="35"/>
      <c r="G174" s="35"/>
      <c r="H174" s="35"/>
      <c r="I174" s="35"/>
      <c r="J174" s="56"/>
      <c r="K174" s="56"/>
      <c r="L174" s="56"/>
      <c r="M174" s="35"/>
    </row>
    <row r="175" spans="2:13">
      <c r="B175" s="35"/>
      <c r="C175" s="35"/>
      <c r="D175" s="35"/>
      <c r="E175" s="35"/>
      <c r="F175" s="35"/>
      <c r="G175" s="35"/>
      <c r="H175" s="35"/>
      <c r="I175" s="35"/>
      <c r="J175" s="56"/>
      <c r="K175" s="56"/>
      <c r="L175" s="56"/>
      <c r="M175" s="35"/>
    </row>
    <row r="176" spans="2:13">
      <c r="B176" s="35"/>
      <c r="C176" s="35"/>
      <c r="D176" s="35"/>
      <c r="E176" s="35"/>
      <c r="F176" s="35"/>
      <c r="G176" s="35"/>
      <c r="H176" s="35"/>
      <c r="I176" s="35"/>
      <c r="J176" s="56"/>
      <c r="K176" s="56"/>
      <c r="L176" s="56"/>
      <c r="M176" s="35"/>
    </row>
    <row r="177" spans="2:13">
      <c r="B177" s="35"/>
      <c r="C177" s="35"/>
      <c r="D177" s="35"/>
      <c r="E177" s="35"/>
      <c r="F177" s="35"/>
      <c r="G177" s="35"/>
      <c r="H177" s="35"/>
      <c r="I177" s="35"/>
      <c r="J177" s="56"/>
      <c r="K177" s="56"/>
      <c r="L177" s="56"/>
      <c r="M177" s="35"/>
    </row>
    <row r="178" spans="2:13">
      <c r="B178" s="35"/>
      <c r="C178" s="35"/>
      <c r="D178" s="35"/>
      <c r="E178" s="35"/>
      <c r="F178" s="35"/>
      <c r="G178" s="35"/>
      <c r="H178" s="35"/>
      <c r="I178" s="35"/>
      <c r="J178" s="56"/>
      <c r="K178" s="56"/>
      <c r="L178" s="56"/>
      <c r="M178" s="35"/>
    </row>
    <row r="179" spans="2:13">
      <c r="B179" s="35"/>
      <c r="C179" s="35"/>
      <c r="D179" s="35"/>
      <c r="E179" s="35"/>
      <c r="F179" s="35"/>
      <c r="G179" s="35"/>
      <c r="H179" s="35"/>
      <c r="I179" s="35"/>
      <c r="J179" s="56"/>
      <c r="K179" s="56"/>
      <c r="L179" s="56"/>
      <c r="M179" s="35"/>
    </row>
    <row r="180" spans="2:13">
      <c r="B180" s="35"/>
      <c r="C180" s="35"/>
      <c r="D180" s="35"/>
      <c r="E180" s="35"/>
      <c r="F180" s="35"/>
      <c r="G180" s="35"/>
      <c r="H180" s="35"/>
      <c r="I180" s="35"/>
      <c r="J180" s="56"/>
      <c r="K180" s="56"/>
      <c r="L180" s="56"/>
      <c r="M180" s="35"/>
    </row>
    <row r="181" spans="2:13">
      <c r="B181" s="35"/>
      <c r="C181" s="35"/>
      <c r="D181" s="35"/>
      <c r="E181" s="35"/>
      <c r="F181" s="35"/>
      <c r="G181" s="35"/>
      <c r="H181" s="35"/>
      <c r="I181" s="35"/>
      <c r="J181" s="56"/>
      <c r="K181" s="56"/>
      <c r="L181" s="56"/>
      <c r="M181" s="35"/>
    </row>
    <row r="182" spans="2:13">
      <c r="B182" s="35"/>
      <c r="C182" s="35"/>
      <c r="D182" s="35"/>
      <c r="E182" s="35"/>
      <c r="F182" s="35"/>
      <c r="G182" s="35"/>
      <c r="H182" s="35"/>
      <c r="I182" s="35"/>
      <c r="J182" s="56"/>
      <c r="K182" s="56"/>
      <c r="L182" s="56"/>
      <c r="M182" s="35"/>
    </row>
    <row r="183" spans="2:13">
      <c r="B183" s="35"/>
      <c r="C183" s="35"/>
      <c r="D183" s="35"/>
      <c r="E183" s="35"/>
      <c r="F183" s="35"/>
      <c r="G183" s="35"/>
      <c r="H183" s="35"/>
      <c r="I183" s="35"/>
      <c r="J183" s="56"/>
      <c r="K183" s="56"/>
      <c r="L183" s="56"/>
      <c r="M183" s="35"/>
    </row>
    <row r="184" spans="2:13">
      <c r="B184" s="35"/>
      <c r="C184" s="35"/>
      <c r="D184" s="35"/>
      <c r="E184" s="35"/>
      <c r="F184" s="35"/>
      <c r="G184" s="35"/>
      <c r="H184" s="35"/>
      <c r="I184" s="35"/>
      <c r="J184" s="56"/>
      <c r="K184" s="56"/>
      <c r="L184" s="56"/>
      <c r="M184" s="35"/>
    </row>
    <row r="185" spans="2:13">
      <c r="B185" s="35"/>
      <c r="C185" s="35"/>
      <c r="D185" s="35"/>
      <c r="E185" s="35"/>
      <c r="F185" s="35"/>
      <c r="G185" s="35"/>
      <c r="H185" s="35"/>
      <c r="I185" s="35"/>
      <c r="J185" s="56"/>
      <c r="K185" s="56"/>
      <c r="L185" s="56"/>
      <c r="M185" s="35"/>
    </row>
    <row r="186" spans="2:13">
      <c r="B186" s="35"/>
      <c r="C186" s="35"/>
      <c r="D186" s="35"/>
      <c r="E186" s="35"/>
      <c r="F186" s="35"/>
      <c r="G186" s="35"/>
      <c r="H186" s="35"/>
      <c r="I186" s="35"/>
      <c r="J186" s="56"/>
      <c r="K186" s="56"/>
      <c r="L186" s="56"/>
      <c r="M186" s="35"/>
    </row>
    <row r="187" spans="2:13">
      <c r="B187" s="35"/>
      <c r="C187" s="35"/>
      <c r="D187" s="35"/>
      <c r="E187" s="35"/>
      <c r="F187" s="35"/>
      <c r="G187" s="35"/>
      <c r="H187" s="35"/>
      <c r="I187" s="35"/>
      <c r="J187" s="56"/>
      <c r="K187" s="56"/>
      <c r="L187" s="56"/>
      <c r="M187" s="35"/>
    </row>
    <row r="188" spans="2:13">
      <c r="B188" s="35"/>
      <c r="C188" s="35"/>
      <c r="D188" s="35"/>
      <c r="E188" s="35"/>
      <c r="F188" s="35"/>
      <c r="G188" s="35"/>
      <c r="H188" s="35"/>
      <c r="I188" s="35"/>
      <c r="J188" s="56"/>
      <c r="K188" s="56"/>
      <c r="L188" s="56"/>
      <c r="M188" s="35"/>
    </row>
    <row r="189" spans="2:13">
      <c r="B189" s="35"/>
      <c r="C189" s="35"/>
      <c r="D189" s="35"/>
      <c r="E189" s="35"/>
      <c r="F189" s="35"/>
      <c r="G189" s="35"/>
      <c r="H189" s="35"/>
      <c r="I189" s="35"/>
      <c r="J189" s="56"/>
      <c r="K189" s="56"/>
      <c r="L189" s="56"/>
      <c r="M189" s="35"/>
    </row>
    <row r="190" spans="2:13">
      <c r="B190" s="35"/>
      <c r="C190" s="35"/>
      <c r="D190" s="35"/>
      <c r="E190" s="35"/>
      <c r="F190" s="35"/>
      <c r="G190" s="35"/>
      <c r="H190" s="35"/>
      <c r="I190" s="35"/>
      <c r="J190" s="56"/>
      <c r="K190" s="56"/>
      <c r="L190" s="56"/>
      <c r="M190" s="35"/>
    </row>
    <row r="191" spans="2:13">
      <c r="B191" s="35"/>
      <c r="C191" s="35"/>
      <c r="D191" s="35"/>
      <c r="E191" s="35"/>
      <c r="F191" s="35"/>
      <c r="G191" s="35"/>
      <c r="H191" s="35"/>
      <c r="I191" s="35"/>
      <c r="J191" s="56"/>
      <c r="K191" s="56"/>
      <c r="L191" s="56"/>
      <c r="M191" s="35"/>
    </row>
    <row r="192" spans="2:13">
      <c r="B192" s="35"/>
      <c r="C192" s="35"/>
      <c r="D192" s="35"/>
      <c r="E192" s="35"/>
      <c r="F192" s="35"/>
      <c r="G192" s="35"/>
      <c r="H192" s="35"/>
      <c r="I192" s="35"/>
      <c r="J192" s="56"/>
      <c r="K192" s="56"/>
      <c r="L192" s="56"/>
      <c r="M192" s="35"/>
    </row>
    <row r="193" spans="2:13">
      <c r="B193" s="35"/>
      <c r="C193" s="35"/>
      <c r="D193" s="35"/>
      <c r="E193" s="35"/>
      <c r="F193" s="35"/>
      <c r="G193" s="35"/>
      <c r="H193" s="35"/>
      <c r="I193" s="35"/>
      <c r="J193" s="56"/>
      <c r="K193" s="56"/>
      <c r="L193" s="56"/>
      <c r="M193" s="35"/>
    </row>
    <row r="194" spans="2:13">
      <c r="B194" s="35"/>
      <c r="C194" s="35"/>
      <c r="D194" s="35"/>
      <c r="E194" s="35"/>
      <c r="F194" s="35"/>
      <c r="G194" s="35"/>
      <c r="H194" s="35"/>
      <c r="I194" s="35"/>
      <c r="J194" s="56"/>
      <c r="K194" s="56"/>
      <c r="L194" s="56"/>
      <c r="M194" s="35"/>
    </row>
    <row r="195" spans="2:13">
      <c r="B195" s="35"/>
      <c r="C195" s="35"/>
      <c r="D195" s="35"/>
      <c r="E195" s="35"/>
      <c r="F195" s="35"/>
      <c r="G195" s="35"/>
      <c r="H195" s="35"/>
      <c r="I195" s="35"/>
      <c r="J195" s="56"/>
      <c r="K195" s="56"/>
      <c r="L195" s="56"/>
      <c r="M195" s="35"/>
    </row>
    <row r="196" spans="2:13">
      <c r="B196" s="35"/>
      <c r="C196" s="35"/>
      <c r="D196" s="35"/>
      <c r="E196" s="35"/>
      <c r="F196" s="35"/>
      <c r="G196" s="35"/>
      <c r="H196" s="35"/>
      <c r="I196" s="35"/>
      <c r="J196" s="56"/>
      <c r="K196" s="56"/>
      <c r="L196" s="56"/>
      <c r="M196" s="35"/>
    </row>
    <row r="197" spans="2:13">
      <c r="B197" s="35"/>
      <c r="C197" s="35"/>
      <c r="D197" s="35"/>
      <c r="E197" s="35"/>
      <c r="F197" s="35"/>
      <c r="G197" s="35"/>
      <c r="H197" s="35"/>
      <c r="I197" s="35"/>
      <c r="J197" s="56"/>
      <c r="K197" s="56"/>
      <c r="L197" s="56"/>
      <c r="M197" s="35"/>
    </row>
    <row r="198" spans="2:13">
      <c r="B198" s="35"/>
      <c r="C198" s="35"/>
      <c r="D198" s="35"/>
      <c r="E198" s="35"/>
      <c r="F198" s="35"/>
      <c r="G198" s="35"/>
      <c r="H198" s="35"/>
      <c r="I198" s="35"/>
      <c r="J198" s="56"/>
      <c r="K198" s="56"/>
      <c r="L198" s="56"/>
      <c r="M198" s="35"/>
    </row>
  </sheetData>
  <pageMargins left="0.7" right="0.7" top="0.75" bottom="0.75" header="0.3" footer="0.3"/>
  <pageSetup orientation="portrait"/>
  <ignoredErrors>
    <ignoredError sqref="F16:G16 E41" formula="1"/>
  </ignoredError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Z200"/>
  <sheetViews>
    <sheetView topLeftCell="A42" workbookViewId="0">
      <selection activeCell="D44" sqref="D44"/>
    </sheetView>
  </sheetViews>
  <sheetFormatPr baseColWidth="10" defaultColWidth="11" defaultRowHeight="15" x14ac:dyDescent="0"/>
  <cols>
    <col min="2" max="2" width="49" customWidth="1"/>
    <col min="3" max="3" width="11.33203125" bestFit="1" customWidth="1"/>
    <col min="4" max="4" width="11.83203125" bestFit="1" customWidth="1"/>
    <col min="5" max="5" width="12.6640625" customWidth="1"/>
    <col min="7" max="7" width="11.33203125" customWidth="1"/>
  </cols>
  <sheetData>
    <row r="1" spans="1:26">
      <c r="A1" s="35"/>
      <c r="B1" s="35"/>
      <c r="C1" s="35"/>
      <c r="D1" s="35"/>
      <c r="E1" s="35"/>
      <c r="F1" s="35"/>
      <c r="G1" s="35"/>
      <c r="H1" s="35"/>
      <c r="I1" s="35"/>
      <c r="J1" s="35"/>
      <c r="K1" s="35"/>
      <c r="L1" s="35"/>
      <c r="M1" s="35"/>
      <c r="N1" s="35"/>
      <c r="O1" s="35"/>
      <c r="P1" s="35"/>
      <c r="Q1" s="35"/>
      <c r="R1" s="35"/>
      <c r="S1" s="35"/>
      <c r="T1" s="35"/>
      <c r="U1" s="35"/>
      <c r="V1" s="35"/>
      <c r="W1" s="35"/>
      <c r="X1" s="35"/>
      <c r="Y1" s="35"/>
      <c r="Z1" s="35"/>
    </row>
    <row r="2" spans="1:26">
      <c r="A2" s="35"/>
      <c r="B2" s="36" t="s">
        <v>390</v>
      </c>
      <c r="C2" s="35"/>
      <c r="D2" s="35"/>
      <c r="E2" s="35"/>
      <c r="F2" s="35"/>
      <c r="G2" s="35"/>
      <c r="H2" s="35"/>
      <c r="I2" s="35"/>
      <c r="J2" s="35"/>
      <c r="K2" s="35"/>
      <c r="L2" s="35"/>
      <c r="M2" s="35"/>
      <c r="N2" s="35"/>
      <c r="O2" s="35"/>
      <c r="P2" s="35"/>
      <c r="Q2" s="35"/>
      <c r="R2" s="35"/>
      <c r="S2" s="35"/>
      <c r="T2" s="35"/>
      <c r="U2" s="35"/>
      <c r="V2" s="35"/>
      <c r="W2" s="35"/>
      <c r="X2" s="35"/>
      <c r="Y2" s="35"/>
      <c r="Z2" s="35"/>
    </row>
    <row r="3" spans="1:26">
      <c r="A3" s="35"/>
      <c r="B3" s="36" t="s">
        <v>391</v>
      </c>
      <c r="C3" s="35"/>
      <c r="D3" s="35"/>
      <c r="E3" s="35"/>
      <c r="F3" s="35"/>
      <c r="G3" s="35"/>
      <c r="H3" s="35"/>
      <c r="I3" s="35"/>
      <c r="J3" s="35"/>
      <c r="K3" s="35"/>
      <c r="L3" s="35"/>
      <c r="M3" s="35"/>
      <c r="N3" s="35"/>
      <c r="O3" s="35"/>
      <c r="P3" s="35"/>
      <c r="Q3" s="35"/>
      <c r="R3" s="35"/>
      <c r="S3" s="35"/>
      <c r="T3" s="35"/>
      <c r="U3" s="35"/>
      <c r="V3" s="35"/>
      <c r="W3" s="35"/>
      <c r="X3" s="35"/>
      <c r="Y3" s="35"/>
      <c r="Z3" s="35"/>
    </row>
    <row r="4" spans="1:26">
      <c r="A4" s="35"/>
      <c r="B4" s="35"/>
      <c r="C4" s="35"/>
      <c r="D4" s="35"/>
      <c r="E4" s="35"/>
      <c r="F4" s="35"/>
      <c r="G4" s="35"/>
      <c r="H4" s="35"/>
      <c r="I4" s="35"/>
      <c r="J4" s="35"/>
      <c r="K4" s="35"/>
      <c r="L4" s="35"/>
      <c r="M4" s="35"/>
      <c r="N4" s="35"/>
      <c r="O4" s="35"/>
      <c r="P4" s="35"/>
      <c r="Q4" s="35"/>
      <c r="R4" s="35"/>
      <c r="S4" s="35"/>
      <c r="T4" s="35"/>
      <c r="U4" s="35"/>
      <c r="V4" s="35"/>
      <c r="W4" s="35"/>
      <c r="X4" s="35"/>
      <c r="Y4" s="35"/>
      <c r="Z4" s="35"/>
    </row>
    <row r="5" spans="1:26">
      <c r="A5" s="35"/>
      <c r="B5" s="106" t="s">
        <v>409</v>
      </c>
      <c r="C5" s="107"/>
      <c r="D5" s="108"/>
      <c r="E5" s="35"/>
      <c r="F5" s="35"/>
      <c r="G5" s="35"/>
      <c r="H5" s="35"/>
      <c r="I5" s="35"/>
      <c r="J5" s="35"/>
      <c r="K5" s="35"/>
      <c r="L5" s="35"/>
      <c r="M5" s="35"/>
      <c r="N5" s="35"/>
      <c r="O5" s="35"/>
      <c r="P5" s="35"/>
      <c r="Q5" s="35"/>
      <c r="R5" s="35"/>
      <c r="S5" s="35"/>
      <c r="T5" s="35"/>
      <c r="U5" s="35"/>
      <c r="V5" s="35"/>
      <c r="W5" s="35"/>
      <c r="X5" s="35"/>
      <c r="Y5" s="35"/>
      <c r="Z5" s="35"/>
    </row>
    <row r="6" spans="1:26">
      <c r="A6" s="35"/>
      <c r="B6" s="109"/>
      <c r="C6" s="78"/>
      <c r="D6" s="110"/>
      <c r="E6" s="35"/>
      <c r="F6" s="35"/>
      <c r="G6" s="35"/>
      <c r="H6" s="35"/>
      <c r="I6" s="35"/>
      <c r="J6" s="35"/>
      <c r="K6" s="35"/>
      <c r="L6" s="35"/>
      <c r="M6" s="35"/>
      <c r="N6" s="35"/>
      <c r="O6" s="35"/>
      <c r="P6" s="35"/>
      <c r="Q6" s="35"/>
      <c r="R6" s="35"/>
      <c r="S6" s="35"/>
      <c r="T6" s="35"/>
      <c r="U6" s="35"/>
      <c r="V6" s="35"/>
      <c r="W6" s="35"/>
      <c r="X6" s="35"/>
      <c r="Y6" s="35"/>
      <c r="Z6" s="35"/>
    </row>
    <row r="7" spans="1:26">
      <c r="A7" s="35"/>
      <c r="B7" s="111" t="s">
        <v>262</v>
      </c>
      <c r="C7" s="81" t="s">
        <v>170</v>
      </c>
      <c r="D7" s="112">
        <f>20945000*(12.4/53.5)</f>
        <v>4854542.0560747664</v>
      </c>
      <c r="E7" s="35"/>
      <c r="F7" s="35"/>
      <c r="G7" s="35"/>
      <c r="H7" s="35"/>
      <c r="I7" s="35"/>
      <c r="J7" s="35"/>
      <c r="K7" s="35"/>
      <c r="L7" s="35"/>
      <c r="M7" s="35"/>
      <c r="N7" s="35"/>
      <c r="O7" s="35"/>
      <c r="P7" s="35"/>
      <c r="Q7" s="35"/>
      <c r="R7" s="35"/>
      <c r="S7" s="35"/>
      <c r="T7" s="35"/>
      <c r="U7" s="35"/>
      <c r="V7" s="35"/>
      <c r="W7" s="35"/>
      <c r="X7" s="35"/>
      <c r="Y7" s="35"/>
      <c r="Z7" s="35"/>
    </row>
    <row r="8" spans="1:26">
      <c r="A8" s="35"/>
      <c r="B8" s="111" t="s">
        <v>233</v>
      </c>
      <c r="C8" s="81" t="s">
        <v>234</v>
      </c>
      <c r="D8" s="113">
        <f>1-(1-0.057)^(1/(68/20))</f>
        <v>1.7113343862793617E-2</v>
      </c>
      <c r="E8" s="56"/>
      <c r="F8" s="35"/>
      <c r="G8" s="35"/>
      <c r="H8" s="35"/>
      <c r="I8" s="35"/>
      <c r="J8" s="35"/>
      <c r="K8" s="35"/>
      <c r="L8" s="35"/>
      <c r="M8" s="35"/>
      <c r="N8" s="35"/>
      <c r="O8" s="35"/>
      <c r="P8" s="35"/>
      <c r="Q8" s="35"/>
      <c r="R8" s="35"/>
      <c r="S8" s="35"/>
      <c r="T8" s="35"/>
      <c r="U8" s="35"/>
      <c r="V8" s="35"/>
      <c r="W8" s="35"/>
      <c r="X8" s="35"/>
      <c r="Y8" s="35"/>
      <c r="Z8" s="35"/>
    </row>
    <row r="9" spans="1:26">
      <c r="A9" s="35"/>
      <c r="B9" s="111" t="s">
        <v>235</v>
      </c>
      <c r="C9" s="81" t="s">
        <v>189</v>
      </c>
      <c r="D9" s="114">
        <v>0.01</v>
      </c>
      <c r="E9" s="35"/>
      <c r="F9" s="118"/>
      <c r="G9" s="35"/>
      <c r="H9" s="35"/>
      <c r="I9" s="35"/>
      <c r="J9" s="35"/>
      <c r="K9" s="35"/>
      <c r="L9" s="35"/>
      <c r="M9" s="35"/>
      <c r="N9" s="35"/>
      <c r="O9" s="35"/>
      <c r="P9" s="35"/>
      <c r="Q9" s="35"/>
      <c r="R9" s="35"/>
      <c r="S9" s="35"/>
      <c r="T9" s="35"/>
      <c r="U9" s="35"/>
      <c r="V9" s="35"/>
      <c r="W9" s="35"/>
      <c r="X9" s="35"/>
      <c r="Y9" s="35"/>
      <c r="Z9" s="35"/>
    </row>
    <row r="10" spans="1:26">
      <c r="A10" s="35"/>
      <c r="B10" s="111" t="s">
        <v>236</v>
      </c>
      <c r="C10" s="81" t="s">
        <v>190</v>
      </c>
      <c r="D10" s="115">
        <v>0.41</v>
      </c>
      <c r="E10" s="35"/>
      <c r="F10" s="35"/>
      <c r="G10" s="35"/>
      <c r="H10" s="35"/>
      <c r="I10" s="119"/>
      <c r="J10" s="35"/>
      <c r="K10" s="35"/>
      <c r="L10" s="35"/>
      <c r="M10" s="35"/>
      <c r="N10" s="35"/>
      <c r="O10" s="35"/>
      <c r="P10" s="35"/>
      <c r="Q10" s="35"/>
      <c r="R10" s="35"/>
      <c r="S10" s="35"/>
      <c r="T10" s="35"/>
      <c r="U10" s="35"/>
      <c r="V10" s="35"/>
      <c r="W10" s="35"/>
      <c r="X10" s="35"/>
      <c r="Y10" s="35"/>
      <c r="Z10" s="35"/>
    </row>
    <row r="11" spans="1:26">
      <c r="A11" s="35"/>
      <c r="B11" s="111" t="s">
        <v>261</v>
      </c>
      <c r="C11" s="81" t="s">
        <v>260</v>
      </c>
      <c r="D11" s="112">
        <v>1000</v>
      </c>
      <c r="E11" s="35"/>
      <c r="F11" s="35"/>
      <c r="G11" s="35"/>
      <c r="H11" s="35"/>
      <c r="I11" s="35"/>
      <c r="J11" s="35"/>
      <c r="K11" s="35"/>
      <c r="L11" s="35"/>
      <c r="M11" s="35"/>
      <c r="N11" s="35"/>
      <c r="O11" s="35"/>
      <c r="P11" s="35"/>
      <c r="Q11" s="35"/>
      <c r="R11" s="35"/>
      <c r="S11" s="35"/>
      <c r="T11" s="35"/>
      <c r="U11" s="35"/>
      <c r="V11" s="35"/>
      <c r="W11" s="35"/>
      <c r="X11" s="35"/>
      <c r="Y11" s="35"/>
      <c r="Z11" s="35"/>
    </row>
    <row r="12" spans="1:26">
      <c r="A12" s="35"/>
      <c r="B12" s="139"/>
      <c r="C12" s="81"/>
      <c r="D12" s="140"/>
      <c r="E12" s="35"/>
      <c r="F12" s="35"/>
      <c r="G12" s="35"/>
      <c r="H12" s="35"/>
      <c r="I12" s="35"/>
      <c r="J12" s="35"/>
      <c r="K12" s="35"/>
      <c r="L12" s="35"/>
      <c r="M12" s="35"/>
      <c r="N12" s="35"/>
      <c r="O12" s="35"/>
      <c r="P12" s="35"/>
      <c r="Q12" s="35"/>
      <c r="R12" s="35"/>
      <c r="S12" s="35"/>
      <c r="T12" s="35"/>
      <c r="U12" s="35"/>
      <c r="V12" s="35"/>
      <c r="W12" s="35"/>
      <c r="X12" s="35"/>
      <c r="Y12" s="35"/>
      <c r="Z12" s="35"/>
    </row>
    <row r="13" spans="1:26">
      <c r="A13" s="35"/>
      <c r="B13" s="138" t="s">
        <v>149</v>
      </c>
      <c r="C13" s="78"/>
      <c r="D13" s="78"/>
      <c r="E13" s="107"/>
      <c r="F13" s="107"/>
      <c r="G13" s="108"/>
      <c r="H13" s="35"/>
      <c r="I13" s="35"/>
      <c r="J13" s="35"/>
      <c r="K13" s="35"/>
      <c r="L13" s="35"/>
      <c r="M13" s="35"/>
      <c r="N13" s="35"/>
      <c r="O13" s="35"/>
      <c r="P13" s="35"/>
      <c r="Q13" s="35"/>
      <c r="R13" s="35"/>
      <c r="S13" s="35"/>
      <c r="T13" s="35"/>
      <c r="U13" s="35"/>
      <c r="V13" s="35"/>
      <c r="W13" s="35"/>
      <c r="X13" s="35"/>
      <c r="Y13" s="35"/>
      <c r="Z13" s="35"/>
    </row>
    <row r="14" spans="1:26">
      <c r="A14" s="35"/>
      <c r="B14" s="109"/>
      <c r="C14" s="81"/>
      <c r="D14" s="81" t="s">
        <v>150</v>
      </c>
      <c r="E14" s="78"/>
      <c r="F14" s="78"/>
      <c r="G14" s="110"/>
      <c r="H14" s="35"/>
      <c r="I14" s="35"/>
      <c r="J14" s="35"/>
      <c r="K14" s="35"/>
      <c r="L14" s="35"/>
      <c r="M14" s="35"/>
      <c r="N14" s="35"/>
      <c r="O14" s="35"/>
      <c r="P14" s="35"/>
      <c r="Q14" s="35"/>
      <c r="R14" s="35"/>
      <c r="S14" s="35"/>
      <c r="T14" s="35"/>
      <c r="U14" s="35"/>
      <c r="V14" s="35"/>
      <c r="W14" s="35"/>
      <c r="X14" s="35"/>
      <c r="Y14" s="35"/>
      <c r="Z14" s="35"/>
    </row>
    <row r="15" spans="1:26">
      <c r="A15" s="35"/>
      <c r="B15" s="109" t="s">
        <v>107</v>
      </c>
      <c r="C15" s="127">
        <v>1.5310000000000001E-2</v>
      </c>
      <c r="D15" s="84">
        <f t="shared" ref="D15:D34" si="0">C15/5</f>
        <v>3.0620000000000001E-3</v>
      </c>
      <c r="E15" s="78"/>
      <c r="F15" s="91" t="s">
        <v>127</v>
      </c>
      <c r="G15" s="128">
        <v>68.400000000000006</v>
      </c>
      <c r="H15" s="35"/>
      <c r="I15" s="35"/>
      <c r="J15" s="35"/>
      <c r="K15" s="35"/>
      <c r="L15" s="35"/>
      <c r="M15" s="35"/>
      <c r="N15" s="35"/>
      <c r="O15" s="35"/>
      <c r="P15" s="35"/>
      <c r="Q15" s="35"/>
      <c r="R15" s="35"/>
      <c r="S15" s="35"/>
      <c r="T15" s="35"/>
      <c r="U15" s="35"/>
      <c r="V15" s="35"/>
      <c r="W15" s="35"/>
      <c r="X15" s="35"/>
      <c r="Y15" s="35"/>
      <c r="Z15" s="35"/>
    </row>
    <row r="16" spans="1:26">
      <c r="A16" s="35"/>
      <c r="B16" s="109" t="s">
        <v>108</v>
      </c>
      <c r="C16" s="127">
        <v>1.1395000000000001E-2</v>
      </c>
      <c r="D16" s="84">
        <f t="shared" si="0"/>
        <v>2.2790000000000002E-3</v>
      </c>
      <c r="E16" s="78"/>
      <c r="F16" s="91" t="s">
        <v>128</v>
      </c>
      <c r="G16" s="128">
        <v>65.5</v>
      </c>
      <c r="H16" s="35"/>
      <c r="I16" s="35"/>
      <c r="J16" s="35"/>
      <c r="K16" s="35"/>
      <c r="L16" s="35"/>
      <c r="M16" s="35"/>
      <c r="N16" s="35"/>
      <c r="O16" s="35"/>
      <c r="P16" s="35"/>
      <c r="Q16" s="35"/>
      <c r="R16" s="35"/>
      <c r="S16" s="35"/>
      <c r="T16" s="35"/>
      <c r="U16" s="35"/>
      <c r="V16" s="35"/>
      <c r="W16" s="35"/>
      <c r="X16" s="35"/>
      <c r="Y16" s="35"/>
      <c r="Z16" s="35"/>
    </row>
    <row r="17" spans="1:26">
      <c r="A17" s="35"/>
      <c r="B17" s="109" t="s">
        <v>109</v>
      </c>
      <c r="C17" s="127">
        <v>8.8880000000000001E-3</v>
      </c>
      <c r="D17" s="84">
        <f t="shared" si="0"/>
        <v>1.7776000000000001E-3</v>
      </c>
      <c r="E17" s="78"/>
      <c r="F17" s="91" t="s">
        <v>129</v>
      </c>
      <c r="G17" s="128">
        <v>61.2</v>
      </c>
      <c r="H17" s="35"/>
      <c r="I17" s="35"/>
      <c r="J17" s="35"/>
      <c r="K17" s="35"/>
      <c r="L17" s="35"/>
      <c r="M17" s="35"/>
      <c r="N17" s="35"/>
      <c r="O17" s="35"/>
      <c r="P17" s="35"/>
      <c r="Q17" s="35"/>
      <c r="R17" s="35"/>
      <c r="S17" s="35"/>
      <c r="T17" s="35"/>
      <c r="U17" s="35"/>
      <c r="V17" s="35"/>
      <c r="W17" s="35"/>
      <c r="X17" s="35"/>
      <c r="Y17" s="35"/>
      <c r="Z17" s="35"/>
    </row>
    <row r="18" spans="1:26">
      <c r="A18" s="35"/>
      <c r="B18" s="109" t="s">
        <v>110</v>
      </c>
      <c r="C18" s="127">
        <v>9.8040000000000002E-3</v>
      </c>
      <c r="D18" s="84">
        <f t="shared" si="0"/>
        <v>1.9608E-3</v>
      </c>
      <c r="E18" s="78"/>
      <c r="F18" s="91" t="s">
        <v>130</v>
      </c>
      <c r="G18" s="128">
        <v>56.7</v>
      </c>
      <c r="H18" s="35"/>
      <c r="I18" s="35"/>
      <c r="J18" s="35"/>
      <c r="K18" s="35"/>
      <c r="L18" s="35"/>
      <c r="M18" s="35"/>
      <c r="N18" s="35"/>
      <c r="O18" s="35"/>
      <c r="P18" s="35"/>
      <c r="Q18" s="35"/>
      <c r="R18" s="35"/>
      <c r="S18" s="35"/>
      <c r="T18" s="35"/>
      <c r="U18" s="35"/>
      <c r="V18" s="35"/>
      <c r="W18" s="35"/>
      <c r="X18" s="35"/>
      <c r="Y18" s="35"/>
      <c r="Z18" s="35"/>
    </row>
    <row r="19" spans="1:26">
      <c r="A19" s="35"/>
      <c r="B19" s="109" t="s">
        <v>111</v>
      </c>
      <c r="C19" s="127">
        <v>1.1552E-2</v>
      </c>
      <c r="D19" s="84">
        <f t="shared" si="0"/>
        <v>2.3103999999999998E-3</v>
      </c>
      <c r="E19" s="78"/>
      <c r="F19" s="91" t="s">
        <v>131</v>
      </c>
      <c r="G19" s="128">
        <v>52.3</v>
      </c>
      <c r="H19" s="35"/>
      <c r="I19" s="35"/>
      <c r="J19" s="35"/>
      <c r="K19" s="35"/>
      <c r="L19" s="35"/>
      <c r="M19" s="35"/>
      <c r="N19" s="35"/>
      <c r="O19" s="35"/>
      <c r="P19" s="35"/>
      <c r="Q19" s="35"/>
      <c r="R19" s="35"/>
      <c r="S19" s="35"/>
      <c r="T19" s="35"/>
      <c r="U19" s="35"/>
      <c r="V19" s="35"/>
      <c r="W19" s="35"/>
      <c r="X19" s="35"/>
      <c r="Y19" s="35"/>
      <c r="Z19" s="35"/>
    </row>
    <row r="20" spans="1:26">
      <c r="A20" s="35"/>
      <c r="B20" s="109" t="s">
        <v>112</v>
      </c>
      <c r="C20" s="127">
        <v>1.4116999999999999E-2</v>
      </c>
      <c r="D20" s="84">
        <f t="shared" si="0"/>
        <v>2.8233999999999998E-3</v>
      </c>
      <c r="E20" s="78"/>
      <c r="F20" s="91" t="s">
        <v>132</v>
      </c>
      <c r="G20" s="128">
        <v>47.9</v>
      </c>
      <c r="H20" s="35"/>
      <c r="I20" s="35"/>
      <c r="J20" s="35"/>
      <c r="K20" s="35"/>
      <c r="L20" s="35"/>
      <c r="M20" s="35"/>
      <c r="N20" s="35"/>
      <c r="O20" s="35"/>
      <c r="P20" s="35"/>
      <c r="Q20" s="35"/>
      <c r="R20" s="35"/>
      <c r="S20" s="35"/>
      <c r="T20" s="35"/>
      <c r="U20" s="35"/>
      <c r="V20" s="35"/>
      <c r="W20" s="35"/>
      <c r="X20" s="35"/>
      <c r="Y20" s="35"/>
      <c r="Z20" s="35"/>
    </row>
    <row r="21" spans="1:26">
      <c r="A21" s="35"/>
      <c r="B21" s="109" t="s">
        <v>113</v>
      </c>
      <c r="C21" s="127">
        <v>1.6802000000000001E-2</v>
      </c>
      <c r="D21" s="84">
        <f t="shared" si="0"/>
        <v>3.3604000000000004E-3</v>
      </c>
      <c r="E21" s="78"/>
      <c r="F21" s="91" t="s">
        <v>133</v>
      </c>
      <c r="G21" s="128">
        <v>43.5</v>
      </c>
      <c r="H21" s="35"/>
      <c r="I21" s="35"/>
      <c r="J21" s="35"/>
      <c r="K21" s="35"/>
      <c r="L21" s="35"/>
      <c r="M21" s="35"/>
      <c r="N21" s="35"/>
      <c r="O21" s="35"/>
      <c r="P21" s="35"/>
      <c r="Q21" s="35"/>
      <c r="R21" s="35"/>
      <c r="S21" s="35"/>
      <c r="T21" s="35"/>
      <c r="U21" s="35"/>
      <c r="V21" s="35"/>
      <c r="W21" s="35"/>
      <c r="X21" s="35"/>
      <c r="Y21" s="35"/>
      <c r="Z21" s="35"/>
    </row>
    <row r="22" spans="1:26">
      <c r="A22" s="35"/>
      <c r="B22" s="109" t="s">
        <v>114</v>
      </c>
      <c r="C22" s="127">
        <v>2.0992E-2</v>
      </c>
      <c r="D22" s="84">
        <f t="shared" si="0"/>
        <v>4.1983999999999997E-3</v>
      </c>
      <c r="E22" s="78"/>
      <c r="F22" s="91" t="s">
        <v>134</v>
      </c>
      <c r="G22" s="128">
        <v>39.200000000000003</v>
      </c>
      <c r="H22" s="35"/>
      <c r="I22" s="35"/>
      <c r="J22" s="35"/>
      <c r="K22" s="35"/>
      <c r="L22" s="35"/>
      <c r="M22" s="35"/>
      <c r="N22" s="35"/>
      <c r="O22" s="35"/>
      <c r="P22" s="35"/>
      <c r="Q22" s="35"/>
      <c r="R22" s="35"/>
      <c r="S22" s="35"/>
      <c r="T22" s="35"/>
      <c r="U22" s="35"/>
      <c r="V22" s="35"/>
      <c r="W22" s="35"/>
      <c r="X22" s="35"/>
      <c r="Y22" s="35"/>
      <c r="Z22" s="35"/>
    </row>
    <row r="23" spans="1:26">
      <c r="A23" s="35"/>
      <c r="B23" s="109" t="s">
        <v>115</v>
      </c>
      <c r="C23" s="127">
        <v>2.5968000000000001E-2</v>
      </c>
      <c r="D23" s="84">
        <f t="shared" si="0"/>
        <v>5.1936000000000005E-3</v>
      </c>
      <c r="E23" s="78"/>
      <c r="F23" s="91" t="s">
        <v>135</v>
      </c>
      <c r="G23" s="128">
        <v>35</v>
      </c>
      <c r="H23" s="35"/>
      <c r="I23" s="35"/>
      <c r="J23" s="35"/>
      <c r="K23" s="35"/>
      <c r="L23" s="35"/>
      <c r="M23" s="35"/>
      <c r="N23" s="35"/>
      <c r="O23" s="35"/>
      <c r="P23" s="35"/>
      <c r="Q23" s="35"/>
      <c r="R23" s="35"/>
      <c r="S23" s="35"/>
      <c r="T23" s="35"/>
      <c r="U23" s="35"/>
      <c r="V23" s="35"/>
      <c r="W23" s="35"/>
      <c r="X23" s="35"/>
      <c r="Y23" s="35"/>
      <c r="Z23" s="35"/>
    </row>
    <row r="24" spans="1:26">
      <c r="A24" s="35"/>
      <c r="B24" s="109" t="s">
        <v>116</v>
      </c>
      <c r="C24" s="127">
        <v>2.8933E-2</v>
      </c>
      <c r="D24" s="84">
        <f t="shared" si="0"/>
        <v>5.7866000000000003E-3</v>
      </c>
      <c r="E24" s="78"/>
      <c r="F24" s="91" t="s">
        <v>136</v>
      </c>
      <c r="G24" s="128">
        <v>30.9</v>
      </c>
      <c r="H24" s="35"/>
      <c r="I24" s="35"/>
      <c r="J24" s="35"/>
      <c r="K24" s="35"/>
      <c r="L24" s="35"/>
      <c r="M24" s="35"/>
      <c r="N24" s="35"/>
      <c r="O24" s="35"/>
      <c r="P24" s="35"/>
      <c r="Q24" s="35"/>
      <c r="R24" s="35"/>
      <c r="S24" s="35"/>
      <c r="T24" s="35"/>
      <c r="U24" s="35"/>
      <c r="V24" s="35"/>
      <c r="W24" s="35"/>
      <c r="X24" s="35"/>
      <c r="Y24" s="35"/>
      <c r="Z24" s="35"/>
    </row>
    <row r="25" spans="1:26">
      <c r="A25" s="35"/>
      <c r="B25" s="109" t="s">
        <v>117</v>
      </c>
      <c r="C25" s="127">
        <v>3.798E-2</v>
      </c>
      <c r="D25" s="84">
        <f t="shared" si="0"/>
        <v>7.5960000000000003E-3</v>
      </c>
      <c r="E25" s="78"/>
      <c r="F25" s="91" t="s">
        <v>137</v>
      </c>
      <c r="G25" s="128">
        <v>26.7</v>
      </c>
      <c r="H25" s="35"/>
      <c r="I25" s="35"/>
      <c r="J25" s="35"/>
      <c r="K25" s="35"/>
      <c r="L25" s="35"/>
      <c r="M25" s="35"/>
      <c r="N25" s="35"/>
      <c r="O25" s="35"/>
      <c r="P25" s="35"/>
      <c r="Q25" s="35"/>
      <c r="R25" s="35"/>
      <c r="S25" s="35"/>
      <c r="T25" s="35"/>
      <c r="U25" s="35"/>
      <c r="V25" s="35"/>
      <c r="W25" s="35"/>
      <c r="X25" s="35"/>
      <c r="Y25" s="35"/>
      <c r="Z25" s="35"/>
    </row>
    <row r="26" spans="1:26">
      <c r="A26" s="35"/>
      <c r="B26" s="109" t="s">
        <v>118</v>
      </c>
      <c r="C26" s="127">
        <v>4.8889000000000002E-2</v>
      </c>
      <c r="D26" s="84">
        <f t="shared" si="0"/>
        <v>9.7777999999999997E-3</v>
      </c>
      <c r="E26" s="78"/>
      <c r="F26" s="91" t="s">
        <v>138</v>
      </c>
      <c r="G26" s="128">
        <v>22.7</v>
      </c>
      <c r="H26" s="35"/>
      <c r="I26" s="35"/>
      <c r="J26" s="35"/>
      <c r="K26" s="35"/>
      <c r="L26" s="35"/>
      <c r="M26" s="35"/>
      <c r="N26" s="35"/>
      <c r="O26" s="35"/>
      <c r="P26" s="35"/>
      <c r="Q26" s="35"/>
      <c r="R26" s="35"/>
      <c r="S26" s="35"/>
      <c r="T26" s="35"/>
      <c r="U26" s="35"/>
      <c r="V26" s="35"/>
      <c r="W26" s="35"/>
      <c r="X26" s="35"/>
      <c r="Y26" s="35"/>
      <c r="Z26" s="35"/>
    </row>
    <row r="27" spans="1:26">
      <c r="A27" s="35"/>
      <c r="B27" s="109" t="s">
        <v>119</v>
      </c>
      <c r="C27" s="127">
        <v>7.3421E-2</v>
      </c>
      <c r="D27" s="84">
        <f t="shared" si="0"/>
        <v>1.46842E-2</v>
      </c>
      <c r="E27" s="78"/>
      <c r="F27" s="91" t="s">
        <v>139</v>
      </c>
      <c r="G27" s="128">
        <v>18.7</v>
      </c>
      <c r="H27" s="35"/>
      <c r="I27" s="35"/>
      <c r="J27" s="35"/>
      <c r="K27" s="35"/>
      <c r="L27" s="35"/>
      <c r="M27" s="35"/>
      <c r="N27" s="35"/>
      <c r="O27" s="35"/>
      <c r="P27" s="35"/>
      <c r="Q27" s="35"/>
      <c r="R27" s="35"/>
      <c r="S27" s="35"/>
      <c r="T27" s="35"/>
      <c r="U27" s="35"/>
      <c r="V27" s="35"/>
      <c r="W27" s="35"/>
      <c r="X27" s="35"/>
      <c r="Y27" s="35"/>
      <c r="Z27" s="35"/>
    </row>
    <row r="28" spans="1:26">
      <c r="A28" s="35"/>
      <c r="B28" s="109" t="s">
        <v>120</v>
      </c>
      <c r="C28" s="127">
        <v>0.115143</v>
      </c>
      <c r="D28" s="84">
        <f t="shared" si="0"/>
        <v>2.30286E-2</v>
      </c>
      <c r="E28" s="78"/>
      <c r="F28" s="91" t="s">
        <v>140</v>
      </c>
      <c r="G28" s="128">
        <v>15</v>
      </c>
      <c r="H28" s="35"/>
      <c r="I28" s="35"/>
      <c r="J28" s="35"/>
      <c r="K28" s="35"/>
      <c r="L28" s="35"/>
      <c r="M28" s="35"/>
      <c r="N28" s="35"/>
      <c r="O28" s="35"/>
      <c r="P28" s="35"/>
      <c r="Q28" s="35"/>
      <c r="R28" s="35"/>
      <c r="S28" s="35"/>
      <c r="T28" s="35"/>
      <c r="U28" s="35"/>
      <c r="V28" s="35"/>
      <c r="W28" s="35"/>
      <c r="X28" s="35"/>
      <c r="Y28" s="35"/>
      <c r="Z28" s="35"/>
    </row>
    <row r="29" spans="1:26">
      <c r="A29" s="35"/>
      <c r="B29" s="109" t="s">
        <v>121</v>
      </c>
      <c r="C29" s="127">
        <v>0.187334</v>
      </c>
      <c r="D29" s="84">
        <f t="shared" si="0"/>
        <v>3.7466800000000001E-2</v>
      </c>
      <c r="E29" s="78"/>
      <c r="F29" s="91" t="s">
        <v>141</v>
      </c>
      <c r="G29" s="128">
        <v>11.6</v>
      </c>
      <c r="H29" s="35"/>
      <c r="I29" s="35"/>
      <c r="J29" s="35"/>
      <c r="K29" s="35"/>
      <c r="L29" s="35"/>
      <c r="M29" s="35"/>
      <c r="N29" s="35"/>
      <c r="O29" s="35"/>
      <c r="P29" s="35"/>
      <c r="Q29" s="35"/>
      <c r="R29" s="35"/>
      <c r="S29" s="35"/>
      <c r="T29" s="35"/>
      <c r="U29" s="35"/>
      <c r="V29" s="35"/>
      <c r="W29" s="35"/>
      <c r="X29" s="35"/>
      <c r="Y29" s="35"/>
      <c r="Z29" s="35"/>
    </row>
    <row r="30" spans="1:26">
      <c r="A30" s="35"/>
      <c r="B30" s="109" t="s">
        <v>122</v>
      </c>
      <c r="C30" s="127">
        <v>0.29696099999999997</v>
      </c>
      <c r="D30" s="84">
        <f t="shared" si="0"/>
        <v>5.9392199999999992E-2</v>
      </c>
      <c r="E30" s="78"/>
      <c r="F30" s="91" t="s">
        <v>142</v>
      </c>
      <c r="G30" s="128">
        <v>8.6</v>
      </c>
      <c r="H30" s="35"/>
      <c r="I30" s="35"/>
      <c r="J30" s="35"/>
      <c r="K30" s="35"/>
      <c r="L30" s="35"/>
      <c r="M30" s="35"/>
      <c r="N30" s="35"/>
      <c r="O30" s="35"/>
      <c r="P30" s="35"/>
      <c r="Q30" s="35"/>
      <c r="R30" s="35"/>
      <c r="S30" s="35"/>
      <c r="T30" s="35"/>
      <c r="U30" s="35"/>
      <c r="V30" s="35"/>
      <c r="W30" s="35"/>
      <c r="X30" s="35"/>
      <c r="Y30" s="35"/>
      <c r="Z30" s="35"/>
    </row>
    <row r="31" spans="1:26">
      <c r="A31" s="35"/>
      <c r="B31" s="109" t="s">
        <v>123</v>
      </c>
      <c r="C31" s="127">
        <v>0.477238</v>
      </c>
      <c r="D31" s="84">
        <f t="shared" si="0"/>
        <v>9.5447599999999994E-2</v>
      </c>
      <c r="E31" s="78"/>
      <c r="F31" s="91" t="s">
        <v>143</v>
      </c>
      <c r="G31" s="128">
        <v>6.2</v>
      </c>
      <c r="H31" s="35"/>
      <c r="I31" s="35"/>
      <c r="J31" s="35"/>
      <c r="K31" s="35"/>
      <c r="L31" s="35"/>
      <c r="M31" s="35"/>
      <c r="N31" s="35"/>
      <c r="O31" s="35"/>
      <c r="P31" s="35"/>
      <c r="Q31" s="35"/>
      <c r="R31" s="35"/>
      <c r="S31" s="35"/>
      <c r="T31" s="35"/>
      <c r="U31" s="35"/>
      <c r="V31" s="35"/>
      <c r="W31" s="35"/>
      <c r="X31" s="35"/>
      <c r="Y31" s="35"/>
      <c r="Z31" s="35"/>
    </row>
    <row r="32" spans="1:26">
      <c r="A32" s="35"/>
      <c r="B32" s="109" t="s">
        <v>124</v>
      </c>
      <c r="C32" s="127">
        <v>0.62102900000000005</v>
      </c>
      <c r="D32" s="84">
        <f t="shared" si="0"/>
        <v>0.12420580000000001</v>
      </c>
      <c r="E32" s="78"/>
      <c r="F32" s="91" t="s">
        <v>144</v>
      </c>
      <c r="G32" s="128">
        <v>4.5999999999999996</v>
      </c>
      <c r="H32" s="35"/>
      <c r="I32" s="35"/>
      <c r="J32" s="35"/>
      <c r="K32" s="35"/>
      <c r="L32" s="35"/>
      <c r="M32" s="35"/>
      <c r="N32" s="35"/>
      <c r="O32" s="35"/>
      <c r="P32" s="35"/>
      <c r="Q32" s="35"/>
      <c r="R32" s="35"/>
      <c r="S32" s="35"/>
      <c r="T32" s="35"/>
      <c r="U32" s="35"/>
      <c r="V32" s="35"/>
      <c r="W32" s="35"/>
      <c r="X32" s="35"/>
      <c r="Y32" s="35"/>
      <c r="Z32" s="35"/>
    </row>
    <row r="33" spans="1:26">
      <c r="A33" s="35"/>
      <c r="B33" s="109" t="s">
        <v>125</v>
      </c>
      <c r="C33" s="127">
        <v>0.76547100000000001</v>
      </c>
      <c r="D33" s="84">
        <f t="shared" si="0"/>
        <v>0.15309420000000001</v>
      </c>
      <c r="E33" s="78"/>
      <c r="F33" s="91" t="s">
        <v>145</v>
      </c>
      <c r="G33" s="128">
        <v>3.3</v>
      </c>
      <c r="H33" s="35"/>
      <c r="I33" s="35"/>
      <c r="J33" s="35"/>
      <c r="K33" s="35"/>
      <c r="L33" s="35"/>
      <c r="M33" s="35"/>
      <c r="N33" s="35"/>
      <c r="O33" s="35"/>
      <c r="P33" s="35"/>
      <c r="Q33" s="35"/>
      <c r="R33" s="35"/>
      <c r="S33" s="35"/>
      <c r="T33" s="35"/>
      <c r="U33" s="35"/>
      <c r="V33" s="35"/>
      <c r="W33" s="35"/>
      <c r="X33" s="35"/>
      <c r="Y33" s="35"/>
      <c r="Z33" s="35"/>
    </row>
    <row r="34" spans="1:26">
      <c r="A34" s="35"/>
      <c r="B34" s="129" t="s">
        <v>126</v>
      </c>
      <c r="C34" s="127">
        <v>0.87113399999999996</v>
      </c>
      <c r="D34" s="84">
        <f t="shared" si="0"/>
        <v>0.17422679999999999</v>
      </c>
      <c r="E34" s="78"/>
      <c r="F34" s="130" t="s">
        <v>146</v>
      </c>
      <c r="G34" s="128">
        <v>2.5</v>
      </c>
      <c r="H34" s="35"/>
      <c r="I34" s="35"/>
      <c r="J34" s="35"/>
      <c r="K34" s="35"/>
      <c r="L34" s="35"/>
      <c r="M34" s="35"/>
      <c r="N34" s="35"/>
      <c r="O34" s="35"/>
      <c r="P34" s="35"/>
      <c r="Q34" s="35"/>
      <c r="R34" s="35"/>
      <c r="S34" s="35"/>
      <c r="T34" s="35"/>
      <c r="U34" s="35"/>
      <c r="V34" s="35"/>
      <c r="W34" s="35"/>
      <c r="X34" s="35"/>
      <c r="Y34" s="35"/>
      <c r="Z34" s="35"/>
    </row>
    <row r="35" spans="1:26">
      <c r="A35" s="35"/>
      <c r="B35" s="131" t="s">
        <v>148</v>
      </c>
      <c r="C35" s="132">
        <v>1</v>
      </c>
      <c r="D35" s="133">
        <f>C35</f>
        <v>1</v>
      </c>
      <c r="E35" s="134"/>
      <c r="F35" s="135" t="s">
        <v>147</v>
      </c>
      <c r="G35" s="136">
        <v>1.9</v>
      </c>
      <c r="H35" s="35"/>
      <c r="I35" s="35"/>
      <c r="J35" s="35"/>
      <c r="K35" s="35"/>
      <c r="L35" s="35"/>
      <c r="M35" s="35"/>
      <c r="N35" s="35"/>
      <c r="O35" s="35"/>
      <c r="P35" s="35"/>
      <c r="Q35" s="35"/>
      <c r="R35" s="35"/>
      <c r="S35" s="35"/>
      <c r="T35" s="35"/>
      <c r="U35" s="35"/>
      <c r="V35" s="35"/>
      <c r="W35" s="35"/>
      <c r="X35" s="35"/>
      <c r="Y35" s="35"/>
      <c r="Z35" s="35"/>
    </row>
    <row r="36" spans="1:26">
      <c r="A36" s="35"/>
      <c r="B36" s="35"/>
      <c r="C36" s="35"/>
      <c r="D36" s="35"/>
      <c r="E36" s="35"/>
      <c r="F36" s="35"/>
      <c r="G36" s="35"/>
      <c r="H36" s="35"/>
      <c r="I36" s="35"/>
      <c r="J36" s="35"/>
      <c r="K36" s="35"/>
      <c r="L36" s="35"/>
      <c r="M36" s="35"/>
      <c r="N36" s="35"/>
      <c r="O36" s="35"/>
      <c r="P36" s="35"/>
      <c r="Q36" s="35"/>
      <c r="R36" s="35"/>
      <c r="S36" s="35"/>
      <c r="T36" s="35"/>
      <c r="U36" s="35"/>
      <c r="V36" s="35"/>
      <c r="W36" s="35"/>
      <c r="X36" s="35"/>
      <c r="Y36" s="35"/>
      <c r="Z36" s="35"/>
    </row>
    <row r="37" spans="1:26">
      <c r="A37" s="35"/>
      <c r="B37" s="35"/>
      <c r="C37" s="35"/>
      <c r="D37" s="35" t="s">
        <v>151</v>
      </c>
      <c r="E37" s="35"/>
      <c r="F37" s="35"/>
      <c r="G37" s="35"/>
      <c r="H37" s="35"/>
      <c r="I37" s="35"/>
      <c r="J37" s="35"/>
      <c r="K37" s="35"/>
      <c r="L37" s="35"/>
      <c r="M37" s="35"/>
      <c r="N37" s="35"/>
      <c r="O37" s="35"/>
      <c r="P37" s="35"/>
      <c r="Q37" s="35"/>
      <c r="R37" s="35"/>
      <c r="S37" s="35"/>
      <c r="T37" s="35"/>
      <c r="U37" s="35"/>
      <c r="V37" s="35"/>
      <c r="W37" s="35"/>
      <c r="X37" s="35"/>
      <c r="Y37" s="35"/>
      <c r="Z37" s="35"/>
    </row>
    <row r="38" spans="1:26">
      <c r="A38" s="35"/>
      <c r="B38" s="35"/>
      <c r="C38" s="35"/>
      <c r="D38" s="35"/>
      <c r="E38" s="35"/>
      <c r="F38" s="35"/>
      <c r="G38" s="35"/>
      <c r="H38" s="35"/>
      <c r="I38" s="35"/>
      <c r="J38" s="35"/>
      <c r="K38" s="35"/>
      <c r="L38" s="35"/>
      <c r="M38" s="35"/>
      <c r="N38" s="35"/>
      <c r="O38" s="35"/>
      <c r="P38" s="35"/>
      <c r="Q38" s="35"/>
      <c r="R38" s="35"/>
      <c r="S38" s="35"/>
      <c r="T38" s="35"/>
      <c r="U38" s="35"/>
      <c r="V38" s="35"/>
      <c r="W38" s="35"/>
      <c r="X38" s="35"/>
      <c r="Y38" s="35"/>
      <c r="Z38" s="35"/>
    </row>
    <row r="39" spans="1:26">
      <c r="A39" s="35"/>
      <c r="B39" s="137" t="s">
        <v>273</v>
      </c>
      <c r="C39" s="107"/>
      <c r="D39" s="107"/>
      <c r="E39" s="265" t="s">
        <v>246</v>
      </c>
      <c r="F39" s="265"/>
      <c r="G39" s="265"/>
      <c r="H39" s="265"/>
      <c r="I39" s="266"/>
      <c r="J39" s="35"/>
      <c r="K39" s="35"/>
      <c r="L39" s="35"/>
      <c r="M39" s="35"/>
      <c r="N39" s="35"/>
      <c r="O39" s="35"/>
      <c r="P39" s="35"/>
      <c r="Q39" s="35"/>
      <c r="R39" s="35"/>
      <c r="S39" s="35"/>
      <c r="T39" s="35"/>
      <c r="U39" s="35"/>
      <c r="V39" s="35"/>
      <c r="W39" s="35"/>
      <c r="X39" s="35"/>
      <c r="Y39" s="35"/>
      <c r="Z39" s="35"/>
    </row>
    <row r="40" spans="1:26">
      <c r="A40" s="35"/>
      <c r="B40" s="109"/>
      <c r="C40" s="78"/>
      <c r="D40" s="78"/>
      <c r="E40" s="141" t="s">
        <v>367</v>
      </c>
      <c r="F40" s="141" t="s">
        <v>368</v>
      </c>
      <c r="G40" s="141" t="s">
        <v>369</v>
      </c>
      <c r="H40" s="141" t="s">
        <v>370</v>
      </c>
      <c r="I40" s="142" t="s">
        <v>371</v>
      </c>
      <c r="J40" s="35"/>
      <c r="K40" s="35"/>
      <c r="L40" s="35"/>
      <c r="M40" s="35"/>
      <c r="N40" s="35"/>
      <c r="O40" s="35"/>
      <c r="P40" s="35"/>
      <c r="Q40" s="35"/>
      <c r="R40" s="35"/>
      <c r="S40" s="35"/>
      <c r="T40" s="35"/>
      <c r="U40" s="35"/>
      <c r="V40" s="35"/>
      <c r="W40" s="35"/>
      <c r="X40" s="35"/>
      <c r="Y40" s="35"/>
      <c r="Z40" s="35"/>
    </row>
    <row r="41" spans="1:26">
      <c r="A41" s="35"/>
      <c r="B41" s="109" t="s">
        <v>392</v>
      </c>
      <c r="C41" s="81" t="s">
        <v>247</v>
      </c>
      <c r="D41" s="143">
        <f>((I41-E41)/5)/100</f>
        <v>4.5800000000000007E-2</v>
      </c>
      <c r="E41" s="144">
        <v>100</v>
      </c>
      <c r="F41" s="144">
        <v>105.7</v>
      </c>
      <c r="G41" s="144">
        <v>112.3</v>
      </c>
      <c r="H41" s="144">
        <v>121.3</v>
      </c>
      <c r="I41" s="114">
        <v>122.9</v>
      </c>
      <c r="J41" s="35"/>
      <c r="K41" s="35"/>
      <c r="L41" s="35"/>
      <c r="M41" s="35"/>
      <c r="N41" s="35"/>
      <c r="O41" s="35"/>
      <c r="P41" s="35"/>
      <c r="Q41" s="35"/>
      <c r="R41" s="35"/>
      <c r="S41" s="35"/>
      <c r="T41" s="35"/>
      <c r="U41" s="35"/>
      <c r="V41" s="35"/>
      <c r="W41" s="35"/>
      <c r="X41" s="35"/>
      <c r="Y41" s="35"/>
      <c r="Z41" s="35"/>
    </row>
    <row r="42" spans="1:26">
      <c r="A42" s="35"/>
      <c r="B42" s="109" t="s">
        <v>393</v>
      </c>
      <c r="C42" s="81" t="s">
        <v>248</v>
      </c>
      <c r="D42" s="145">
        <v>1300</v>
      </c>
      <c r="E42" s="146"/>
      <c r="F42" s="146"/>
      <c r="G42" s="146"/>
      <c r="H42" s="146"/>
      <c r="I42" s="147"/>
      <c r="J42" s="35"/>
      <c r="K42" s="35"/>
      <c r="L42" s="35"/>
      <c r="M42" s="35"/>
      <c r="N42" s="35"/>
      <c r="O42" s="35"/>
      <c r="P42" s="35"/>
      <c r="Q42" s="35"/>
      <c r="R42" s="35"/>
      <c r="S42" s="35"/>
      <c r="T42" s="35"/>
      <c r="U42" s="35"/>
      <c r="V42" s="35"/>
      <c r="W42" s="35"/>
      <c r="X42" s="35"/>
      <c r="Y42" s="35"/>
      <c r="Z42" s="35"/>
    </row>
    <row r="43" spans="1:26">
      <c r="A43" s="35"/>
      <c r="B43" s="131" t="s">
        <v>394</v>
      </c>
      <c r="C43" s="117" t="s">
        <v>249</v>
      </c>
      <c r="D43" s="148">
        <v>80</v>
      </c>
      <c r="E43" s="149"/>
      <c r="F43" s="149"/>
      <c r="G43" s="149"/>
      <c r="H43" s="149"/>
      <c r="I43" s="150"/>
      <c r="J43" s="35"/>
      <c r="K43" s="35"/>
      <c r="L43" s="35"/>
      <c r="M43" s="35"/>
      <c r="N43" s="35"/>
      <c r="O43" s="35"/>
      <c r="P43" s="35"/>
      <c r="Q43" s="35"/>
      <c r="R43" s="35"/>
      <c r="S43" s="35"/>
      <c r="T43" s="35"/>
      <c r="U43" s="35"/>
      <c r="V43" s="35"/>
      <c r="W43" s="35"/>
      <c r="X43" s="35"/>
      <c r="Y43" s="35"/>
      <c r="Z43" s="35"/>
    </row>
    <row r="44" spans="1:26">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row>
    <row r="45" spans="1:26">
      <c r="A45" s="35"/>
      <c r="B45" s="137" t="s">
        <v>272</v>
      </c>
      <c r="C45" s="151"/>
      <c r="D45" s="152"/>
      <c r="E45" s="35"/>
      <c r="F45" s="35"/>
      <c r="G45" s="35"/>
      <c r="H45" s="35"/>
      <c r="I45" s="35"/>
      <c r="J45" s="35"/>
      <c r="K45" s="35"/>
      <c r="L45" s="35"/>
      <c r="M45" s="35"/>
      <c r="N45" s="35"/>
      <c r="O45" s="35"/>
      <c r="P45" s="35"/>
      <c r="Q45" s="35"/>
      <c r="R45" s="35"/>
      <c r="S45" s="35"/>
      <c r="T45" s="35"/>
      <c r="U45" s="35"/>
      <c r="V45" s="35"/>
      <c r="W45" s="35"/>
      <c r="X45" s="35"/>
      <c r="Y45" s="35"/>
      <c r="Z45" s="35"/>
    </row>
    <row r="46" spans="1:26">
      <c r="A46" s="35"/>
      <c r="B46" s="139"/>
      <c r="C46" s="81"/>
      <c r="D46" s="140"/>
      <c r="E46" s="56"/>
      <c r="F46" s="56"/>
      <c r="G46" s="124"/>
      <c r="H46" s="56"/>
      <c r="I46" s="56"/>
      <c r="J46" s="35"/>
      <c r="K46" s="35"/>
      <c r="L46" s="35"/>
      <c r="M46" s="35"/>
      <c r="N46" s="35"/>
      <c r="O46" s="35"/>
      <c r="P46" s="35"/>
      <c r="Q46" s="35"/>
      <c r="R46" s="35"/>
      <c r="S46" s="35"/>
      <c r="T46" s="35"/>
      <c r="U46" s="35"/>
      <c r="V46" s="35"/>
      <c r="W46" s="35"/>
      <c r="X46" s="35"/>
      <c r="Y46" s="35"/>
      <c r="Z46" s="35"/>
    </row>
    <row r="47" spans="1:26">
      <c r="A47" s="35"/>
      <c r="B47" s="109" t="s">
        <v>96</v>
      </c>
      <c r="C47" s="81" t="s">
        <v>98</v>
      </c>
      <c r="D47" s="114">
        <v>0.1</v>
      </c>
      <c r="E47" s="56"/>
      <c r="F47" s="56"/>
      <c r="G47" s="124"/>
      <c r="H47" s="56"/>
      <c r="I47" s="56"/>
      <c r="J47" s="35"/>
      <c r="K47" s="35"/>
      <c r="L47" s="35"/>
      <c r="M47" s="35"/>
      <c r="N47" s="35"/>
      <c r="O47" s="35"/>
      <c r="P47" s="35"/>
      <c r="Q47" s="35"/>
      <c r="R47" s="35"/>
      <c r="S47" s="35"/>
      <c r="T47" s="35"/>
      <c r="U47" s="35"/>
      <c r="V47" s="35"/>
      <c r="W47" s="35"/>
      <c r="X47" s="35"/>
      <c r="Y47" s="35"/>
      <c r="Z47" s="35"/>
    </row>
    <row r="48" spans="1:26">
      <c r="A48" s="35"/>
      <c r="B48" s="109" t="s">
        <v>97</v>
      </c>
      <c r="C48" s="81" t="s">
        <v>99</v>
      </c>
      <c r="D48" s="114">
        <v>0.7</v>
      </c>
      <c r="E48" s="56"/>
      <c r="F48" s="125"/>
      <c r="G48" s="125"/>
      <c r="H48" s="56"/>
      <c r="I48" s="56"/>
      <c r="J48" s="35"/>
      <c r="K48" s="35"/>
      <c r="L48" s="35"/>
      <c r="M48" s="35"/>
      <c r="N48" s="35"/>
      <c r="O48" s="35"/>
      <c r="P48" s="35"/>
      <c r="Q48" s="35"/>
      <c r="R48" s="35"/>
      <c r="S48" s="35"/>
      <c r="T48" s="35"/>
      <c r="U48" s="35"/>
      <c r="V48" s="35"/>
      <c r="W48" s="35"/>
      <c r="X48" s="35"/>
      <c r="Y48" s="35"/>
      <c r="Z48" s="35"/>
    </row>
    <row r="49" spans="1:26">
      <c r="A49" s="35"/>
      <c r="B49" s="109" t="s">
        <v>100</v>
      </c>
      <c r="C49" s="81" t="s">
        <v>105</v>
      </c>
      <c r="D49" s="114">
        <v>0.1</v>
      </c>
      <c r="E49" s="56"/>
      <c r="F49" s="125"/>
      <c r="G49" s="125"/>
      <c r="H49" s="56"/>
      <c r="I49" s="56"/>
      <c r="J49" s="35"/>
      <c r="K49" s="35"/>
      <c r="L49" s="35"/>
      <c r="M49" s="35"/>
      <c r="N49" s="35"/>
      <c r="O49" s="35"/>
      <c r="P49" s="35"/>
      <c r="Q49" s="35"/>
      <c r="R49" s="35"/>
      <c r="S49" s="35"/>
      <c r="T49" s="35"/>
      <c r="U49" s="35"/>
      <c r="V49" s="35"/>
      <c r="W49" s="35"/>
      <c r="X49" s="35"/>
      <c r="Y49" s="35"/>
      <c r="Z49" s="35"/>
    </row>
    <row r="50" spans="1:26">
      <c r="A50" s="35"/>
      <c r="B50" s="109" t="s">
        <v>101</v>
      </c>
      <c r="C50" s="81" t="s">
        <v>106</v>
      </c>
      <c r="D50" s="153">
        <f>11/12</f>
        <v>0.91666666666666663</v>
      </c>
      <c r="E50" s="56"/>
      <c r="F50" s="125"/>
      <c r="G50" s="125"/>
      <c r="H50" s="56"/>
      <c r="I50" s="56"/>
      <c r="J50" s="35"/>
      <c r="K50" s="35"/>
      <c r="L50" s="35"/>
      <c r="M50" s="35"/>
      <c r="N50" s="35"/>
      <c r="O50" s="35"/>
      <c r="P50" s="35"/>
      <c r="Q50" s="35"/>
      <c r="R50" s="35"/>
      <c r="S50" s="35"/>
      <c r="T50" s="35"/>
      <c r="U50" s="35"/>
      <c r="V50" s="35"/>
      <c r="W50" s="35"/>
      <c r="X50" s="35"/>
      <c r="Y50" s="35"/>
      <c r="Z50" s="35"/>
    </row>
    <row r="51" spans="1:26">
      <c r="A51" s="35"/>
      <c r="B51" s="109" t="s">
        <v>82</v>
      </c>
      <c r="C51" s="81" t="s">
        <v>84</v>
      </c>
      <c r="D51" s="114">
        <v>0.1</v>
      </c>
      <c r="E51" s="56"/>
      <c r="F51" s="125"/>
      <c r="G51" s="125"/>
      <c r="H51" s="56"/>
      <c r="I51" s="56"/>
      <c r="J51" s="35"/>
      <c r="K51" s="35"/>
      <c r="L51" s="35"/>
      <c r="M51" s="35"/>
      <c r="N51" s="35"/>
      <c r="O51" s="35"/>
      <c r="P51" s="35"/>
      <c r="Q51" s="35"/>
      <c r="R51" s="35"/>
      <c r="S51" s="35"/>
      <c r="T51" s="35"/>
      <c r="U51" s="35"/>
      <c r="V51" s="35"/>
      <c r="W51" s="35"/>
      <c r="X51" s="35"/>
      <c r="Y51" s="35"/>
      <c r="Z51" s="35"/>
    </row>
    <row r="52" spans="1:26">
      <c r="A52" s="35"/>
      <c r="B52" s="131" t="s">
        <v>83</v>
      </c>
      <c r="C52" s="117" t="s">
        <v>85</v>
      </c>
      <c r="D52" s="154">
        <v>0.95</v>
      </c>
      <c r="E52" s="56"/>
      <c r="F52" s="126"/>
      <c r="G52" s="66"/>
      <c r="H52" s="56"/>
      <c r="I52" s="56"/>
      <c r="J52" s="35"/>
      <c r="K52" s="35"/>
      <c r="L52" s="35"/>
      <c r="M52" s="35"/>
      <c r="N52" s="35"/>
      <c r="O52" s="35"/>
      <c r="P52" s="35"/>
      <c r="Q52" s="35"/>
      <c r="R52" s="35"/>
      <c r="S52" s="35"/>
      <c r="T52" s="35"/>
      <c r="U52" s="35"/>
      <c r="V52" s="35"/>
      <c r="W52" s="35"/>
      <c r="X52" s="35"/>
      <c r="Y52" s="35"/>
      <c r="Z52" s="35"/>
    </row>
    <row r="53" spans="1:26">
      <c r="A53" s="35"/>
      <c r="B53" s="35"/>
      <c r="C53" s="35"/>
      <c r="D53" s="35"/>
      <c r="E53" s="126"/>
      <c r="F53" s="126"/>
      <c r="G53" s="66"/>
      <c r="H53" s="56"/>
      <c r="I53" s="56"/>
      <c r="J53" s="35"/>
      <c r="K53" s="35"/>
      <c r="L53" s="35"/>
      <c r="M53" s="35"/>
      <c r="N53" s="35"/>
      <c r="O53" s="35"/>
      <c r="P53" s="35"/>
      <c r="Q53" s="35"/>
      <c r="R53" s="35"/>
      <c r="S53" s="35"/>
      <c r="T53" s="35"/>
      <c r="U53" s="35"/>
      <c r="V53" s="35"/>
      <c r="W53" s="35"/>
      <c r="X53" s="35"/>
      <c r="Y53" s="35"/>
      <c r="Z53" s="35"/>
    </row>
    <row r="54" spans="1:26">
      <c r="A54" s="35"/>
      <c r="B54" s="35"/>
      <c r="C54" s="35"/>
      <c r="D54" s="35"/>
      <c r="E54" s="35"/>
      <c r="F54" s="35"/>
      <c r="G54" s="35"/>
      <c r="H54" s="35"/>
      <c r="I54" s="35"/>
      <c r="J54" s="35"/>
      <c r="K54" s="35"/>
      <c r="L54" s="35"/>
      <c r="M54" s="35"/>
      <c r="N54" s="35"/>
      <c r="O54" s="35"/>
      <c r="P54" s="35"/>
      <c r="Q54" s="35"/>
      <c r="R54" s="35"/>
      <c r="S54" s="35"/>
      <c r="T54" s="35"/>
      <c r="U54" s="35"/>
      <c r="V54" s="35"/>
      <c r="W54" s="35"/>
      <c r="X54" s="35"/>
      <c r="Y54" s="35"/>
      <c r="Z54" s="35"/>
    </row>
    <row r="55" spans="1:26">
      <c r="A55" s="35"/>
      <c r="B55" s="38" t="s">
        <v>95</v>
      </c>
      <c r="C55" s="39"/>
      <c r="D55" s="40"/>
      <c r="E55" s="40"/>
      <c r="F55" s="41"/>
      <c r="G55" s="35"/>
      <c r="H55" s="35"/>
      <c r="I55" s="35"/>
      <c r="J55" s="35"/>
      <c r="K55" s="35"/>
      <c r="L55" s="35"/>
      <c r="M55" s="35"/>
      <c r="N55" s="35"/>
      <c r="O55" s="35"/>
      <c r="P55" s="35"/>
      <c r="Q55" s="35"/>
      <c r="R55" s="35"/>
      <c r="S55" s="35"/>
      <c r="T55" s="35"/>
      <c r="U55" s="35"/>
      <c r="V55" s="35"/>
      <c r="W55" s="35"/>
      <c r="X55" s="35"/>
      <c r="Y55" s="35"/>
      <c r="Z55" s="35"/>
    </row>
    <row r="56" spans="1:26">
      <c r="A56" s="35"/>
      <c r="B56" s="42" t="s">
        <v>193</v>
      </c>
      <c r="C56" s="43"/>
      <c r="D56" s="44"/>
      <c r="E56" s="44"/>
      <c r="F56" s="45"/>
      <c r="G56" s="35"/>
      <c r="H56" s="35"/>
      <c r="I56" s="35"/>
      <c r="J56" s="35"/>
      <c r="K56" s="35"/>
      <c r="L56" s="35"/>
      <c r="M56" s="35"/>
      <c r="N56" s="35"/>
      <c r="O56" s="35"/>
      <c r="P56" s="35"/>
      <c r="Q56" s="35"/>
      <c r="R56" s="35"/>
      <c r="S56" s="35"/>
      <c r="T56" s="35"/>
      <c r="U56" s="35"/>
      <c r="V56" s="35"/>
      <c r="W56" s="35"/>
      <c r="X56" s="35"/>
      <c r="Y56" s="35"/>
      <c r="Z56" s="35"/>
    </row>
    <row r="57" spans="1:26">
      <c r="A57" s="35"/>
      <c r="B57" s="46"/>
      <c r="C57" s="47"/>
      <c r="D57" s="48"/>
      <c r="E57" s="44"/>
      <c r="F57" s="45"/>
      <c r="G57" s="35"/>
      <c r="H57" s="35"/>
      <c r="I57" s="35"/>
      <c r="J57" s="35"/>
      <c r="K57" s="35"/>
      <c r="L57" s="35"/>
      <c r="M57" s="35"/>
      <c r="N57" s="35"/>
      <c r="O57" s="35"/>
      <c r="P57" s="35"/>
      <c r="Q57" s="35"/>
      <c r="R57" s="35"/>
      <c r="S57" s="35"/>
      <c r="T57" s="35"/>
      <c r="U57" s="35"/>
      <c r="V57" s="35"/>
      <c r="W57" s="35"/>
      <c r="X57" s="35"/>
      <c r="Y57" s="35"/>
      <c r="Z57" s="35"/>
    </row>
    <row r="58" spans="1:26">
      <c r="A58" s="35"/>
      <c r="B58" s="49" t="s">
        <v>168</v>
      </c>
      <c r="C58" s="267" t="s">
        <v>215</v>
      </c>
      <c r="D58" s="267"/>
      <c r="E58" s="267" t="s">
        <v>216</v>
      </c>
      <c r="F58" s="268"/>
      <c r="G58" s="35"/>
      <c r="H58" s="35"/>
      <c r="I58" s="35"/>
      <c r="J58" s="35"/>
      <c r="K58" s="35"/>
      <c r="L58" s="35"/>
      <c r="M58" s="35"/>
      <c r="N58" s="35"/>
      <c r="O58" s="35"/>
      <c r="P58" s="35"/>
      <c r="Q58" s="35"/>
      <c r="R58" s="35"/>
      <c r="S58" s="35"/>
      <c r="T58" s="35"/>
      <c r="U58" s="35"/>
      <c r="V58" s="35"/>
      <c r="W58" s="35"/>
      <c r="X58" s="35"/>
      <c r="Y58" s="35"/>
      <c r="Z58" s="35"/>
    </row>
    <row r="59" spans="1:26">
      <c r="A59" s="35"/>
      <c r="B59" s="46"/>
      <c r="C59" s="47"/>
      <c r="D59" s="48"/>
      <c r="E59" s="44"/>
      <c r="F59" s="45"/>
      <c r="G59" s="35"/>
      <c r="H59" s="35"/>
      <c r="I59" s="35"/>
      <c r="J59" s="35"/>
      <c r="K59" s="35"/>
      <c r="L59" s="35"/>
      <c r="M59" s="35"/>
      <c r="N59" s="35"/>
      <c r="O59" s="35"/>
      <c r="P59" s="35"/>
      <c r="Q59" s="35"/>
      <c r="R59" s="35"/>
      <c r="S59" s="35"/>
      <c r="T59" s="35"/>
      <c r="U59" s="35"/>
      <c r="V59" s="35"/>
      <c r="W59" s="35"/>
      <c r="X59" s="35"/>
      <c r="Y59" s="35"/>
      <c r="Z59" s="35"/>
    </row>
    <row r="60" spans="1:26">
      <c r="A60" s="35"/>
      <c r="B60" s="46" t="s">
        <v>102</v>
      </c>
      <c r="C60" s="47" t="s">
        <v>206</v>
      </c>
      <c r="D60" s="48">
        <f>(1-prim1)*(pWell_ARF1)+(prim1*pWell_ARF1*rPP)</f>
        <v>4.194E-4</v>
      </c>
      <c r="E60" s="47" t="s">
        <v>217</v>
      </c>
      <c r="F60" s="50">
        <f>(1-prim2)*(pWell_ARF1)+(prim2*pWell_ARF1*rPP)</f>
        <v>2.3580000000000001E-4</v>
      </c>
      <c r="G60" s="35"/>
      <c r="H60" s="35"/>
      <c r="I60" s="35"/>
      <c r="J60" s="35"/>
      <c r="K60" s="35"/>
      <c r="L60" s="35"/>
      <c r="M60" s="35"/>
      <c r="N60" s="35"/>
      <c r="O60" s="35"/>
      <c r="P60" s="35"/>
      <c r="Q60" s="35"/>
      <c r="R60" s="35"/>
      <c r="S60" s="35"/>
      <c r="T60" s="35"/>
      <c r="U60" s="35"/>
      <c r="V60" s="35"/>
      <c r="W60" s="35"/>
      <c r="X60" s="35"/>
      <c r="Y60" s="35"/>
      <c r="Z60" s="35"/>
    </row>
    <row r="61" spans="1:26">
      <c r="A61" s="35"/>
      <c r="B61" s="46" t="s">
        <v>103</v>
      </c>
      <c r="C61" s="47" t="s">
        <v>207</v>
      </c>
      <c r="D61" s="48">
        <f>(1-secn1)*(pRemission_ARF2)+(secn1)*(pRemission_ARF2*rSP)</f>
        <v>0.10631249999999999</v>
      </c>
      <c r="E61" s="47" t="s">
        <v>218</v>
      </c>
      <c r="F61" s="50">
        <f>(1-secn1)*(pRemission_ARF2)+(secn1)*(pRemission_ARF2*rSP)</f>
        <v>0.10631249999999999</v>
      </c>
      <c r="G61" s="35"/>
      <c r="H61" s="35"/>
      <c r="I61" s="35"/>
      <c r="J61" s="35"/>
      <c r="K61" s="35"/>
      <c r="L61" s="35"/>
      <c r="M61" s="35"/>
      <c r="N61" s="35"/>
      <c r="O61" s="35"/>
      <c r="P61" s="35"/>
      <c r="Q61" s="35"/>
      <c r="R61" s="35"/>
      <c r="S61" s="35"/>
      <c r="T61" s="35"/>
      <c r="U61" s="35"/>
      <c r="V61" s="35"/>
      <c r="W61" s="35"/>
      <c r="X61" s="35"/>
      <c r="Y61" s="35"/>
      <c r="Z61" s="35"/>
    </row>
    <row r="62" spans="1:26">
      <c r="A62" s="35"/>
      <c r="B62" s="46" t="s">
        <v>104</v>
      </c>
      <c r="C62" s="47" t="s">
        <v>208</v>
      </c>
      <c r="D62" s="48">
        <f>(1-surg1)*(pRHDSevere_RHDMild)+(surg1*rVS)</f>
        <v>8.0000000000000016E-2</v>
      </c>
      <c r="E62" s="47" t="s">
        <v>219</v>
      </c>
      <c r="F62" s="50">
        <f>(1-surg1)*(pRHDSevere_RHDMild)+(surg1*rVS)</f>
        <v>8.0000000000000016E-2</v>
      </c>
      <c r="G62" s="35"/>
      <c r="H62" s="35"/>
      <c r="I62" s="35"/>
      <c r="J62" s="35"/>
      <c r="K62" s="35"/>
      <c r="L62" s="35"/>
      <c r="M62" s="35"/>
      <c r="N62" s="35"/>
      <c r="O62" s="35"/>
      <c r="P62" s="35"/>
      <c r="Q62" s="35"/>
      <c r="R62" s="35"/>
      <c r="S62" s="35"/>
      <c r="T62" s="35"/>
      <c r="U62" s="35"/>
      <c r="V62" s="35"/>
      <c r="W62" s="35"/>
      <c r="X62" s="35"/>
      <c r="Y62" s="35"/>
      <c r="Z62" s="35"/>
    </row>
    <row r="63" spans="1:26">
      <c r="A63" s="35"/>
      <c r="B63" s="46"/>
      <c r="C63" s="47"/>
      <c r="D63" s="48"/>
      <c r="E63" s="47"/>
      <c r="F63" s="50"/>
      <c r="G63" s="35"/>
      <c r="H63" s="35"/>
      <c r="I63" s="35"/>
      <c r="J63" s="35"/>
      <c r="K63" s="35"/>
      <c r="L63" s="35"/>
      <c r="M63" s="35"/>
      <c r="N63" s="35"/>
      <c r="O63" s="35"/>
      <c r="P63" s="35"/>
      <c r="Q63" s="35"/>
      <c r="R63" s="35"/>
      <c r="S63" s="35"/>
      <c r="T63" s="35"/>
      <c r="U63" s="35"/>
      <c r="V63" s="35"/>
      <c r="W63" s="35"/>
      <c r="X63" s="35"/>
      <c r="Y63" s="35"/>
      <c r="Z63" s="35"/>
    </row>
    <row r="64" spans="1:26">
      <c r="A64" s="35"/>
      <c r="B64" s="49" t="s">
        <v>169</v>
      </c>
      <c r="C64" s="47"/>
      <c r="D64" s="48"/>
      <c r="E64" s="47"/>
      <c r="F64" s="50"/>
      <c r="G64" s="35"/>
      <c r="H64" s="35"/>
      <c r="I64" s="35"/>
      <c r="J64" s="35"/>
      <c r="K64" s="35"/>
      <c r="L64" s="35"/>
      <c r="M64" s="35"/>
      <c r="N64" s="35"/>
      <c r="O64" s="35"/>
      <c r="P64" s="35"/>
      <c r="Q64" s="35"/>
      <c r="R64" s="35"/>
      <c r="S64" s="35"/>
      <c r="T64" s="35"/>
      <c r="U64" s="35"/>
      <c r="V64" s="35"/>
      <c r="W64" s="35"/>
      <c r="X64" s="35"/>
      <c r="Y64" s="35"/>
      <c r="Z64" s="35"/>
    </row>
    <row r="65" spans="1:26">
      <c r="A65" s="35"/>
      <c r="B65" s="46"/>
      <c r="C65" s="47"/>
      <c r="D65" s="48"/>
      <c r="E65" s="47"/>
      <c r="F65" s="50"/>
      <c r="G65" s="35"/>
      <c r="H65" s="35"/>
      <c r="I65" s="35"/>
      <c r="J65" s="35"/>
      <c r="K65" s="35"/>
      <c r="L65" s="35"/>
      <c r="M65" s="35"/>
      <c r="N65" s="35"/>
      <c r="O65" s="35"/>
      <c r="P65" s="35"/>
      <c r="Q65" s="35"/>
      <c r="R65" s="35"/>
      <c r="S65" s="35"/>
      <c r="T65" s="35"/>
      <c r="U65" s="35"/>
      <c r="V65" s="35"/>
      <c r="W65" s="35"/>
      <c r="X65" s="35"/>
      <c r="Y65" s="35"/>
      <c r="Z65" s="35"/>
    </row>
    <row r="66" spans="1:26">
      <c r="A66" s="35"/>
      <c r="B66" s="46" t="s">
        <v>102</v>
      </c>
      <c r="C66" s="47" t="s">
        <v>209</v>
      </c>
      <c r="D66" s="48">
        <f>(1-prim1)*(pWell_ARF1)+(prim1)*(pWell_ARF1*rPP)</f>
        <v>4.194E-4</v>
      </c>
      <c r="E66" s="47" t="s">
        <v>220</v>
      </c>
      <c r="F66" s="50">
        <f>(1-prim1)*(pWell_ARF1)+(prim1)*(pWell_ARF1*rPP)</f>
        <v>4.194E-4</v>
      </c>
      <c r="G66" s="35"/>
      <c r="H66" s="35"/>
      <c r="I66" s="35"/>
      <c r="J66" s="35"/>
      <c r="K66" s="35"/>
      <c r="L66" s="35"/>
      <c r="M66" s="35"/>
      <c r="N66" s="35"/>
      <c r="O66" s="35"/>
      <c r="P66" s="35"/>
      <c r="Q66" s="35"/>
      <c r="R66" s="35"/>
      <c r="S66" s="35"/>
      <c r="T66" s="35"/>
      <c r="U66" s="35"/>
      <c r="V66" s="35"/>
      <c r="W66" s="35"/>
      <c r="X66" s="35"/>
      <c r="Y66" s="35"/>
      <c r="Z66" s="35"/>
    </row>
    <row r="67" spans="1:26">
      <c r="A67" s="35"/>
      <c r="B67" s="46" t="s">
        <v>103</v>
      </c>
      <c r="C67" s="47" t="s">
        <v>210</v>
      </c>
      <c r="D67" s="48">
        <f>(1-secn1)*(pRemission_ARF2)+(secn1*pRemission_ARF2*rSP)</f>
        <v>0.10631249999999999</v>
      </c>
      <c r="E67" s="47" t="s">
        <v>221</v>
      </c>
      <c r="F67" s="50">
        <f>(1-secn2)*(pRemission_ARF2)+(secn2*pRemission_ARF2*rSP)</f>
        <v>5.5781249999999991E-2</v>
      </c>
      <c r="G67" s="35"/>
      <c r="H67" s="35"/>
      <c r="I67" s="35"/>
      <c r="J67" s="35"/>
      <c r="K67" s="35"/>
      <c r="L67" s="35"/>
      <c r="M67" s="35"/>
      <c r="N67" s="35"/>
      <c r="O67" s="35"/>
      <c r="P67" s="35"/>
      <c r="Q67" s="35"/>
      <c r="R67" s="35"/>
      <c r="S67" s="35"/>
      <c r="T67" s="35"/>
      <c r="U67" s="35"/>
      <c r="V67" s="35"/>
      <c r="W67" s="35"/>
      <c r="X67" s="35"/>
      <c r="Y67" s="35"/>
      <c r="Z67" s="35"/>
    </row>
    <row r="68" spans="1:26">
      <c r="A68" s="35"/>
      <c r="B68" s="46" t="s">
        <v>104</v>
      </c>
      <c r="C68" s="47" t="s">
        <v>211</v>
      </c>
      <c r="D68" s="48">
        <f>(1-surg1)*(pRHDSevere_RHDMild)+(surg1*rVS)</f>
        <v>8.0000000000000016E-2</v>
      </c>
      <c r="E68" s="47" t="s">
        <v>222</v>
      </c>
      <c r="F68" s="50">
        <f>(1-surg1)*(pRHDSevere_RHDMild)+(surg1*rVS)</f>
        <v>8.0000000000000016E-2</v>
      </c>
      <c r="G68" s="35"/>
      <c r="H68" s="35"/>
      <c r="I68" s="35"/>
      <c r="J68" s="35"/>
      <c r="K68" s="35"/>
      <c r="L68" s="35"/>
      <c r="M68" s="35"/>
      <c r="N68" s="35"/>
      <c r="O68" s="35"/>
      <c r="P68" s="35"/>
      <c r="Q68" s="35"/>
      <c r="R68" s="35"/>
      <c r="S68" s="35"/>
      <c r="T68" s="35"/>
      <c r="U68" s="35"/>
      <c r="V68" s="35"/>
      <c r="W68" s="35"/>
      <c r="X68" s="35"/>
      <c r="Y68" s="35"/>
      <c r="Z68" s="35"/>
    </row>
    <row r="69" spans="1:26">
      <c r="A69" s="35"/>
      <c r="B69" s="46"/>
      <c r="C69" s="47"/>
      <c r="D69" s="48"/>
      <c r="E69" s="47"/>
      <c r="F69" s="50"/>
      <c r="G69" s="35"/>
      <c r="H69" s="35"/>
      <c r="I69" s="35"/>
      <c r="J69" s="35"/>
      <c r="K69" s="35"/>
      <c r="L69" s="35"/>
      <c r="M69" s="35"/>
      <c r="N69" s="35"/>
      <c r="O69" s="35"/>
      <c r="P69" s="35"/>
      <c r="Q69" s="35"/>
      <c r="R69" s="35"/>
      <c r="S69" s="35"/>
      <c r="T69" s="35"/>
      <c r="U69" s="35"/>
      <c r="V69" s="35"/>
      <c r="W69" s="35"/>
      <c r="X69" s="35"/>
      <c r="Y69" s="35"/>
      <c r="Z69" s="35"/>
    </row>
    <row r="70" spans="1:26">
      <c r="A70" s="35"/>
      <c r="B70" s="49" t="s">
        <v>201</v>
      </c>
      <c r="C70" s="47"/>
      <c r="D70" s="48"/>
      <c r="E70" s="47"/>
      <c r="F70" s="50"/>
      <c r="G70" s="35"/>
      <c r="H70" s="35"/>
      <c r="I70" s="35"/>
      <c r="J70" s="35"/>
      <c r="K70" s="35"/>
      <c r="L70" s="35"/>
      <c r="M70" s="35"/>
      <c r="N70" s="35"/>
      <c r="O70" s="35"/>
      <c r="P70" s="35"/>
      <c r="Q70" s="35"/>
      <c r="R70" s="35"/>
      <c r="S70" s="35"/>
      <c r="T70" s="35"/>
      <c r="U70" s="35"/>
      <c r="V70" s="35"/>
      <c r="W70" s="35"/>
      <c r="X70" s="35"/>
      <c r="Y70" s="35"/>
      <c r="Z70" s="35"/>
    </row>
    <row r="71" spans="1:26">
      <c r="A71" s="35"/>
      <c r="B71" s="46"/>
      <c r="C71" s="47"/>
      <c r="D71" s="48"/>
      <c r="E71" s="47"/>
      <c r="F71" s="50"/>
      <c r="G71" s="35"/>
      <c r="H71" s="35"/>
      <c r="I71" s="35"/>
      <c r="J71" s="35"/>
      <c r="K71" s="35"/>
      <c r="L71" s="35"/>
      <c r="M71" s="35"/>
      <c r="N71" s="35"/>
      <c r="O71" s="35"/>
      <c r="P71" s="35"/>
      <c r="Q71" s="35"/>
      <c r="R71" s="35"/>
      <c r="S71" s="35"/>
      <c r="T71" s="35"/>
      <c r="U71" s="35"/>
      <c r="V71" s="35"/>
      <c r="W71" s="35"/>
      <c r="X71" s="35"/>
      <c r="Y71" s="35"/>
      <c r="Z71" s="35"/>
    </row>
    <row r="72" spans="1:26">
      <c r="A72" s="35"/>
      <c r="B72" s="46" t="s">
        <v>102</v>
      </c>
      <c r="C72" s="47" t="s">
        <v>212</v>
      </c>
      <c r="D72" s="48">
        <f>(1-prim1)*(pWell_ARF1)+(prim1)*(pWell_ARF1*rPP)</f>
        <v>4.194E-4</v>
      </c>
      <c r="E72" s="47" t="s">
        <v>223</v>
      </c>
      <c r="F72" s="50">
        <f>(1-prim1)*(pWell_ARF1)+(prim1)*(pWell_ARF1*rPP)</f>
        <v>4.194E-4</v>
      </c>
      <c r="G72" s="35"/>
      <c r="H72" s="35"/>
      <c r="I72" s="35"/>
      <c r="J72" s="35"/>
      <c r="K72" s="35"/>
      <c r="L72" s="35"/>
      <c r="M72" s="35"/>
      <c r="N72" s="35"/>
      <c r="O72" s="35"/>
      <c r="P72" s="35"/>
      <c r="Q72" s="35"/>
      <c r="R72" s="35"/>
      <c r="S72" s="35"/>
      <c r="T72" s="35"/>
      <c r="U72" s="35"/>
      <c r="V72" s="35"/>
      <c r="W72" s="35"/>
      <c r="X72" s="35"/>
      <c r="Y72" s="35"/>
      <c r="Z72" s="35"/>
    </row>
    <row r="73" spans="1:26">
      <c r="A73" s="35"/>
      <c r="B73" s="46" t="s">
        <v>103</v>
      </c>
      <c r="C73" s="47" t="s">
        <v>213</v>
      </c>
      <c r="D73" s="48">
        <f>(1-secn1)*(pRemission_ARF2)+(secn1)*(pRemission_ARF2*rSP)</f>
        <v>0.10631249999999999</v>
      </c>
      <c r="E73" s="47" t="s">
        <v>224</v>
      </c>
      <c r="F73" s="50">
        <f>(1-secn1)*(pRemission_ARF2)+(secn1)*(pRemission_ARF2*rSP)</f>
        <v>0.10631249999999999</v>
      </c>
      <c r="G73" s="35"/>
      <c r="H73" s="35"/>
      <c r="I73" s="35"/>
      <c r="J73" s="35"/>
      <c r="K73" s="35"/>
      <c r="L73" s="35"/>
      <c r="M73" s="35"/>
      <c r="N73" s="35"/>
      <c r="O73" s="35"/>
      <c r="P73" s="35"/>
      <c r="Q73" s="35"/>
      <c r="R73" s="35"/>
      <c r="S73" s="35"/>
      <c r="T73" s="35"/>
      <c r="U73" s="35"/>
      <c r="V73" s="35"/>
      <c r="W73" s="35"/>
      <c r="X73" s="35"/>
      <c r="Y73" s="35"/>
      <c r="Z73" s="35"/>
    </row>
    <row r="74" spans="1:26">
      <c r="A74" s="35"/>
      <c r="B74" s="46" t="s">
        <v>104</v>
      </c>
      <c r="C74" s="47" t="s">
        <v>214</v>
      </c>
      <c r="D74" s="48">
        <f>(1-surg1)*(pRHDSevere_RHDMild)+(surg1*rVS)</f>
        <v>8.0000000000000016E-2</v>
      </c>
      <c r="E74" s="47" t="s">
        <v>225</v>
      </c>
      <c r="F74" s="50">
        <f>(1-surg2)*(pRHDSevere_RHDMild)+(surg2*rVS)</f>
        <v>0.76</v>
      </c>
      <c r="G74" s="35"/>
      <c r="H74" s="35"/>
      <c r="I74" s="35"/>
      <c r="J74" s="35"/>
      <c r="K74" s="35"/>
      <c r="L74" s="35"/>
      <c r="M74" s="35"/>
      <c r="N74" s="35"/>
      <c r="O74" s="35"/>
      <c r="P74" s="35"/>
      <c r="Q74" s="35"/>
      <c r="R74" s="35"/>
      <c r="S74" s="35"/>
      <c r="T74" s="35"/>
      <c r="U74" s="35"/>
      <c r="V74" s="35"/>
      <c r="W74" s="35"/>
      <c r="X74" s="35"/>
      <c r="Y74" s="35"/>
      <c r="Z74" s="35"/>
    </row>
    <row r="75" spans="1:26">
      <c r="A75" s="35"/>
      <c r="B75" s="51"/>
      <c r="C75" s="52"/>
      <c r="D75" s="53"/>
      <c r="E75" s="54"/>
      <c r="F75" s="55"/>
      <c r="G75" s="35"/>
      <c r="H75" s="35"/>
      <c r="I75" s="35"/>
      <c r="J75" s="35"/>
      <c r="K75" s="35"/>
      <c r="L75" s="35"/>
      <c r="M75" s="35"/>
      <c r="N75" s="35"/>
      <c r="O75" s="35"/>
      <c r="P75" s="35"/>
      <c r="Q75" s="35"/>
      <c r="R75" s="35"/>
      <c r="S75" s="35"/>
      <c r="T75" s="35"/>
      <c r="U75" s="35"/>
      <c r="V75" s="35"/>
      <c r="W75" s="35"/>
      <c r="X75" s="35"/>
      <c r="Y75" s="35"/>
      <c r="Z75" s="35"/>
    </row>
    <row r="76" spans="1:26">
      <c r="A76" s="35"/>
      <c r="B76" s="35"/>
      <c r="C76" s="35"/>
      <c r="D76" s="35"/>
      <c r="E76" s="35"/>
      <c r="F76" s="35"/>
      <c r="G76" s="35"/>
      <c r="H76" s="35"/>
      <c r="I76" s="35"/>
      <c r="J76" s="35"/>
      <c r="K76" s="35"/>
      <c r="L76" s="35"/>
      <c r="M76" s="35"/>
      <c r="N76" s="35"/>
      <c r="O76" s="35"/>
      <c r="P76" s="35"/>
      <c r="Q76" s="35"/>
      <c r="R76" s="35"/>
      <c r="S76" s="35"/>
      <c r="T76" s="35"/>
      <c r="U76" s="35"/>
      <c r="V76" s="35"/>
      <c r="W76" s="35"/>
      <c r="X76" s="35"/>
      <c r="Y76" s="35"/>
      <c r="Z76" s="35"/>
    </row>
    <row r="77" spans="1:26">
      <c r="A77" s="35"/>
      <c r="B77" s="35"/>
      <c r="C77" s="35"/>
      <c r="D77" s="35"/>
      <c r="E77" s="35"/>
      <c r="F77" s="35"/>
      <c r="G77" s="35"/>
      <c r="H77" s="35"/>
      <c r="I77" s="35"/>
      <c r="J77" s="35"/>
      <c r="K77" s="35"/>
      <c r="L77" s="35"/>
      <c r="M77" s="35"/>
      <c r="N77" s="35"/>
      <c r="O77" s="35"/>
      <c r="P77" s="35"/>
      <c r="Q77" s="35"/>
      <c r="R77" s="35"/>
      <c r="S77" s="35"/>
      <c r="T77" s="35"/>
      <c r="U77" s="35"/>
      <c r="V77" s="35"/>
      <c r="W77" s="35"/>
      <c r="X77" s="35"/>
      <c r="Y77" s="35"/>
      <c r="Z77" s="35"/>
    </row>
    <row r="78" spans="1:26">
      <c r="A78" s="35"/>
      <c r="B78" s="35"/>
      <c r="C78" s="35"/>
      <c r="D78" s="35"/>
      <c r="E78" s="35"/>
      <c r="F78" s="35"/>
      <c r="G78" s="35"/>
      <c r="H78" s="35"/>
      <c r="I78" s="35"/>
      <c r="J78" s="35"/>
      <c r="K78" s="35"/>
      <c r="L78" s="35"/>
      <c r="M78" s="35"/>
      <c r="N78" s="35"/>
      <c r="O78" s="35"/>
      <c r="P78" s="35"/>
      <c r="Q78" s="35"/>
      <c r="R78" s="35"/>
      <c r="S78" s="35"/>
      <c r="T78" s="35"/>
      <c r="U78" s="35"/>
      <c r="V78" s="35"/>
      <c r="W78" s="35"/>
      <c r="X78" s="35"/>
      <c r="Y78" s="35"/>
      <c r="Z78" s="35"/>
    </row>
    <row r="79" spans="1:26">
      <c r="A79" s="35"/>
      <c r="B79" s="35"/>
      <c r="C79" s="35"/>
      <c r="D79" s="35"/>
      <c r="E79" s="35"/>
      <c r="F79" s="35"/>
      <c r="G79" s="35"/>
      <c r="H79" s="35"/>
      <c r="I79" s="35"/>
      <c r="J79" s="35"/>
      <c r="K79" s="35"/>
      <c r="L79" s="35"/>
      <c r="M79" s="35"/>
      <c r="N79" s="35"/>
      <c r="O79" s="35"/>
      <c r="P79" s="35"/>
      <c r="Q79" s="35"/>
      <c r="R79" s="35"/>
      <c r="S79" s="35"/>
      <c r="T79" s="35"/>
      <c r="U79" s="35"/>
      <c r="V79" s="35"/>
      <c r="W79" s="35"/>
      <c r="X79" s="35"/>
      <c r="Y79" s="35"/>
      <c r="Z79" s="35"/>
    </row>
    <row r="80" spans="1:26">
      <c r="A80" s="35"/>
      <c r="B80" s="35"/>
      <c r="C80" s="35"/>
      <c r="D80" s="35"/>
      <c r="E80" s="35"/>
      <c r="F80" s="35"/>
      <c r="G80" s="35"/>
      <c r="H80" s="35"/>
      <c r="I80" s="35"/>
      <c r="J80" s="35"/>
      <c r="K80" s="35"/>
      <c r="L80" s="35"/>
      <c r="M80" s="35"/>
      <c r="N80" s="35"/>
      <c r="O80" s="35"/>
      <c r="P80" s="35"/>
      <c r="Q80" s="35"/>
      <c r="R80" s="35"/>
      <c r="S80" s="35"/>
      <c r="T80" s="35"/>
      <c r="U80" s="35"/>
      <c r="V80" s="35"/>
      <c r="W80" s="35"/>
      <c r="X80" s="35"/>
      <c r="Y80" s="35"/>
      <c r="Z80" s="35"/>
    </row>
    <row r="81" spans="1:26">
      <c r="A81" s="35"/>
      <c r="B81" s="35"/>
      <c r="C81" s="35"/>
      <c r="D81" s="35"/>
      <c r="E81" s="35"/>
      <c r="F81" s="35"/>
      <c r="G81" s="35"/>
      <c r="H81" s="35"/>
      <c r="I81" s="35"/>
      <c r="J81" s="35"/>
      <c r="K81" s="35"/>
      <c r="L81" s="35"/>
      <c r="M81" s="35"/>
      <c r="N81" s="35"/>
      <c r="O81" s="35"/>
      <c r="P81" s="35"/>
      <c r="Q81" s="35"/>
      <c r="R81" s="35"/>
      <c r="S81" s="35"/>
      <c r="T81" s="35"/>
      <c r="U81" s="35"/>
      <c r="V81" s="35"/>
      <c r="W81" s="35"/>
      <c r="X81" s="35"/>
      <c r="Y81" s="35"/>
      <c r="Z81" s="35"/>
    </row>
    <row r="82" spans="1:26">
      <c r="A82" s="35"/>
      <c r="B82" s="35"/>
      <c r="C82" s="35"/>
      <c r="D82" s="35"/>
      <c r="E82" s="35"/>
      <c r="F82" s="35"/>
      <c r="G82" s="35"/>
      <c r="H82" s="35"/>
      <c r="I82" s="35"/>
      <c r="J82" s="35"/>
      <c r="K82" s="35"/>
      <c r="L82" s="35"/>
      <c r="M82" s="35"/>
      <c r="N82" s="35"/>
      <c r="O82" s="35"/>
      <c r="P82" s="35"/>
      <c r="Q82" s="35"/>
      <c r="R82" s="35"/>
      <c r="S82" s="35"/>
      <c r="T82" s="35"/>
      <c r="U82" s="35"/>
      <c r="V82" s="35"/>
      <c r="W82" s="35"/>
      <c r="X82" s="35"/>
      <c r="Y82" s="35"/>
      <c r="Z82" s="35"/>
    </row>
    <row r="83" spans="1:26">
      <c r="A83" s="35"/>
      <c r="B83" s="35"/>
      <c r="C83" s="35"/>
      <c r="D83" s="35"/>
      <c r="E83" s="35"/>
      <c r="F83" s="35"/>
      <c r="G83" s="35"/>
      <c r="H83" s="35"/>
      <c r="I83" s="35"/>
      <c r="J83" s="35"/>
      <c r="K83" s="35"/>
      <c r="L83" s="35"/>
      <c r="M83" s="35"/>
      <c r="N83" s="35"/>
      <c r="O83" s="35"/>
      <c r="P83" s="35"/>
      <c r="Q83" s="35"/>
      <c r="R83" s="35"/>
      <c r="S83" s="35"/>
      <c r="T83" s="35"/>
      <c r="U83" s="35"/>
      <c r="V83" s="35"/>
      <c r="W83" s="35"/>
      <c r="X83" s="35"/>
      <c r="Y83" s="35"/>
      <c r="Z83" s="35"/>
    </row>
    <row r="84" spans="1:26">
      <c r="A84" s="35"/>
      <c r="B84" s="35"/>
      <c r="C84" s="35"/>
      <c r="D84" s="35"/>
      <c r="E84" s="35"/>
      <c r="F84" s="35"/>
      <c r="G84" s="35"/>
      <c r="H84" s="35"/>
      <c r="I84" s="35"/>
      <c r="J84" s="35"/>
      <c r="K84" s="35"/>
      <c r="L84" s="35"/>
      <c r="M84" s="35"/>
      <c r="N84" s="35"/>
      <c r="O84" s="35"/>
      <c r="P84" s="35"/>
      <c r="Q84" s="35"/>
      <c r="R84" s="35"/>
      <c r="S84" s="35"/>
      <c r="T84" s="35"/>
      <c r="U84" s="35"/>
      <c r="V84" s="35"/>
      <c r="W84" s="35"/>
      <c r="X84" s="35"/>
      <c r="Y84" s="35"/>
      <c r="Z84" s="35"/>
    </row>
    <row r="85" spans="1:26">
      <c r="A85" s="35"/>
      <c r="B85" s="35"/>
      <c r="C85" s="35"/>
      <c r="D85" s="35"/>
      <c r="E85" s="35"/>
      <c r="F85" s="35"/>
      <c r="G85" s="35"/>
      <c r="H85" s="35"/>
      <c r="I85" s="35"/>
      <c r="J85" s="35"/>
      <c r="K85" s="35"/>
      <c r="L85" s="35"/>
      <c r="M85" s="35"/>
      <c r="N85" s="35"/>
      <c r="O85" s="35"/>
      <c r="P85" s="35"/>
      <c r="Q85" s="35"/>
      <c r="R85" s="35"/>
      <c r="S85" s="35"/>
      <c r="T85" s="35"/>
      <c r="U85" s="35"/>
      <c r="V85" s="35"/>
      <c r="W85" s="35"/>
      <c r="X85" s="35"/>
      <c r="Y85" s="35"/>
      <c r="Z85" s="35"/>
    </row>
    <row r="86" spans="1:26">
      <c r="A86" s="35"/>
      <c r="B86" s="35"/>
      <c r="C86" s="35"/>
      <c r="D86" s="35"/>
      <c r="E86" s="35"/>
      <c r="F86" s="35"/>
      <c r="G86" s="35"/>
      <c r="H86" s="35"/>
      <c r="I86" s="35"/>
      <c r="J86" s="35"/>
      <c r="K86" s="35"/>
      <c r="L86" s="35"/>
      <c r="M86" s="35"/>
      <c r="N86" s="35"/>
      <c r="O86" s="35"/>
      <c r="P86" s="35"/>
      <c r="Q86" s="35"/>
      <c r="R86" s="35"/>
      <c r="S86" s="35"/>
      <c r="T86" s="35"/>
      <c r="U86" s="35"/>
      <c r="V86" s="35"/>
      <c r="W86" s="35"/>
      <c r="X86" s="35"/>
      <c r="Y86" s="35"/>
      <c r="Z86" s="35"/>
    </row>
    <row r="87" spans="1:26">
      <c r="A87" s="35"/>
      <c r="B87" s="35"/>
      <c r="C87" s="35"/>
      <c r="D87" s="35"/>
      <c r="E87" s="35"/>
      <c r="F87" s="35"/>
      <c r="G87" s="35"/>
      <c r="H87" s="35"/>
      <c r="I87" s="35"/>
      <c r="J87" s="35"/>
      <c r="K87" s="35"/>
      <c r="L87" s="35"/>
      <c r="M87" s="35"/>
      <c r="N87" s="35"/>
      <c r="O87" s="35"/>
      <c r="P87" s="35"/>
      <c r="Q87" s="35"/>
      <c r="R87" s="35"/>
      <c r="S87" s="35"/>
      <c r="T87" s="35"/>
      <c r="U87" s="35"/>
      <c r="V87" s="35"/>
      <c r="W87" s="35"/>
      <c r="X87" s="35"/>
      <c r="Y87" s="35"/>
      <c r="Z87" s="35"/>
    </row>
    <row r="88" spans="1:26">
      <c r="A88" s="35"/>
      <c r="B88" s="35"/>
      <c r="C88" s="35"/>
      <c r="D88" s="35"/>
      <c r="E88" s="35"/>
      <c r="F88" s="35"/>
      <c r="G88" s="35"/>
      <c r="H88" s="35"/>
      <c r="I88" s="35"/>
      <c r="J88" s="35"/>
      <c r="K88" s="35"/>
      <c r="L88" s="35"/>
      <c r="M88" s="35"/>
      <c r="N88" s="35"/>
      <c r="O88" s="35"/>
      <c r="P88" s="35"/>
      <c r="Q88" s="35"/>
      <c r="R88" s="35"/>
      <c r="S88" s="35"/>
      <c r="T88" s="35"/>
      <c r="U88" s="35"/>
      <c r="V88" s="35"/>
      <c r="W88" s="35"/>
      <c r="X88" s="35"/>
      <c r="Y88" s="35"/>
      <c r="Z88" s="35"/>
    </row>
    <row r="89" spans="1:26">
      <c r="A89" s="35"/>
      <c r="B89" s="35"/>
      <c r="C89" s="35"/>
      <c r="D89" s="35"/>
      <c r="E89" s="35"/>
      <c r="F89" s="35"/>
      <c r="G89" s="35"/>
      <c r="H89" s="35"/>
      <c r="I89" s="35"/>
      <c r="J89" s="35"/>
      <c r="K89" s="35"/>
      <c r="L89" s="35"/>
      <c r="M89" s="35"/>
      <c r="N89" s="35"/>
      <c r="O89" s="35"/>
      <c r="P89" s="35"/>
      <c r="Q89" s="35"/>
      <c r="R89" s="35"/>
      <c r="S89" s="35"/>
      <c r="T89" s="35"/>
      <c r="U89" s="35"/>
      <c r="V89" s="35"/>
      <c r="W89" s="35"/>
      <c r="X89" s="35"/>
      <c r="Y89" s="35"/>
      <c r="Z89" s="35"/>
    </row>
    <row r="90" spans="1:26">
      <c r="A90" s="35"/>
      <c r="B90" s="35"/>
      <c r="C90" s="35"/>
      <c r="D90" s="35"/>
      <c r="E90" s="35"/>
      <c r="F90" s="35"/>
      <c r="G90" s="35"/>
      <c r="H90" s="35"/>
      <c r="I90" s="35"/>
      <c r="J90" s="35"/>
      <c r="K90" s="35"/>
      <c r="L90" s="35"/>
      <c r="M90" s="35"/>
      <c r="N90" s="35"/>
      <c r="O90" s="35"/>
      <c r="P90" s="35"/>
      <c r="Q90" s="35"/>
      <c r="R90" s="35"/>
      <c r="S90" s="35"/>
      <c r="T90" s="35"/>
      <c r="U90" s="35"/>
      <c r="V90" s="35"/>
      <c r="W90" s="35"/>
      <c r="X90" s="35"/>
      <c r="Y90" s="35"/>
      <c r="Z90" s="35"/>
    </row>
    <row r="91" spans="1:26">
      <c r="A91" s="35"/>
      <c r="B91" s="35"/>
      <c r="C91" s="35"/>
      <c r="D91" s="35"/>
      <c r="E91" s="35"/>
      <c r="F91" s="35"/>
      <c r="G91" s="35"/>
      <c r="H91" s="35"/>
      <c r="I91" s="35"/>
      <c r="J91" s="35"/>
      <c r="K91" s="35"/>
      <c r="L91" s="35"/>
      <c r="M91" s="35"/>
      <c r="N91" s="35"/>
      <c r="O91" s="35"/>
      <c r="P91" s="35"/>
      <c r="Q91" s="35"/>
      <c r="R91" s="35"/>
      <c r="S91" s="35"/>
      <c r="T91" s="35"/>
      <c r="U91" s="35"/>
      <c r="V91" s="35"/>
      <c r="W91" s="35"/>
      <c r="X91" s="35"/>
      <c r="Y91" s="35"/>
      <c r="Z91" s="35"/>
    </row>
    <row r="92" spans="1:26">
      <c r="A92" s="35"/>
      <c r="B92" s="35"/>
      <c r="C92" s="35"/>
      <c r="D92" s="35"/>
      <c r="E92" s="35"/>
      <c r="F92" s="35"/>
      <c r="G92" s="35"/>
      <c r="H92" s="35"/>
      <c r="I92" s="35"/>
      <c r="J92" s="35"/>
      <c r="K92" s="35"/>
      <c r="L92" s="35"/>
      <c r="M92" s="35"/>
      <c r="N92" s="35"/>
      <c r="O92" s="35"/>
      <c r="P92" s="35"/>
      <c r="Q92" s="35"/>
      <c r="R92" s="35"/>
      <c r="S92" s="35"/>
      <c r="T92" s="35"/>
      <c r="U92" s="35"/>
      <c r="V92" s="35"/>
      <c r="W92" s="35"/>
      <c r="X92" s="35"/>
      <c r="Y92" s="35"/>
      <c r="Z92" s="35"/>
    </row>
    <row r="93" spans="1:26">
      <c r="A93" s="35"/>
      <c r="B93" s="35"/>
      <c r="C93" s="35"/>
      <c r="D93" s="35"/>
      <c r="E93" s="35"/>
      <c r="F93" s="35"/>
      <c r="G93" s="35"/>
      <c r="H93" s="35"/>
      <c r="I93" s="35"/>
      <c r="J93" s="35"/>
      <c r="K93" s="35"/>
      <c r="L93" s="35"/>
      <c r="M93" s="35"/>
      <c r="N93" s="35"/>
      <c r="O93" s="35"/>
      <c r="P93" s="35"/>
      <c r="Q93" s="35"/>
      <c r="R93" s="35"/>
      <c r="S93" s="35"/>
      <c r="T93" s="35"/>
      <c r="U93" s="35"/>
      <c r="V93" s="35"/>
      <c r="W93" s="35"/>
      <c r="X93" s="35"/>
      <c r="Y93" s="35"/>
      <c r="Z93" s="35"/>
    </row>
    <row r="94" spans="1:26">
      <c r="A94" s="35"/>
      <c r="B94" s="35"/>
      <c r="C94" s="35"/>
      <c r="D94" s="35"/>
      <c r="E94" s="35"/>
      <c r="F94" s="35"/>
      <c r="G94" s="35"/>
      <c r="H94" s="35"/>
      <c r="I94" s="35"/>
      <c r="J94" s="35"/>
      <c r="K94" s="35"/>
      <c r="L94" s="35"/>
      <c r="M94" s="35"/>
      <c r="N94" s="35"/>
      <c r="O94" s="35"/>
      <c r="P94" s="35"/>
      <c r="Q94" s="35"/>
      <c r="R94" s="35"/>
      <c r="S94" s="35"/>
      <c r="T94" s="35"/>
      <c r="U94" s="35"/>
      <c r="V94" s="35"/>
      <c r="W94" s="35"/>
      <c r="X94" s="35"/>
      <c r="Y94" s="35"/>
      <c r="Z94" s="35"/>
    </row>
    <row r="95" spans="1:26">
      <c r="A95" s="35"/>
      <c r="B95" s="35"/>
      <c r="C95" s="35"/>
      <c r="D95" s="35"/>
      <c r="E95" s="35"/>
      <c r="F95" s="35"/>
      <c r="G95" s="35"/>
      <c r="H95" s="35"/>
      <c r="I95" s="35"/>
      <c r="J95" s="35"/>
      <c r="K95" s="35"/>
      <c r="L95" s="35"/>
      <c r="M95" s="35"/>
      <c r="N95" s="35"/>
      <c r="O95" s="35"/>
      <c r="P95" s="35"/>
      <c r="Q95" s="35"/>
      <c r="R95" s="35"/>
      <c r="S95" s="35"/>
      <c r="T95" s="35"/>
      <c r="U95" s="35"/>
      <c r="V95" s="35"/>
      <c r="W95" s="35"/>
      <c r="X95" s="35"/>
      <c r="Y95" s="35"/>
      <c r="Z95" s="35"/>
    </row>
    <row r="96" spans="1:26">
      <c r="A96" s="35"/>
      <c r="B96" s="35"/>
      <c r="C96" s="35"/>
      <c r="D96" s="35"/>
      <c r="E96" s="35"/>
      <c r="F96" s="35"/>
      <c r="G96" s="35"/>
      <c r="H96" s="35"/>
      <c r="I96" s="35"/>
      <c r="J96" s="35"/>
      <c r="K96" s="35"/>
      <c r="L96" s="35"/>
      <c r="M96" s="35"/>
      <c r="N96" s="35"/>
      <c r="O96" s="35"/>
      <c r="P96" s="35"/>
      <c r="Q96" s="35"/>
      <c r="R96" s="35"/>
      <c r="S96" s="35"/>
      <c r="T96" s="35"/>
      <c r="U96" s="35"/>
      <c r="V96" s="35"/>
      <c r="W96" s="35"/>
      <c r="X96" s="35"/>
      <c r="Y96" s="35"/>
      <c r="Z96" s="35"/>
    </row>
    <row r="97" spans="1:26">
      <c r="A97" s="35"/>
      <c r="B97" s="35"/>
      <c r="C97" s="35"/>
      <c r="D97" s="35"/>
      <c r="E97" s="35"/>
      <c r="F97" s="35"/>
      <c r="G97" s="35"/>
      <c r="H97" s="35"/>
      <c r="I97" s="35"/>
      <c r="J97" s="35"/>
      <c r="K97" s="35"/>
      <c r="L97" s="35"/>
      <c r="M97" s="35"/>
      <c r="N97" s="35"/>
      <c r="O97" s="35"/>
      <c r="P97" s="35"/>
      <c r="Q97" s="35"/>
      <c r="R97" s="35"/>
      <c r="S97" s="35"/>
      <c r="T97" s="35"/>
      <c r="U97" s="35"/>
      <c r="V97" s="35"/>
      <c r="W97" s="35"/>
      <c r="X97" s="35"/>
      <c r="Y97" s="35"/>
      <c r="Z97" s="35"/>
    </row>
    <row r="98" spans="1:26">
      <c r="A98" s="35"/>
      <c r="B98" s="35"/>
      <c r="C98" s="35"/>
      <c r="D98" s="35"/>
      <c r="E98" s="35"/>
      <c r="F98" s="35"/>
      <c r="G98" s="35"/>
      <c r="H98" s="35"/>
      <c r="I98" s="35"/>
      <c r="J98" s="35"/>
      <c r="K98" s="35"/>
      <c r="L98" s="35"/>
      <c r="M98" s="35"/>
      <c r="N98" s="35"/>
      <c r="O98" s="35"/>
      <c r="P98" s="35"/>
      <c r="Q98" s="35"/>
      <c r="R98" s="35"/>
      <c r="S98" s="35"/>
      <c r="T98" s="35"/>
      <c r="U98" s="35"/>
      <c r="V98" s="35"/>
      <c r="W98" s="35"/>
      <c r="X98" s="35"/>
      <c r="Y98" s="35"/>
      <c r="Z98" s="35"/>
    </row>
    <row r="99" spans="1:26">
      <c r="A99" s="35"/>
      <c r="B99" s="35"/>
      <c r="C99" s="35"/>
      <c r="D99" s="35"/>
      <c r="E99" s="35"/>
      <c r="F99" s="35"/>
      <c r="G99" s="35"/>
      <c r="H99" s="35"/>
      <c r="I99" s="35"/>
      <c r="J99" s="35"/>
      <c r="K99" s="35"/>
      <c r="L99" s="35"/>
      <c r="M99" s="35"/>
      <c r="N99" s="35"/>
      <c r="O99" s="35"/>
      <c r="P99" s="35"/>
      <c r="Q99" s="35"/>
      <c r="R99" s="35"/>
      <c r="S99" s="35"/>
      <c r="T99" s="35"/>
      <c r="U99" s="35"/>
      <c r="V99" s="35"/>
      <c r="W99" s="35"/>
      <c r="X99" s="35"/>
      <c r="Y99" s="35"/>
      <c r="Z99" s="35"/>
    </row>
    <row r="100" spans="1:26">
      <c r="A100" s="35"/>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row>
    <row r="101" spans="1:26">
      <c r="A101" s="35"/>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row>
    <row r="102" spans="1:26">
      <c r="A102" s="35"/>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row>
    <row r="103" spans="1:26">
      <c r="A103" s="35"/>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row>
    <row r="104" spans="1:26">
      <c r="A104" s="35"/>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row>
    <row r="105" spans="1:26">
      <c r="A105" s="35"/>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row>
    <row r="106" spans="1:26">
      <c r="A106" s="35"/>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row>
    <row r="107" spans="1:26">
      <c r="A107" s="35"/>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row>
    <row r="108" spans="1:26">
      <c r="A108" s="35"/>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row>
    <row r="109" spans="1:26">
      <c r="A109" s="35"/>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row>
    <row r="110" spans="1:26">
      <c r="A110" s="35"/>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row>
    <row r="111" spans="1:26">
      <c r="A111" s="35"/>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row>
    <row r="112" spans="1:26">
      <c r="A112" s="35"/>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row>
    <row r="113" spans="1:26">
      <c r="A113" s="35"/>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row>
    <row r="114" spans="1:26">
      <c r="A114" s="35"/>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row>
    <row r="115" spans="1:26">
      <c r="A115" s="35"/>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row>
    <row r="116" spans="1:26">
      <c r="A116" s="35"/>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row>
    <row r="117" spans="1:26">
      <c r="A117" s="35"/>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row>
    <row r="118" spans="1:26">
      <c r="A118" s="35"/>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row>
    <row r="119" spans="1:26">
      <c r="A119" s="35"/>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row>
    <row r="120" spans="1:26">
      <c r="A120" s="35"/>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row>
    <row r="121" spans="1:26">
      <c r="A121" s="35"/>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row>
    <row r="122" spans="1:26">
      <c r="A122" s="35"/>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row>
    <row r="123" spans="1:26">
      <c r="A123" s="35"/>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row>
    <row r="124" spans="1:26">
      <c r="A124" s="35"/>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row>
    <row r="125" spans="1:26">
      <c r="A125" s="35"/>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row>
    <row r="126" spans="1:26">
      <c r="A126" s="35"/>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row>
    <row r="127" spans="1:26">
      <c r="A127" s="35"/>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row>
    <row r="128" spans="1:26">
      <c r="A128" s="35"/>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row>
    <row r="129" spans="1:26">
      <c r="A129" s="35"/>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row>
    <row r="130" spans="1:26">
      <c r="A130" s="35"/>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row>
    <row r="131" spans="1:26">
      <c r="A131" s="35"/>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row>
    <row r="132" spans="1:26">
      <c r="A132" s="35"/>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row>
    <row r="133" spans="1:26">
      <c r="A133" s="35"/>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row>
    <row r="134" spans="1:26">
      <c r="A134" s="35"/>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row>
    <row r="135" spans="1:26">
      <c r="A135" s="35"/>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row>
    <row r="136" spans="1:26">
      <c r="A136" s="35"/>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row>
    <row r="137" spans="1:26">
      <c r="A137" s="35"/>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row>
    <row r="138" spans="1:26">
      <c r="A138" s="35"/>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row>
    <row r="139" spans="1:26">
      <c r="A139" s="35"/>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row>
    <row r="140" spans="1:26">
      <c r="A140" s="35"/>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row>
    <row r="141" spans="1:26">
      <c r="A141" s="35"/>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row>
    <row r="142" spans="1:26">
      <c r="A142" s="35"/>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row>
    <row r="143" spans="1:26">
      <c r="A143" s="35"/>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row>
    <row r="144" spans="1:26">
      <c r="A144" s="35"/>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row>
    <row r="145" spans="1:26">
      <c r="A145" s="35"/>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row>
    <row r="146" spans="1:26">
      <c r="A146" s="35"/>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row>
    <row r="147" spans="1:26">
      <c r="A147" s="35"/>
      <c r="B147" s="35"/>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row>
    <row r="148" spans="1:26">
      <c r="A148" s="35"/>
      <c r="B148" s="35"/>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row>
    <row r="149" spans="1:26">
      <c r="A149" s="35"/>
      <c r="B149" s="35"/>
      <c r="C149" s="35"/>
      <c r="D149" s="35"/>
      <c r="E149" s="35"/>
      <c r="F149" s="35"/>
      <c r="G149" s="35"/>
      <c r="H149" s="35"/>
      <c r="I149" s="35"/>
      <c r="J149" s="35"/>
      <c r="K149" s="35"/>
      <c r="L149" s="35"/>
      <c r="M149" s="35"/>
      <c r="N149" s="35"/>
      <c r="O149" s="35"/>
      <c r="P149" s="35"/>
      <c r="Q149" s="35"/>
      <c r="R149" s="35"/>
      <c r="S149" s="35"/>
      <c r="T149" s="35"/>
      <c r="U149" s="35"/>
      <c r="V149" s="35"/>
      <c r="W149" s="35"/>
      <c r="X149" s="35"/>
      <c r="Y149" s="35"/>
      <c r="Z149" s="35"/>
    </row>
    <row r="150" spans="1:26">
      <c r="A150" s="35"/>
      <c r="B150" s="35"/>
      <c r="C150" s="35"/>
      <c r="D150" s="35"/>
      <c r="E150" s="35"/>
      <c r="F150" s="35"/>
      <c r="G150" s="35"/>
      <c r="H150" s="35"/>
      <c r="I150" s="35"/>
      <c r="J150" s="35"/>
      <c r="K150" s="35"/>
      <c r="L150" s="35"/>
      <c r="M150" s="35"/>
      <c r="N150" s="35"/>
      <c r="O150" s="35"/>
      <c r="P150" s="35"/>
      <c r="Q150" s="35"/>
      <c r="R150" s="35"/>
      <c r="S150" s="35"/>
      <c r="T150" s="35"/>
      <c r="U150" s="35"/>
      <c r="V150" s="35"/>
      <c r="W150" s="35"/>
      <c r="X150" s="35"/>
      <c r="Y150" s="35"/>
      <c r="Z150" s="35"/>
    </row>
    <row r="151" spans="1:26">
      <c r="A151" s="35"/>
      <c r="B151" s="35"/>
      <c r="C151" s="35"/>
      <c r="D151" s="35"/>
      <c r="E151" s="35"/>
      <c r="F151" s="35"/>
      <c r="G151" s="35"/>
      <c r="H151" s="35"/>
      <c r="I151" s="35"/>
      <c r="J151" s="35"/>
      <c r="K151" s="35"/>
      <c r="L151" s="35"/>
      <c r="M151" s="35"/>
      <c r="N151" s="35"/>
      <c r="O151" s="35"/>
      <c r="P151" s="35"/>
      <c r="Q151" s="35"/>
      <c r="R151" s="35"/>
      <c r="S151" s="35"/>
      <c r="T151" s="35"/>
      <c r="U151" s="35"/>
      <c r="V151" s="35"/>
      <c r="W151" s="35"/>
      <c r="X151" s="35"/>
      <c r="Y151" s="35"/>
      <c r="Z151" s="35"/>
    </row>
    <row r="152" spans="1:26">
      <c r="A152" s="35"/>
      <c r="B152" s="35"/>
      <c r="C152" s="35"/>
      <c r="D152" s="35"/>
      <c r="E152" s="35"/>
      <c r="F152" s="35"/>
      <c r="G152" s="35"/>
      <c r="H152" s="35"/>
      <c r="I152" s="35"/>
      <c r="J152" s="35"/>
      <c r="K152" s="35"/>
      <c r="L152" s="35"/>
      <c r="M152" s="35"/>
      <c r="N152" s="35"/>
      <c r="O152" s="35"/>
      <c r="P152" s="35"/>
      <c r="Q152" s="35"/>
      <c r="R152" s="35"/>
      <c r="S152" s="35"/>
      <c r="T152" s="35"/>
      <c r="U152" s="35"/>
      <c r="V152" s="35"/>
      <c r="W152" s="35"/>
      <c r="X152" s="35"/>
      <c r="Y152" s="35"/>
      <c r="Z152" s="35"/>
    </row>
    <row r="153" spans="1:26">
      <c r="A153" s="35"/>
      <c r="B153" s="35"/>
      <c r="C153" s="35"/>
      <c r="D153" s="35"/>
      <c r="E153" s="35"/>
      <c r="F153" s="35"/>
      <c r="G153" s="35"/>
      <c r="H153" s="35"/>
      <c r="I153" s="35"/>
      <c r="J153" s="35"/>
      <c r="K153" s="35"/>
      <c r="L153" s="35"/>
      <c r="M153" s="35"/>
      <c r="N153" s="35"/>
      <c r="O153" s="35"/>
      <c r="P153" s="35"/>
      <c r="Q153" s="35"/>
      <c r="R153" s="35"/>
      <c r="S153" s="35"/>
      <c r="T153" s="35"/>
      <c r="U153" s="35"/>
      <c r="V153" s="35"/>
      <c r="W153" s="35"/>
      <c r="X153" s="35"/>
      <c r="Y153" s="35"/>
      <c r="Z153" s="35"/>
    </row>
    <row r="154" spans="1:26">
      <c r="A154" s="35"/>
      <c r="B154" s="35"/>
      <c r="C154" s="35"/>
      <c r="D154" s="35"/>
      <c r="E154" s="35"/>
      <c r="F154" s="35"/>
      <c r="G154" s="35"/>
      <c r="H154" s="35"/>
      <c r="I154" s="35"/>
      <c r="J154" s="35"/>
      <c r="K154" s="35"/>
      <c r="L154" s="35"/>
      <c r="M154" s="35"/>
      <c r="N154" s="35"/>
      <c r="O154" s="35"/>
      <c r="P154" s="35"/>
      <c r="Q154" s="35"/>
      <c r="R154" s="35"/>
      <c r="S154" s="35"/>
      <c r="T154" s="35"/>
      <c r="U154" s="35"/>
      <c r="V154" s="35"/>
      <c r="W154" s="35"/>
      <c r="X154" s="35"/>
      <c r="Y154" s="35"/>
      <c r="Z154" s="35"/>
    </row>
    <row r="155" spans="1:26">
      <c r="A155" s="35"/>
      <c r="B155" s="35"/>
      <c r="C155" s="35"/>
      <c r="D155" s="35"/>
      <c r="E155" s="35"/>
      <c r="F155" s="35"/>
      <c r="G155" s="35"/>
      <c r="H155" s="35"/>
      <c r="I155" s="35"/>
      <c r="J155" s="35"/>
      <c r="K155" s="35"/>
      <c r="L155" s="35"/>
      <c r="M155" s="35"/>
      <c r="N155" s="35"/>
      <c r="O155" s="35"/>
      <c r="P155" s="35"/>
      <c r="Q155" s="35"/>
      <c r="R155" s="35"/>
      <c r="S155" s="35"/>
      <c r="T155" s="35"/>
      <c r="U155" s="35"/>
      <c r="V155" s="35"/>
      <c r="W155" s="35"/>
      <c r="X155" s="35"/>
      <c r="Y155" s="35"/>
      <c r="Z155" s="35"/>
    </row>
    <row r="156" spans="1:26">
      <c r="A156" s="35"/>
      <c r="B156" s="35"/>
      <c r="C156" s="35"/>
      <c r="D156" s="35"/>
      <c r="E156" s="35"/>
      <c r="F156" s="35"/>
      <c r="G156" s="35"/>
      <c r="H156" s="35"/>
      <c r="I156" s="35"/>
      <c r="J156" s="35"/>
      <c r="K156" s="35"/>
      <c r="L156" s="35"/>
      <c r="M156" s="35"/>
      <c r="N156" s="35"/>
      <c r="O156" s="35"/>
      <c r="P156" s="35"/>
      <c r="Q156" s="35"/>
      <c r="R156" s="35"/>
      <c r="S156" s="35"/>
      <c r="T156" s="35"/>
      <c r="U156" s="35"/>
      <c r="V156" s="35"/>
      <c r="W156" s="35"/>
      <c r="X156" s="35"/>
      <c r="Y156" s="35"/>
      <c r="Z156" s="35"/>
    </row>
    <row r="157" spans="1:26">
      <c r="A157" s="35"/>
      <c r="B157" s="35"/>
      <c r="C157" s="35"/>
      <c r="D157" s="35"/>
      <c r="E157" s="35"/>
      <c r="F157" s="35"/>
      <c r="G157" s="35"/>
      <c r="H157" s="35"/>
      <c r="I157" s="35"/>
      <c r="J157" s="35"/>
      <c r="K157" s="35"/>
      <c r="L157" s="35"/>
      <c r="M157" s="35"/>
      <c r="N157" s="35"/>
      <c r="O157" s="35"/>
      <c r="P157" s="35"/>
      <c r="Q157" s="35"/>
      <c r="R157" s="35"/>
      <c r="S157" s="35"/>
      <c r="T157" s="35"/>
      <c r="U157" s="35"/>
      <c r="V157" s="35"/>
      <c r="W157" s="35"/>
      <c r="X157" s="35"/>
      <c r="Y157" s="35"/>
      <c r="Z157" s="35"/>
    </row>
    <row r="158" spans="1:26">
      <c r="A158" s="35"/>
      <c r="B158" s="35"/>
      <c r="C158" s="35"/>
      <c r="D158" s="35"/>
      <c r="E158" s="35"/>
      <c r="F158" s="35"/>
      <c r="G158" s="35"/>
      <c r="H158" s="35"/>
      <c r="I158" s="35"/>
      <c r="J158" s="35"/>
      <c r="K158" s="35"/>
      <c r="L158" s="35"/>
      <c r="M158" s="35"/>
      <c r="N158" s="35"/>
      <c r="O158" s="35"/>
      <c r="P158" s="35"/>
      <c r="Q158" s="35"/>
      <c r="R158" s="35"/>
      <c r="S158" s="35"/>
      <c r="T158" s="35"/>
      <c r="U158" s="35"/>
      <c r="V158" s="35"/>
      <c r="W158" s="35"/>
      <c r="X158" s="35"/>
      <c r="Y158" s="35"/>
      <c r="Z158" s="35"/>
    </row>
    <row r="159" spans="1:26">
      <c r="A159" s="35"/>
      <c r="B159" s="35"/>
      <c r="C159" s="35"/>
      <c r="D159" s="35"/>
      <c r="E159" s="35"/>
      <c r="F159" s="35"/>
      <c r="G159" s="35"/>
      <c r="H159" s="35"/>
      <c r="I159" s="35"/>
      <c r="J159" s="35"/>
      <c r="K159" s="35"/>
      <c r="L159" s="35"/>
      <c r="M159" s="35"/>
      <c r="N159" s="35"/>
      <c r="O159" s="35"/>
      <c r="P159" s="35"/>
      <c r="Q159" s="35"/>
      <c r="R159" s="35"/>
      <c r="S159" s="35"/>
      <c r="T159" s="35"/>
      <c r="U159" s="35"/>
      <c r="V159" s="35"/>
      <c r="W159" s="35"/>
      <c r="X159" s="35"/>
      <c r="Y159" s="35"/>
      <c r="Z159" s="35"/>
    </row>
    <row r="160" spans="1:26">
      <c r="A160" s="35"/>
      <c r="B160" s="35"/>
      <c r="C160" s="35"/>
      <c r="D160" s="35"/>
      <c r="E160" s="35"/>
      <c r="F160" s="35"/>
      <c r="G160" s="35"/>
      <c r="H160" s="35"/>
      <c r="I160" s="35"/>
      <c r="J160" s="35"/>
      <c r="K160" s="35"/>
      <c r="L160" s="35"/>
      <c r="M160" s="35"/>
      <c r="N160" s="35"/>
      <c r="O160" s="35"/>
      <c r="P160" s="35"/>
      <c r="Q160" s="35"/>
      <c r="R160" s="35"/>
      <c r="S160" s="35"/>
      <c r="T160" s="35"/>
      <c r="U160" s="35"/>
      <c r="V160" s="35"/>
      <c r="W160" s="35"/>
      <c r="X160" s="35"/>
      <c r="Y160" s="35"/>
      <c r="Z160" s="35"/>
    </row>
    <row r="161" spans="1:26">
      <c r="A161" s="35"/>
      <c r="B161" s="35"/>
      <c r="C161" s="35"/>
      <c r="D161" s="35"/>
      <c r="E161" s="35"/>
      <c r="F161" s="35"/>
      <c r="G161" s="35"/>
      <c r="H161" s="35"/>
      <c r="I161" s="35"/>
      <c r="J161" s="35"/>
      <c r="K161" s="35"/>
      <c r="L161" s="35"/>
      <c r="M161" s="35"/>
      <c r="N161" s="35"/>
      <c r="O161" s="35"/>
      <c r="P161" s="35"/>
      <c r="Q161" s="35"/>
      <c r="R161" s="35"/>
      <c r="S161" s="35"/>
      <c r="T161" s="35"/>
      <c r="U161" s="35"/>
      <c r="V161" s="35"/>
      <c r="W161" s="35"/>
      <c r="X161" s="35"/>
      <c r="Y161" s="35"/>
      <c r="Z161" s="35"/>
    </row>
    <row r="162" spans="1:26">
      <c r="A162" s="35"/>
      <c r="B162" s="35"/>
      <c r="C162" s="35"/>
      <c r="D162" s="35"/>
      <c r="E162" s="35"/>
      <c r="F162" s="35"/>
      <c r="G162" s="35"/>
      <c r="H162" s="35"/>
      <c r="I162" s="35"/>
      <c r="J162" s="35"/>
      <c r="K162" s="35"/>
      <c r="L162" s="35"/>
      <c r="M162" s="35"/>
      <c r="N162" s="35"/>
      <c r="O162" s="35"/>
      <c r="P162" s="35"/>
      <c r="Q162" s="35"/>
      <c r="R162" s="35"/>
      <c r="S162" s="35"/>
      <c r="T162" s="35"/>
      <c r="U162" s="35"/>
      <c r="V162" s="35"/>
      <c r="W162" s="35"/>
      <c r="X162" s="35"/>
      <c r="Y162" s="35"/>
      <c r="Z162" s="35"/>
    </row>
    <row r="163" spans="1:26">
      <c r="A163" s="35"/>
      <c r="B163" s="35"/>
      <c r="C163" s="35"/>
      <c r="D163" s="35"/>
      <c r="E163" s="35"/>
      <c r="F163" s="35"/>
      <c r="G163" s="35"/>
      <c r="H163" s="35"/>
      <c r="I163" s="35"/>
      <c r="J163" s="35"/>
      <c r="K163" s="35"/>
      <c r="L163" s="35"/>
      <c r="M163" s="35"/>
      <c r="N163" s="35"/>
      <c r="O163" s="35"/>
      <c r="P163" s="35"/>
      <c r="Q163" s="35"/>
      <c r="R163" s="35"/>
      <c r="S163" s="35"/>
      <c r="T163" s="35"/>
      <c r="U163" s="35"/>
      <c r="V163" s="35"/>
      <c r="W163" s="35"/>
      <c r="X163" s="35"/>
      <c r="Y163" s="35"/>
      <c r="Z163" s="35"/>
    </row>
    <row r="164" spans="1:26">
      <c r="A164" s="35"/>
      <c r="B164" s="35"/>
      <c r="C164" s="35"/>
      <c r="D164" s="35"/>
      <c r="E164" s="35"/>
      <c r="F164" s="35"/>
      <c r="G164" s="35"/>
      <c r="H164" s="35"/>
      <c r="I164" s="35"/>
      <c r="J164" s="35"/>
      <c r="K164" s="35"/>
      <c r="L164" s="35"/>
      <c r="M164" s="35"/>
      <c r="N164" s="35"/>
      <c r="O164" s="35"/>
      <c r="P164" s="35"/>
      <c r="Q164" s="35"/>
      <c r="R164" s="35"/>
      <c r="S164" s="35"/>
      <c r="T164" s="35"/>
      <c r="U164" s="35"/>
      <c r="V164" s="35"/>
      <c r="W164" s="35"/>
      <c r="X164" s="35"/>
      <c r="Y164" s="35"/>
      <c r="Z164" s="35"/>
    </row>
    <row r="165" spans="1:26">
      <c r="A165" s="35"/>
      <c r="B165" s="35"/>
      <c r="C165" s="35"/>
      <c r="D165" s="35"/>
      <c r="E165" s="35"/>
      <c r="F165" s="35"/>
      <c r="G165" s="35"/>
      <c r="H165" s="35"/>
      <c r="I165" s="35"/>
      <c r="J165" s="35"/>
      <c r="K165" s="35"/>
      <c r="L165" s="35"/>
      <c r="M165" s="35"/>
      <c r="N165" s="35"/>
      <c r="O165" s="35"/>
      <c r="P165" s="35"/>
      <c r="Q165" s="35"/>
      <c r="R165" s="35"/>
      <c r="S165" s="35"/>
      <c r="T165" s="35"/>
      <c r="U165" s="35"/>
      <c r="V165" s="35"/>
      <c r="W165" s="35"/>
      <c r="X165" s="35"/>
      <c r="Y165" s="35"/>
      <c r="Z165" s="35"/>
    </row>
    <row r="166" spans="1:26">
      <c r="A166" s="35"/>
      <c r="B166" s="35"/>
      <c r="C166" s="35"/>
      <c r="D166" s="35"/>
      <c r="E166" s="35"/>
      <c r="F166" s="35"/>
      <c r="G166" s="35"/>
      <c r="H166" s="35"/>
      <c r="I166" s="35"/>
      <c r="J166" s="35"/>
      <c r="K166" s="35"/>
      <c r="L166" s="35"/>
      <c r="M166" s="35"/>
      <c r="N166" s="35"/>
      <c r="O166" s="35"/>
      <c r="P166" s="35"/>
      <c r="Q166" s="35"/>
      <c r="R166" s="35"/>
      <c r="S166" s="35"/>
      <c r="T166" s="35"/>
      <c r="U166" s="35"/>
      <c r="V166" s="35"/>
      <c r="W166" s="35"/>
      <c r="X166" s="35"/>
      <c r="Y166" s="35"/>
      <c r="Z166" s="35"/>
    </row>
    <row r="167" spans="1:26">
      <c r="A167" s="35"/>
      <c r="B167" s="35"/>
      <c r="C167" s="35"/>
      <c r="D167" s="35"/>
      <c r="E167" s="35"/>
      <c r="F167" s="35"/>
      <c r="G167" s="35"/>
      <c r="H167" s="35"/>
      <c r="I167" s="35"/>
      <c r="J167" s="35"/>
      <c r="K167" s="35"/>
      <c r="L167" s="35"/>
      <c r="M167" s="35"/>
      <c r="N167" s="35"/>
      <c r="O167" s="35"/>
      <c r="P167" s="35"/>
      <c r="Q167" s="35"/>
      <c r="R167" s="35"/>
      <c r="S167" s="35"/>
      <c r="T167" s="35"/>
      <c r="U167" s="35"/>
      <c r="V167" s="35"/>
      <c r="W167" s="35"/>
      <c r="X167" s="35"/>
      <c r="Y167" s="35"/>
      <c r="Z167" s="35"/>
    </row>
    <row r="168" spans="1:26">
      <c r="A168" s="35"/>
      <c r="B168" s="35"/>
      <c r="C168" s="35"/>
      <c r="D168" s="35"/>
      <c r="E168" s="35"/>
      <c r="F168" s="35"/>
      <c r="G168" s="35"/>
      <c r="H168" s="35"/>
      <c r="I168" s="35"/>
      <c r="J168" s="35"/>
      <c r="K168" s="35"/>
      <c r="L168" s="35"/>
      <c r="M168" s="35"/>
      <c r="N168" s="35"/>
      <c r="O168" s="35"/>
      <c r="P168" s="35"/>
      <c r="Q168" s="35"/>
      <c r="R168" s="35"/>
      <c r="S168" s="35"/>
      <c r="T168" s="35"/>
      <c r="U168" s="35"/>
      <c r="V168" s="35"/>
      <c r="W168" s="35"/>
      <c r="X168" s="35"/>
      <c r="Y168" s="35"/>
      <c r="Z168" s="35"/>
    </row>
    <row r="169" spans="1:26">
      <c r="A169" s="35"/>
      <c r="B169" s="35"/>
      <c r="C169" s="35"/>
      <c r="D169" s="35"/>
      <c r="E169" s="35"/>
      <c r="F169" s="35"/>
      <c r="G169" s="35"/>
      <c r="H169" s="35"/>
      <c r="I169" s="35"/>
      <c r="J169" s="35"/>
      <c r="K169" s="35"/>
      <c r="L169" s="35"/>
      <c r="M169" s="35"/>
      <c r="N169" s="35"/>
      <c r="O169" s="35"/>
      <c r="P169" s="35"/>
      <c r="Q169" s="35"/>
      <c r="R169" s="35"/>
      <c r="S169" s="35"/>
      <c r="T169" s="35"/>
      <c r="U169" s="35"/>
      <c r="V169" s="35"/>
      <c r="W169" s="35"/>
      <c r="X169" s="35"/>
      <c r="Y169" s="35"/>
      <c r="Z169" s="35"/>
    </row>
    <row r="170" spans="1:26">
      <c r="A170" s="35"/>
      <c r="B170" s="35"/>
      <c r="C170" s="35"/>
      <c r="D170" s="35"/>
      <c r="E170" s="35"/>
      <c r="F170" s="35"/>
      <c r="G170" s="35"/>
      <c r="H170" s="35"/>
      <c r="I170" s="35"/>
      <c r="J170" s="35"/>
      <c r="K170" s="35"/>
      <c r="L170" s="35"/>
      <c r="M170" s="35"/>
      <c r="N170" s="35"/>
      <c r="O170" s="35"/>
      <c r="P170" s="35"/>
      <c r="Q170" s="35"/>
      <c r="R170" s="35"/>
      <c r="S170" s="35"/>
      <c r="T170" s="35"/>
      <c r="U170" s="35"/>
      <c r="V170" s="35"/>
      <c r="W170" s="35"/>
      <c r="X170" s="35"/>
      <c r="Y170" s="35"/>
      <c r="Z170" s="35"/>
    </row>
    <row r="171" spans="1:26">
      <c r="A171" s="35"/>
      <c r="B171" s="35"/>
      <c r="C171" s="35"/>
      <c r="D171" s="35"/>
      <c r="E171" s="35"/>
      <c r="F171" s="35"/>
      <c r="G171" s="35"/>
      <c r="H171" s="35"/>
      <c r="I171" s="35"/>
      <c r="J171" s="35"/>
      <c r="K171" s="35"/>
      <c r="L171" s="35"/>
      <c r="M171" s="35"/>
      <c r="N171" s="35"/>
      <c r="O171" s="35"/>
      <c r="P171" s="35"/>
      <c r="Q171" s="35"/>
      <c r="R171" s="35"/>
      <c r="S171" s="35"/>
      <c r="T171" s="35"/>
      <c r="U171" s="35"/>
      <c r="V171" s="35"/>
      <c r="W171" s="35"/>
      <c r="X171" s="35"/>
      <c r="Y171" s="35"/>
      <c r="Z171" s="35"/>
    </row>
    <row r="172" spans="1:26">
      <c r="A172" s="35"/>
      <c r="B172" s="35"/>
      <c r="C172" s="35"/>
      <c r="D172" s="35"/>
      <c r="E172" s="35"/>
      <c r="F172" s="35"/>
      <c r="G172" s="35"/>
      <c r="H172" s="35"/>
      <c r="I172" s="35"/>
      <c r="J172" s="35"/>
      <c r="K172" s="35"/>
      <c r="L172" s="35"/>
      <c r="M172" s="35"/>
      <c r="N172" s="35"/>
      <c r="O172" s="35"/>
      <c r="P172" s="35"/>
      <c r="Q172" s="35"/>
      <c r="R172" s="35"/>
      <c r="S172" s="35"/>
      <c r="T172" s="35"/>
      <c r="U172" s="35"/>
      <c r="V172" s="35"/>
      <c r="W172" s="35"/>
      <c r="X172" s="35"/>
      <c r="Y172" s="35"/>
      <c r="Z172" s="35"/>
    </row>
    <row r="173" spans="1:26">
      <c r="A173" s="35"/>
      <c r="B173" s="35"/>
      <c r="C173" s="35"/>
      <c r="D173" s="35"/>
      <c r="E173" s="35"/>
      <c r="F173" s="35"/>
      <c r="G173" s="35"/>
      <c r="H173" s="35"/>
      <c r="I173" s="35"/>
      <c r="J173" s="35"/>
      <c r="K173" s="35"/>
      <c r="L173" s="35"/>
      <c r="M173" s="35"/>
      <c r="N173" s="35"/>
      <c r="O173" s="35"/>
      <c r="P173" s="35"/>
      <c r="Q173" s="35"/>
      <c r="R173" s="35"/>
      <c r="S173" s="35"/>
      <c r="T173" s="35"/>
      <c r="U173" s="35"/>
      <c r="V173" s="35"/>
      <c r="W173" s="35"/>
      <c r="X173" s="35"/>
      <c r="Y173" s="35"/>
      <c r="Z173" s="35"/>
    </row>
    <row r="174" spans="1:26">
      <c r="A174" s="35"/>
      <c r="B174" s="35"/>
      <c r="C174" s="35"/>
      <c r="D174" s="35"/>
      <c r="E174" s="35"/>
      <c r="F174" s="35"/>
      <c r="G174" s="35"/>
      <c r="H174" s="35"/>
      <c r="I174" s="35"/>
      <c r="J174" s="35"/>
      <c r="K174" s="35"/>
      <c r="L174" s="35"/>
      <c r="M174" s="35"/>
      <c r="N174" s="35"/>
      <c r="O174" s="35"/>
      <c r="P174" s="35"/>
      <c r="Q174" s="35"/>
      <c r="R174" s="35"/>
      <c r="S174" s="35"/>
      <c r="T174" s="35"/>
      <c r="U174" s="35"/>
      <c r="V174" s="35"/>
      <c r="W174" s="35"/>
      <c r="X174" s="35"/>
      <c r="Y174" s="35"/>
      <c r="Z174" s="35"/>
    </row>
    <row r="175" spans="1:26">
      <c r="A175" s="35"/>
      <c r="B175" s="35"/>
      <c r="C175" s="35"/>
      <c r="D175" s="35"/>
      <c r="E175" s="35"/>
      <c r="F175" s="35"/>
      <c r="G175" s="35"/>
      <c r="H175" s="35"/>
      <c r="I175" s="35"/>
      <c r="J175" s="35"/>
      <c r="K175" s="35"/>
      <c r="L175" s="35"/>
      <c r="M175" s="35"/>
      <c r="N175" s="35"/>
      <c r="O175" s="35"/>
      <c r="P175" s="35"/>
      <c r="Q175" s="35"/>
      <c r="R175" s="35"/>
      <c r="S175" s="35"/>
      <c r="T175" s="35"/>
      <c r="U175" s="35"/>
      <c r="V175" s="35"/>
      <c r="W175" s="35"/>
      <c r="X175" s="35"/>
      <c r="Y175" s="35"/>
      <c r="Z175" s="35"/>
    </row>
    <row r="176" spans="1:26">
      <c r="A176" s="35"/>
      <c r="B176" s="35"/>
      <c r="C176" s="35"/>
      <c r="D176" s="35"/>
      <c r="E176" s="35"/>
      <c r="F176" s="35"/>
      <c r="G176" s="35"/>
      <c r="H176" s="35"/>
      <c r="I176" s="35"/>
      <c r="J176" s="35"/>
      <c r="K176" s="35"/>
      <c r="L176" s="35"/>
      <c r="M176" s="35"/>
      <c r="N176" s="35"/>
      <c r="O176" s="35"/>
      <c r="P176" s="35"/>
      <c r="Q176" s="35"/>
      <c r="R176" s="35"/>
      <c r="S176" s="35"/>
      <c r="T176" s="35"/>
      <c r="U176" s="35"/>
      <c r="V176" s="35"/>
      <c r="W176" s="35"/>
      <c r="X176" s="35"/>
      <c r="Y176" s="35"/>
      <c r="Z176" s="35"/>
    </row>
    <row r="177" spans="1:26">
      <c r="A177" s="35"/>
      <c r="B177" s="35"/>
      <c r="C177" s="35"/>
      <c r="D177" s="35"/>
      <c r="E177" s="35"/>
      <c r="F177" s="35"/>
      <c r="G177" s="35"/>
      <c r="H177" s="35"/>
      <c r="I177" s="35"/>
      <c r="J177" s="35"/>
      <c r="K177" s="35"/>
      <c r="L177" s="35"/>
      <c r="M177" s="35"/>
      <c r="N177" s="35"/>
      <c r="O177" s="35"/>
      <c r="P177" s="35"/>
      <c r="Q177" s="35"/>
      <c r="R177" s="35"/>
      <c r="S177" s="35"/>
      <c r="T177" s="35"/>
      <c r="U177" s="35"/>
      <c r="V177" s="35"/>
      <c r="W177" s="35"/>
      <c r="X177" s="35"/>
      <c r="Y177" s="35"/>
      <c r="Z177" s="35"/>
    </row>
    <row r="178" spans="1:26">
      <c r="A178" s="35"/>
      <c r="B178" s="35"/>
      <c r="C178" s="35"/>
      <c r="D178" s="35"/>
      <c r="E178" s="35"/>
      <c r="F178" s="35"/>
      <c r="G178" s="35"/>
      <c r="H178" s="35"/>
      <c r="I178" s="35"/>
      <c r="J178" s="35"/>
      <c r="K178" s="35"/>
      <c r="L178" s="35"/>
      <c r="M178" s="35"/>
      <c r="N178" s="35"/>
      <c r="O178" s="35"/>
      <c r="P178" s="35"/>
      <c r="Q178" s="35"/>
      <c r="R178" s="35"/>
      <c r="S178" s="35"/>
      <c r="T178" s="35"/>
      <c r="U178" s="35"/>
      <c r="V178" s="35"/>
      <c r="W178" s="35"/>
      <c r="X178" s="35"/>
      <c r="Y178" s="35"/>
      <c r="Z178" s="35"/>
    </row>
    <row r="179" spans="1:26">
      <c r="A179" s="35"/>
      <c r="B179" s="35"/>
      <c r="C179" s="35"/>
      <c r="D179" s="35"/>
      <c r="E179" s="35"/>
      <c r="F179" s="35"/>
      <c r="G179" s="35"/>
      <c r="H179" s="35"/>
      <c r="I179" s="35"/>
      <c r="J179" s="35"/>
      <c r="K179" s="35"/>
      <c r="L179" s="35"/>
      <c r="M179" s="35"/>
      <c r="N179" s="35"/>
      <c r="O179" s="35"/>
      <c r="P179" s="35"/>
      <c r="Q179" s="35"/>
      <c r="R179" s="35"/>
      <c r="S179" s="35"/>
      <c r="T179" s="35"/>
      <c r="U179" s="35"/>
      <c r="V179" s="35"/>
      <c r="W179" s="35"/>
      <c r="X179" s="35"/>
      <c r="Y179" s="35"/>
      <c r="Z179" s="35"/>
    </row>
    <row r="180" spans="1:26">
      <c r="A180" s="35"/>
      <c r="B180" s="35"/>
      <c r="C180" s="35"/>
      <c r="D180" s="35"/>
      <c r="E180" s="35"/>
      <c r="F180" s="35"/>
      <c r="G180" s="35"/>
      <c r="H180" s="35"/>
      <c r="I180" s="35"/>
      <c r="J180" s="35"/>
      <c r="K180" s="35"/>
      <c r="L180" s="35"/>
      <c r="M180" s="35"/>
      <c r="N180" s="35"/>
      <c r="O180" s="35"/>
      <c r="P180" s="35"/>
      <c r="Q180" s="35"/>
      <c r="R180" s="35"/>
      <c r="S180" s="35"/>
      <c r="T180" s="35"/>
      <c r="U180" s="35"/>
      <c r="V180" s="35"/>
      <c r="W180" s="35"/>
      <c r="X180" s="35"/>
      <c r="Y180" s="35"/>
      <c r="Z180" s="35"/>
    </row>
    <row r="181" spans="1:26">
      <c r="A181" s="35"/>
      <c r="B181" s="35"/>
      <c r="C181" s="35"/>
      <c r="D181" s="35"/>
      <c r="E181" s="35"/>
      <c r="F181" s="35"/>
      <c r="G181" s="35"/>
      <c r="H181" s="35"/>
      <c r="I181" s="35"/>
      <c r="J181" s="35"/>
      <c r="K181" s="35"/>
      <c r="L181" s="35"/>
      <c r="M181" s="35"/>
      <c r="N181" s="35"/>
      <c r="O181" s="35"/>
      <c r="P181" s="35"/>
      <c r="Q181" s="35"/>
      <c r="R181" s="35"/>
      <c r="S181" s="35"/>
      <c r="T181" s="35"/>
      <c r="U181" s="35"/>
      <c r="V181" s="35"/>
      <c r="W181" s="35"/>
      <c r="X181" s="35"/>
      <c r="Y181" s="35"/>
      <c r="Z181" s="35"/>
    </row>
    <row r="182" spans="1:26">
      <c r="A182" s="35"/>
      <c r="B182" s="35"/>
      <c r="C182" s="35"/>
      <c r="D182" s="35"/>
      <c r="E182" s="35"/>
      <c r="F182" s="35"/>
      <c r="G182" s="35"/>
      <c r="H182" s="35"/>
      <c r="I182" s="35"/>
      <c r="J182" s="35"/>
      <c r="K182" s="35"/>
      <c r="L182" s="35"/>
      <c r="M182" s="35"/>
      <c r="N182" s="35"/>
      <c r="O182" s="35"/>
      <c r="P182" s="35"/>
      <c r="Q182" s="35"/>
      <c r="R182" s="35"/>
      <c r="S182" s="35"/>
      <c r="T182" s="35"/>
      <c r="U182" s="35"/>
      <c r="V182" s="35"/>
      <c r="W182" s="35"/>
      <c r="X182" s="35"/>
      <c r="Y182" s="35"/>
      <c r="Z182" s="35"/>
    </row>
    <row r="183" spans="1:26">
      <c r="A183" s="35"/>
      <c r="B183" s="35"/>
      <c r="C183" s="35"/>
      <c r="D183" s="35"/>
      <c r="E183" s="35"/>
      <c r="F183" s="35"/>
      <c r="G183" s="35"/>
      <c r="H183" s="35"/>
      <c r="I183" s="35"/>
      <c r="J183" s="35"/>
      <c r="K183" s="35"/>
      <c r="L183" s="35"/>
      <c r="M183" s="35"/>
      <c r="N183" s="35"/>
      <c r="O183" s="35"/>
      <c r="P183" s="35"/>
      <c r="Q183" s="35"/>
      <c r="R183" s="35"/>
      <c r="S183" s="35"/>
      <c r="T183" s="35"/>
      <c r="U183" s="35"/>
      <c r="V183" s="35"/>
      <c r="W183" s="35"/>
      <c r="X183" s="35"/>
      <c r="Y183" s="35"/>
      <c r="Z183" s="35"/>
    </row>
    <row r="184" spans="1:26">
      <c r="A184" s="35"/>
      <c r="B184" s="35"/>
      <c r="C184" s="35"/>
      <c r="D184" s="35"/>
      <c r="E184" s="35"/>
      <c r="F184" s="35"/>
      <c r="G184" s="35"/>
      <c r="H184" s="35"/>
      <c r="I184" s="35"/>
      <c r="J184" s="35"/>
      <c r="K184" s="35"/>
      <c r="L184" s="35"/>
      <c r="M184" s="35"/>
      <c r="N184" s="35"/>
      <c r="O184" s="35"/>
      <c r="P184" s="35"/>
      <c r="Q184" s="35"/>
      <c r="R184" s="35"/>
      <c r="S184" s="35"/>
      <c r="T184" s="35"/>
      <c r="U184" s="35"/>
      <c r="V184" s="35"/>
      <c r="W184" s="35"/>
      <c r="X184" s="35"/>
      <c r="Y184" s="35"/>
      <c r="Z184" s="35"/>
    </row>
    <row r="185" spans="1:26">
      <c r="A185" s="35"/>
      <c r="B185" s="35"/>
      <c r="C185" s="35"/>
      <c r="D185" s="35"/>
      <c r="E185" s="35"/>
      <c r="F185" s="35"/>
      <c r="G185" s="35"/>
      <c r="H185" s="35"/>
      <c r="I185" s="35"/>
      <c r="J185" s="35"/>
      <c r="K185" s="35"/>
      <c r="L185" s="35"/>
      <c r="M185" s="35"/>
      <c r="N185" s="35"/>
      <c r="O185" s="35"/>
      <c r="P185" s="35"/>
      <c r="Q185" s="35"/>
      <c r="R185" s="35"/>
      <c r="S185" s="35"/>
      <c r="T185" s="35"/>
      <c r="U185" s="35"/>
      <c r="V185" s="35"/>
      <c r="W185" s="35"/>
      <c r="X185" s="35"/>
      <c r="Y185" s="35"/>
      <c r="Z185" s="35"/>
    </row>
    <row r="186" spans="1:26">
      <c r="A186" s="35"/>
      <c r="B186" s="35"/>
      <c r="C186" s="35"/>
      <c r="D186" s="35"/>
      <c r="E186" s="35"/>
      <c r="F186" s="35"/>
      <c r="G186" s="35"/>
      <c r="H186" s="35"/>
      <c r="I186" s="35"/>
      <c r="J186" s="35"/>
      <c r="K186" s="35"/>
      <c r="L186" s="35"/>
      <c r="M186" s="35"/>
      <c r="N186" s="35"/>
      <c r="O186" s="35"/>
      <c r="P186" s="35"/>
      <c r="Q186" s="35"/>
      <c r="R186" s="35"/>
      <c r="S186" s="35"/>
      <c r="T186" s="35"/>
      <c r="U186" s="35"/>
      <c r="V186" s="35"/>
      <c r="W186" s="35"/>
      <c r="X186" s="35"/>
      <c r="Y186" s="35"/>
      <c r="Z186" s="35"/>
    </row>
    <row r="187" spans="1:26">
      <c r="A187" s="35"/>
      <c r="B187" s="35"/>
      <c r="C187" s="35"/>
      <c r="D187" s="35"/>
      <c r="E187" s="35"/>
      <c r="F187" s="35"/>
      <c r="G187" s="35"/>
      <c r="H187" s="35"/>
      <c r="I187" s="35"/>
      <c r="J187" s="35"/>
      <c r="K187" s="35"/>
      <c r="L187" s="35"/>
      <c r="M187" s="35"/>
      <c r="N187" s="35"/>
      <c r="O187" s="35"/>
      <c r="P187" s="35"/>
      <c r="Q187" s="35"/>
      <c r="R187" s="35"/>
      <c r="S187" s="35"/>
      <c r="T187" s="35"/>
      <c r="U187" s="35"/>
      <c r="V187" s="35"/>
      <c r="W187" s="35"/>
      <c r="X187" s="35"/>
      <c r="Y187" s="35"/>
      <c r="Z187" s="35"/>
    </row>
    <row r="188" spans="1:26">
      <c r="A188" s="35"/>
      <c r="B188" s="35"/>
      <c r="C188" s="35"/>
      <c r="D188" s="35"/>
      <c r="E188" s="35"/>
      <c r="F188" s="35"/>
      <c r="G188" s="35"/>
      <c r="H188" s="35"/>
      <c r="I188" s="35"/>
      <c r="J188" s="35"/>
      <c r="K188" s="35"/>
      <c r="L188" s="35"/>
      <c r="M188" s="35"/>
      <c r="N188" s="35"/>
      <c r="O188" s="35"/>
      <c r="P188" s="35"/>
      <c r="Q188" s="35"/>
      <c r="R188" s="35"/>
      <c r="S188" s="35"/>
      <c r="T188" s="35"/>
      <c r="U188" s="35"/>
      <c r="V188" s="35"/>
      <c r="W188" s="35"/>
      <c r="X188" s="35"/>
      <c r="Y188" s="35"/>
      <c r="Z188" s="35"/>
    </row>
    <row r="189" spans="1:26">
      <c r="A189" s="35"/>
      <c r="B189" s="35"/>
      <c r="C189" s="35"/>
      <c r="D189" s="35"/>
      <c r="E189" s="35"/>
      <c r="F189" s="35"/>
      <c r="G189" s="35"/>
      <c r="H189" s="35"/>
      <c r="I189" s="35"/>
      <c r="J189" s="35"/>
      <c r="K189" s="35"/>
      <c r="L189" s="35"/>
      <c r="M189" s="35"/>
      <c r="N189" s="35"/>
      <c r="O189" s="35"/>
      <c r="P189" s="35"/>
      <c r="Q189" s="35"/>
      <c r="R189" s="35"/>
      <c r="S189" s="35"/>
      <c r="T189" s="35"/>
      <c r="U189" s="35"/>
      <c r="V189" s="35"/>
      <c r="W189" s="35"/>
      <c r="X189" s="35"/>
      <c r="Y189" s="35"/>
      <c r="Z189" s="35"/>
    </row>
    <row r="190" spans="1:26">
      <c r="A190" s="35"/>
      <c r="B190" s="35"/>
      <c r="C190" s="35"/>
      <c r="D190" s="35"/>
      <c r="E190" s="35"/>
      <c r="F190" s="35"/>
      <c r="G190" s="35"/>
      <c r="H190" s="35"/>
      <c r="I190" s="35"/>
      <c r="J190" s="35"/>
      <c r="K190" s="35"/>
      <c r="L190" s="35"/>
      <c r="M190" s="35"/>
      <c r="N190" s="35"/>
      <c r="O190" s="35"/>
      <c r="P190" s="35"/>
      <c r="Q190" s="35"/>
      <c r="R190" s="35"/>
      <c r="S190" s="35"/>
      <c r="T190" s="35"/>
      <c r="U190" s="35"/>
      <c r="V190" s="35"/>
      <c r="W190" s="35"/>
      <c r="X190" s="35"/>
      <c r="Y190" s="35"/>
      <c r="Z190" s="35"/>
    </row>
    <row r="191" spans="1:26">
      <c r="A191" s="35"/>
      <c r="B191" s="35"/>
      <c r="C191" s="35"/>
      <c r="D191" s="35"/>
      <c r="E191" s="35"/>
      <c r="F191" s="35"/>
      <c r="G191" s="35"/>
      <c r="H191" s="35"/>
      <c r="I191" s="35"/>
      <c r="J191" s="35"/>
      <c r="K191" s="35"/>
      <c r="L191" s="35"/>
      <c r="M191" s="35"/>
      <c r="N191" s="35"/>
      <c r="O191" s="35"/>
      <c r="P191" s="35"/>
      <c r="Q191" s="35"/>
      <c r="R191" s="35"/>
      <c r="S191" s="35"/>
      <c r="T191" s="35"/>
      <c r="U191" s="35"/>
      <c r="V191" s="35"/>
      <c r="W191" s="35"/>
      <c r="X191" s="35"/>
      <c r="Y191" s="35"/>
      <c r="Z191" s="35"/>
    </row>
    <row r="192" spans="1:26">
      <c r="A192" s="35"/>
      <c r="B192" s="35"/>
      <c r="C192" s="35"/>
      <c r="D192" s="35"/>
      <c r="E192" s="35"/>
      <c r="F192" s="35"/>
      <c r="G192" s="35"/>
      <c r="H192" s="35"/>
      <c r="I192" s="35"/>
      <c r="J192" s="35"/>
      <c r="K192" s="35"/>
      <c r="L192" s="35"/>
      <c r="M192" s="35"/>
      <c r="N192" s="35"/>
      <c r="O192" s="35"/>
      <c r="P192" s="35"/>
      <c r="Q192" s="35"/>
      <c r="R192" s="35"/>
      <c r="S192" s="35"/>
      <c r="T192" s="35"/>
      <c r="U192" s="35"/>
      <c r="V192" s="35"/>
      <c r="W192" s="35"/>
      <c r="X192" s="35"/>
      <c r="Y192" s="35"/>
      <c r="Z192" s="35"/>
    </row>
    <row r="193" spans="1:26">
      <c r="A193" s="35"/>
      <c r="B193" s="35"/>
      <c r="C193" s="35"/>
      <c r="D193" s="35"/>
      <c r="E193" s="35"/>
      <c r="F193" s="35"/>
      <c r="G193" s="35"/>
      <c r="H193" s="35"/>
      <c r="I193" s="35"/>
      <c r="J193" s="35"/>
      <c r="K193" s="35"/>
      <c r="L193" s="35"/>
      <c r="M193" s="35"/>
      <c r="N193" s="35"/>
      <c r="O193" s="35"/>
      <c r="P193" s="35"/>
      <c r="Q193" s="35"/>
      <c r="R193" s="35"/>
      <c r="S193" s="35"/>
      <c r="T193" s="35"/>
      <c r="U193" s="35"/>
      <c r="V193" s="35"/>
      <c r="W193" s="35"/>
      <c r="X193" s="35"/>
      <c r="Y193" s="35"/>
      <c r="Z193" s="35"/>
    </row>
    <row r="194" spans="1:26">
      <c r="A194" s="35"/>
      <c r="B194" s="35"/>
      <c r="C194" s="35"/>
      <c r="D194" s="35"/>
      <c r="E194" s="35"/>
      <c r="F194" s="35"/>
      <c r="G194" s="35"/>
      <c r="H194" s="35"/>
      <c r="I194" s="35"/>
      <c r="J194" s="35"/>
      <c r="K194" s="35"/>
      <c r="L194" s="35"/>
      <c r="M194" s="35"/>
      <c r="N194" s="35"/>
      <c r="O194" s="35"/>
      <c r="P194" s="35"/>
      <c r="Q194" s="35"/>
      <c r="R194" s="35"/>
      <c r="S194" s="35"/>
      <c r="T194" s="35"/>
      <c r="U194" s="35"/>
      <c r="V194" s="35"/>
      <c r="W194" s="35"/>
      <c r="X194" s="35"/>
      <c r="Y194" s="35"/>
      <c r="Z194" s="35"/>
    </row>
    <row r="195" spans="1:26">
      <c r="A195" s="35"/>
      <c r="B195" s="35"/>
      <c r="C195" s="35"/>
      <c r="D195" s="35"/>
      <c r="E195" s="35"/>
      <c r="F195" s="35"/>
      <c r="G195" s="35"/>
      <c r="H195" s="35"/>
      <c r="I195" s="35"/>
      <c r="J195" s="35"/>
      <c r="K195" s="35"/>
      <c r="L195" s="35"/>
      <c r="M195" s="35"/>
      <c r="N195" s="35"/>
      <c r="O195" s="35"/>
      <c r="P195" s="35"/>
      <c r="Q195" s="35"/>
      <c r="R195" s="35"/>
      <c r="S195" s="35"/>
      <c r="T195" s="35"/>
      <c r="U195" s="35"/>
      <c r="V195" s="35"/>
      <c r="W195" s="35"/>
      <c r="X195" s="35"/>
      <c r="Y195" s="35"/>
      <c r="Z195" s="35"/>
    </row>
    <row r="196" spans="1:26">
      <c r="A196" s="35"/>
      <c r="B196" s="35"/>
      <c r="C196" s="35"/>
      <c r="D196" s="35"/>
      <c r="E196" s="35"/>
      <c r="F196" s="35"/>
      <c r="G196" s="35"/>
      <c r="H196" s="35"/>
      <c r="I196" s="35"/>
      <c r="J196" s="35"/>
      <c r="K196" s="35"/>
      <c r="L196" s="35"/>
      <c r="M196" s="35"/>
      <c r="N196" s="35"/>
      <c r="O196" s="35"/>
      <c r="P196" s="35"/>
      <c r="Q196" s="35"/>
      <c r="R196" s="35"/>
      <c r="S196" s="35"/>
      <c r="T196" s="35"/>
      <c r="U196" s="35"/>
      <c r="V196" s="35"/>
      <c r="W196" s="35"/>
      <c r="X196" s="35"/>
      <c r="Y196" s="35"/>
      <c r="Z196" s="35"/>
    </row>
    <row r="197" spans="1:26">
      <c r="A197" s="35"/>
      <c r="B197" s="35"/>
      <c r="C197" s="35"/>
      <c r="D197" s="35"/>
      <c r="E197" s="35"/>
      <c r="F197" s="35"/>
      <c r="G197" s="35"/>
      <c r="H197" s="35"/>
      <c r="I197" s="35"/>
      <c r="J197" s="35"/>
      <c r="K197" s="35"/>
      <c r="L197" s="35"/>
      <c r="M197" s="35"/>
      <c r="N197" s="35"/>
      <c r="O197" s="35"/>
      <c r="P197" s="35"/>
      <c r="Q197" s="35"/>
      <c r="R197" s="35"/>
      <c r="S197" s="35"/>
      <c r="T197" s="35"/>
      <c r="U197" s="35"/>
      <c r="V197" s="35"/>
      <c r="W197" s="35"/>
      <c r="X197" s="35"/>
      <c r="Y197" s="35"/>
      <c r="Z197" s="35"/>
    </row>
    <row r="198" spans="1:26">
      <c r="A198" s="35"/>
      <c r="B198" s="35"/>
      <c r="C198" s="35"/>
      <c r="D198" s="35"/>
      <c r="E198" s="35"/>
      <c r="F198" s="35"/>
      <c r="G198" s="35"/>
      <c r="H198" s="35"/>
      <c r="I198" s="35"/>
      <c r="J198" s="35"/>
      <c r="K198" s="35"/>
      <c r="L198" s="35"/>
      <c r="M198" s="35"/>
      <c r="N198" s="35"/>
      <c r="O198" s="35"/>
      <c r="P198" s="35"/>
      <c r="Q198" s="35"/>
      <c r="R198" s="35"/>
      <c r="S198" s="35"/>
      <c r="T198" s="35"/>
      <c r="U198" s="35"/>
      <c r="V198" s="35"/>
      <c r="W198" s="35"/>
      <c r="X198" s="35"/>
      <c r="Y198" s="35"/>
      <c r="Z198" s="35"/>
    </row>
    <row r="199" spans="1:26">
      <c r="A199" s="35"/>
      <c r="B199" s="35"/>
      <c r="C199" s="35"/>
      <c r="D199" s="35"/>
      <c r="E199" s="35"/>
      <c r="F199" s="35"/>
      <c r="G199" s="35"/>
      <c r="H199" s="35"/>
      <c r="I199" s="35"/>
      <c r="J199" s="35"/>
      <c r="K199" s="35"/>
      <c r="L199" s="35"/>
      <c r="M199" s="35"/>
      <c r="N199" s="35"/>
      <c r="O199" s="35"/>
      <c r="P199" s="35"/>
      <c r="Q199" s="35"/>
      <c r="R199" s="35"/>
      <c r="S199" s="35"/>
      <c r="T199" s="35"/>
      <c r="U199" s="35"/>
      <c r="V199" s="35"/>
      <c r="W199" s="35"/>
      <c r="X199" s="35"/>
      <c r="Y199" s="35"/>
      <c r="Z199" s="35"/>
    </row>
    <row r="200" spans="1:26">
      <c r="A200" s="35"/>
      <c r="B200" s="35"/>
      <c r="C200" s="35"/>
      <c r="D200" s="35"/>
      <c r="E200" s="35"/>
      <c r="F200" s="35"/>
      <c r="G200" s="35"/>
      <c r="H200" s="35"/>
      <c r="I200" s="35"/>
      <c r="J200" s="35"/>
      <c r="K200" s="35"/>
      <c r="L200" s="35"/>
      <c r="M200" s="35"/>
      <c r="N200" s="35"/>
      <c r="O200" s="35"/>
      <c r="P200" s="35"/>
      <c r="Q200" s="35"/>
      <c r="R200" s="35"/>
      <c r="S200" s="35"/>
      <c r="T200" s="35"/>
      <c r="U200" s="35"/>
      <c r="V200" s="35"/>
      <c r="W200" s="35"/>
      <c r="X200" s="35"/>
      <c r="Y200" s="35"/>
      <c r="Z200" s="35"/>
    </row>
  </sheetData>
  <mergeCells count="3">
    <mergeCell ref="E39:I39"/>
    <mergeCell ref="C58:D58"/>
    <mergeCell ref="E58:F58"/>
  </mergeCells>
  <pageMargins left="0.75" right="0.75" top="1" bottom="1" header="0.5" footer="0.5"/>
  <pageSetup orientation="portrait" horizontalDpi="4294967292" verticalDpi="4294967292"/>
  <ignoredErrors>
    <ignoredError sqref="D7:D8" unlockedFormula="1"/>
  </ignoredError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Z100"/>
  <sheetViews>
    <sheetView workbookViewId="0">
      <selection activeCell="A13" sqref="A13"/>
    </sheetView>
  </sheetViews>
  <sheetFormatPr baseColWidth="10" defaultColWidth="8.83203125" defaultRowHeight="15" x14ac:dyDescent="0"/>
  <cols>
    <col min="1" max="1" width="6.6640625" customWidth="1"/>
    <col min="5" max="5" width="6.6640625" customWidth="1"/>
    <col min="6" max="6" width="19.6640625" bestFit="1" customWidth="1"/>
    <col min="7" max="8" width="18.6640625" customWidth="1"/>
    <col min="9" max="10" width="20.1640625" bestFit="1" customWidth="1"/>
    <col min="11" max="13" width="18.6640625" customWidth="1"/>
    <col min="14" max="14" width="18.83203125" customWidth="1"/>
    <col min="15" max="15" width="20" customWidth="1"/>
    <col min="16" max="26" width="8.83203125" style="35"/>
  </cols>
  <sheetData>
    <row r="1" spans="1:15">
      <c r="A1" s="35"/>
      <c r="B1" s="35"/>
      <c r="C1" s="35"/>
      <c r="D1" s="35"/>
      <c r="E1" s="35"/>
      <c r="F1" s="35"/>
      <c r="G1" s="35"/>
      <c r="H1" s="35"/>
      <c r="I1" s="35"/>
      <c r="J1" s="35"/>
      <c r="K1" s="35"/>
      <c r="L1" s="35"/>
      <c r="M1" s="35"/>
      <c r="N1" s="35"/>
      <c r="O1" s="35"/>
    </row>
    <row r="2" spans="1:15">
      <c r="A2" s="35"/>
      <c r="B2" s="36" t="s">
        <v>388</v>
      </c>
      <c r="C2" s="35"/>
      <c r="D2" s="35"/>
      <c r="E2" s="35"/>
      <c r="F2" s="35"/>
      <c r="G2" s="35"/>
      <c r="H2" s="35"/>
      <c r="I2" s="35"/>
      <c r="J2" s="35"/>
      <c r="K2" s="35"/>
      <c r="L2" s="35"/>
      <c r="M2" s="35"/>
      <c r="N2" s="35"/>
      <c r="O2" s="35"/>
    </row>
    <row r="3" spans="1:15">
      <c r="A3" s="35"/>
      <c r="B3" s="36" t="s">
        <v>389</v>
      </c>
      <c r="C3" s="35"/>
      <c r="D3" s="35"/>
      <c r="E3" s="35"/>
      <c r="F3" s="35"/>
      <c r="G3" s="35"/>
      <c r="H3" s="35"/>
      <c r="I3" s="35"/>
      <c r="J3" s="35"/>
      <c r="K3" s="35"/>
      <c r="L3" s="35"/>
      <c r="M3" s="35"/>
      <c r="N3" s="35"/>
      <c r="O3" s="35"/>
    </row>
    <row r="4" spans="1:15">
      <c r="A4" s="35"/>
      <c r="B4" s="36"/>
      <c r="C4" s="35"/>
      <c r="D4" s="35"/>
      <c r="E4" s="35"/>
      <c r="F4" s="35"/>
      <c r="G4" s="35"/>
      <c r="H4" s="35"/>
      <c r="I4" s="35"/>
      <c r="J4" s="35"/>
      <c r="K4" s="35"/>
      <c r="L4" s="35"/>
      <c r="M4" s="35"/>
      <c r="N4" s="35"/>
      <c r="O4" s="35"/>
    </row>
    <row r="5" spans="1:15">
      <c r="A5" s="35"/>
      <c r="B5" s="36"/>
      <c r="C5" s="35"/>
      <c r="D5" s="35"/>
      <c r="E5" s="35"/>
      <c r="F5" s="93" t="s">
        <v>385</v>
      </c>
      <c r="G5" s="94"/>
      <c r="H5" s="95"/>
      <c r="I5" s="35"/>
      <c r="J5" s="35"/>
      <c r="K5" s="35"/>
      <c r="L5" s="35"/>
      <c r="M5" s="35"/>
      <c r="N5" s="35"/>
      <c r="O5" s="35"/>
    </row>
    <row r="6" spans="1:15">
      <c r="A6" s="35"/>
      <c r="B6" s="36"/>
      <c r="C6" s="35"/>
      <c r="D6" s="35"/>
      <c r="E6" s="35"/>
      <c r="F6" s="96"/>
      <c r="G6" s="97" t="s">
        <v>65</v>
      </c>
      <c r="H6" s="98" t="s">
        <v>7</v>
      </c>
      <c r="I6" s="35"/>
      <c r="J6" s="35"/>
      <c r="K6" s="35"/>
      <c r="L6" s="35"/>
      <c r="M6" s="35"/>
      <c r="N6" s="35"/>
      <c r="O6" s="35"/>
    </row>
    <row r="7" spans="1:15">
      <c r="A7" s="35"/>
      <c r="B7" s="36"/>
      <c r="C7" s="35"/>
      <c r="D7" s="35"/>
      <c r="E7" s="35"/>
      <c r="F7" s="96" t="s">
        <v>382</v>
      </c>
      <c r="G7" s="99">
        <f>SUM(F28:F57)</f>
        <v>5.4328613201038172</v>
      </c>
      <c r="H7" s="100">
        <f>SUM(K28:K57)</f>
        <v>3.6560358018144288</v>
      </c>
      <c r="I7" s="35"/>
      <c r="J7" s="35"/>
      <c r="K7" s="35"/>
      <c r="L7" s="35"/>
      <c r="M7" s="35"/>
      <c r="N7" s="35"/>
      <c r="O7" s="35"/>
    </row>
    <row r="8" spans="1:15">
      <c r="A8" s="35"/>
      <c r="B8" s="36"/>
      <c r="C8" s="35"/>
      <c r="D8" s="35"/>
      <c r="E8" s="35"/>
      <c r="F8" s="96" t="s">
        <v>383</v>
      </c>
      <c r="G8" s="99">
        <f>SUM(G28:G57)</f>
        <v>3308.7127659574476</v>
      </c>
      <c r="H8" s="100">
        <f>SUM(L28:L57)</f>
        <v>2226.5932475577529</v>
      </c>
      <c r="I8" s="35"/>
      <c r="J8" s="35"/>
      <c r="K8" s="35"/>
      <c r="L8" s="35"/>
      <c r="M8" s="35"/>
      <c r="N8" s="35"/>
      <c r="O8" s="35"/>
    </row>
    <row r="9" spans="1:15">
      <c r="A9" s="35"/>
      <c r="B9" s="36"/>
      <c r="C9" s="35"/>
      <c r="D9" s="35"/>
      <c r="E9" s="35"/>
      <c r="F9" s="101" t="s">
        <v>384</v>
      </c>
      <c r="G9" s="102">
        <f>SUM(H28:H57)+SUM(I28:I57)</f>
        <v>38080.977812543999</v>
      </c>
      <c r="H9" s="103">
        <f>SUM(M28:M57)+SUM(N28:N57)</f>
        <v>25626.536376986169</v>
      </c>
      <c r="I9" s="35"/>
      <c r="J9" s="35"/>
      <c r="K9" s="35"/>
      <c r="L9" s="35"/>
      <c r="M9" s="35"/>
      <c r="N9" s="35"/>
      <c r="O9" s="35"/>
    </row>
    <row r="10" spans="1:15">
      <c r="A10" s="35"/>
      <c r="B10" s="36"/>
      <c r="C10" s="35"/>
      <c r="D10" s="35"/>
      <c r="E10" s="35"/>
      <c r="F10" s="35"/>
      <c r="G10" s="37"/>
      <c r="H10" s="37"/>
      <c r="I10" s="35"/>
      <c r="J10" s="35"/>
      <c r="K10" s="35"/>
      <c r="L10" s="35"/>
      <c r="M10" s="35"/>
      <c r="N10" s="35"/>
      <c r="O10" s="35"/>
    </row>
    <row r="11" spans="1:15">
      <c r="A11" s="35"/>
      <c r="B11" s="36"/>
      <c r="C11" s="35"/>
      <c r="D11" s="35"/>
      <c r="E11" s="35"/>
      <c r="F11" s="35"/>
      <c r="G11" s="37"/>
      <c r="H11" s="37"/>
      <c r="I11" s="35"/>
      <c r="J11" s="35"/>
      <c r="K11" s="35"/>
      <c r="L11" s="35"/>
      <c r="M11" s="35"/>
      <c r="N11" s="35"/>
      <c r="O11" s="35"/>
    </row>
    <row r="12" spans="1:15">
      <c r="A12" s="34" t="s">
        <v>386</v>
      </c>
      <c r="B12" s="26"/>
      <c r="C12" s="3"/>
      <c r="D12" s="3"/>
      <c r="E12" s="3"/>
      <c r="F12" s="3"/>
      <c r="G12" s="24"/>
      <c r="H12" s="24"/>
      <c r="I12" s="3" t="s">
        <v>387</v>
      </c>
      <c r="J12" s="34" t="s">
        <v>386</v>
      </c>
      <c r="O12" s="35"/>
    </row>
    <row r="13" spans="1:15">
      <c r="O13" s="35"/>
    </row>
    <row r="14" spans="1:15">
      <c r="F14" s="3" t="s">
        <v>39</v>
      </c>
      <c r="G14" s="4" t="s">
        <v>366</v>
      </c>
      <c r="I14" s="3" t="s">
        <v>242</v>
      </c>
      <c r="J14" s="4" t="s">
        <v>366</v>
      </c>
      <c r="L14" s="3" t="s">
        <v>381</v>
      </c>
      <c r="O14" s="35"/>
    </row>
    <row r="15" spans="1:15">
      <c r="O15" s="35"/>
    </row>
    <row r="16" spans="1:15">
      <c r="F16" t="s">
        <v>243</v>
      </c>
      <c r="G16" s="10">
        <f>(((1360/10)*5))</f>
        <v>680</v>
      </c>
      <c r="I16" t="s">
        <v>244</v>
      </c>
      <c r="J16" s="10">
        <f>((4021+1796)/10)*5</f>
        <v>2908.5</v>
      </c>
      <c r="L16" t="s">
        <v>251</v>
      </c>
      <c r="M16" s="10">
        <v>20000000</v>
      </c>
      <c r="O16" s="35"/>
    </row>
    <row r="17" spans="2:15">
      <c r="F17" t="s">
        <v>239</v>
      </c>
      <c r="G17" s="10">
        <f>(151206/2/10)*5</f>
        <v>37801.5</v>
      </c>
      <c r="I17" t="s">
        <v>239</v>
      </c>
      <c r="J17" s="10">
        <f>(151206/2/10)*5</f>
        <v>37801.5</v>
      </c>
      <c r="L17" t="s">
        <v>252</v>
      </c>
      <c r="M17" s="9">
        <v>30</v>
      </c>
      <c r="O17" s="35"/>
    </row>
    <row r="18" spans="2:15">
      <c r="F18" t="s">
        <v>240</v>
      </c>
      <c r="G18" s="10">
        <f>(43372/2/10)*5</f>
        <v>10843</v>
      </c>
      <c r="I18" t="s">
        <v>240</v>
      </c>
      <c r="J18" s="10">
        <f>(43372/2/10)*5</f>
        <v>10843</v>
      </c>
      <c r="L18" t="s">
        <v>253</v>
      </c>
      <c r="M18" s="10">
        <f>M16*0.05</f>
        <v>1000000</v>
      </c>
      <c r="O18" s="35"/>
    </row>
    <row r="19" spans="2:15">
      <c r="F19" t="s">
        <v>241</v>
      </c>
      <c r="G19" s="10">
        <f>(1134/2/10)*5</f>
        <v>283.5</v>
      </c>
      <c r="I19" t="s">
        <v>241</v>
      </c>
      <c r="J19" s="10">
        <f>(1134/2/10)*5</f>
        <v>283.5</v>
      </c>
      <c r="L19" t="s">
        <v>254</v>
      </c>
      <c r="M19" s="10">
        <f>M18*(1/(1+disc)^M17)</f>
        <v>411986.75951590692</v>
      </c>
      <c r="O19" s="35"/>
    </row>
    <row r="20" spans="2:15">
      <c r="G20" s="4"/>
      <c r="J20" s="4"/>
      <c r="L20" t="s">
        <v>255</v>
      </c>
      <c r="M20" s="23">
        <f>(1/disc)-1/(disc*(1+disc)^M17)</f>
        <v>19.600441349469772</v>
      </c>
      <c r="O20" s="35"/>
    </row>
    <row r="21" spans="2:15">
      <c r="F21" t="s">
        <v>245</v>
      </c>
      <c r="G21" s="10">
        <f>SUM(G16:G19)</f>
        <v>49608</v>
      </c>
      <c r="I21" t="s">
        <v>245</v>
      </c>
      <c r="J21" s="10">
        <f>SUM(J16:J19)</f>
        <v>51836.5</v>
      </c>
      <c r="L21" t="s">
        <v>256</v>
      </c>
      <c r="M21" s="10">
        <f>(M16-M18)/M20</f>
        <v>969365.92708479927</v>
      </c>
      <c r="O21" s="35"/>
    </row>
    <row r="22" spans="2:15">
      <c r="F22" t="s">
        <v>250</v>
      </c>
      <c r="G22" s="7">
        <f>G21/273933</f>
        <v>0.18109537733679404</v>
      </c>
      <c r="I22" t="s">
        <v>250</v>
      </c>
      <c r="J22" s="7">
        <f>J21/470</f>
        <v>110.29042553191489</v>
      </c>
      <c r="L22" t="s">
        <v>257</v>
      </c>
      <c r="M22" s="10">
        <v>300000</v>
      </c>
      <c r="O22" s="35"/>
    </row>
    <row r="23" spans="2:15">
      <c r="G23" s="7"/>
      <c r="J23" s="7"/>
      <c r="M23" s="10"/>
      <c r="O23" s="35"/>
    </row>
    <row r="24" spans="2:15">
      <c r="O24" s="35"/>
    </row>
    <row r="25" spans="2:15">
      <c r="F25" s="269" t="s">
        <v>65</v>
      </c>
      <c r="G25" s="270"/>
      <c r="H25" s="270"/>
      <c r="I25" s="271"/>
      <c r="K25" s="269" t="s">
        <v>7</v>
      </c>
      <c r="L25" s="270"/>
      <c r="M25" s="270"/>
      <c r="N25" s="271"/>
      <c r="O25" s="35"/>
    </row>
    <row r="26" spans="2:15">
      <c r="F26" s="18" t="s">
        <v>39</v>
      </c>
      <c r="G26" s="19" t="s">
        <v>66</v>
      </c>
      <c r="H26" s="22" t="s">
        <v>259</v>
      </c>
      <c r="I26" s="20" t="s">
        <v>258</v>
      </c>
      <c r="K26" s="12" t="s">
        <v>39</v>
      </c>
      <c r="L26" s="13" t="s">
        <v>66</v>
      </c>
      <c r="M26" s="13" t="s">
        <v>259</v>
      </c>
      <c r="N26" s="14" t="s">
        <v>258</v>
      </c>
      <c r="O26" s="35"/>
    </row>
    <row r="27" spans="2:15">
      <c r="B27" s="4" t="s">
        <v>0</v>
      </c>
      <c r="C27" s="4" t="s">
        <v>54</v>
      </c>
      <c r="D27" s="4" t="s">
        <v>238</v>
      </c>
      <c r="F27" s="1"/>
      <c r="G27" s="11"/>
      <c r="H27" s="11"/>
      <c r="I27" s="2"/>
      <c r="K27" s="1"/>
      <c r="L27" s="11"/>
      <c r="M27" s="11"/>
      <c r="N27" s="2"/>
      <c r="O27" s="35"/>
    </row>
    <row r="28" spans="2:15">
      <c r="B28" s="4">
        <v>1</v>
      </c>
      <c r="C28" s="4">
        <v>1</v>
      </c>
      <c r="D28" s="4">
        <v>1</v>
      </c>
      <c r="F28" s="15">
        <f>$G$22</f>
        <v>0.18109537733679404</v>
      </c>
      <c r="G28" s="8">
        <f t="shared" ref="G28:G57" si="0">$J$22</f>
        <v>110.29042553191489</v>
      </c>
      <c r="H28" s="8">
        <f t="shared" ref="H28:H57" si="1">$M$21/(srgyrly)</f>
        <v>969.3659270847993</v>
      </c>
      <c r="I28" s="16">
        <f t="shared" ref="I28:I57" si="2">$M$22/(srgyrly)</f>
        <v>300</v>
      </c>
      <c r="K28" s="15">
        <f>$G$22*$C28</f>
        <v>0.18109537733679404</v>
      </c>
      <c r="L28" s="8">
        <f t="shared" ref="L28:L57" si="3">$J$22*$C28</f>
        <v>110.29042553191489</v>
      </c>
      <c r="M28" s="8">
        <f t="shared" ref="M28:M57" si="4">$M$21*$C28/(srgyrly)</f>
        <v>969.3659270847993</v>
      </c>
      <c r="N28" s="16">
        <f t="shared" ref="N28:N57" si="5">$M$22*$C28/(srgyrly)</f>
        <v>300</v>
      </c>
      <c r="O28" s="35"/>
    </row>
    <row r="29" spans="2:15">
      <c r="B29" s="4">
        <v>2</v>
      </c>
      <c r="C29" s="4">
        <f t="shared" ref="C29:C57" si="6">1/(1+disc)^($B29-1)</f>
        <v>0.970873786407767</v>
      </c>
      <c r="D29" s="4">
        <f t="shared" ref="D29:D57" si="7">D28*(1+infl)</f>
        <v>1.0458000000000001</v>
      </c>
      <c r="F29" s="15">
        <f t="shared" ref="F29:F57" si="8">$G$22</f>
        <v>0.18109537733679404</v>
      </c>
      <c r="G29" s="8">
        <f t="shared" si="0"/>
        <v>110.29042553191489</v>
      </c>
      <c r="H29" s="8">
        <f t="shared" si="1"/>
        <v>969.3659270847993</v>
      </c>
      <c r="I29" s="16">
        <f t="shared" si="2"/>
        <v>300</v>
      </c>
      <c r="K29" s="15">
        <f t="shared" ref="K29:K57" si="9">$G$22*$C29</f>
        <v>0.17582075469591654</v>
      </c>
      <c r="L29" s="8">
        <f t="shared" si="3"/>
        <v>107.07808304069407</v>
      </c>
      <c r="M29" s="8">
        <f t="shared" si="4"/>
        <v>941.13196804349445</v>
      </c>
      <c r="N29" s="16">
        <f t="shared" si="5"/>
        <v>291.26213592233006</v>
      </c>
      <c r="O29" s="35"/>
    </row>
    <row r="30" spans="2:15">
      <c r="B30" s="4">
        <v>3</v>
      </c>
      <c r="C30" s="4">
        <f t="shared" si="6"/>
        <v>0.94259590913375435</v>
      </c>
      <c r="D30" s="4">
        <f t="shared" si="7"/>
        <v>1.09369764</v>
      </c>
      <c r="F30" s="15">
        <f t="shared" si="8"/>
        <v>0.18109537733679404</v>
      </c>
      <c r="G30" s="8">
        <f t="shared" si="0"/>
        <v>110.29042553191489</v>
      </c>
      <c r="H30" s="8">
        <f t="shared" si="1"/>
        <v>969.3659270847993</v>
      </c>
      <c r="I30" s="16">
        <f t="shared" si="2"/>
        <v>300</v>
      </c>
      <c r="K30" s="15">
        <f t="shared" si="9"/>
        <v>0.17069976184069566</v>
      </c>
      <c r="L30" s="8">
        <f t="shared" si="3"/>
        <v>103.95930392300394</v>
      </c>
      <c r="M30" s="8">
        <f t="shared" si="4"/>
        <v>913.72035732378106</v>
      </c>
      <c r="N30" s="16">
        <f t="shared" si="5"/>
        <v>282.77877274012627</v>
      </c>
      <c r="O30" s="35"/>
    </row>
    <row r="31" spans="2:15">
      <c r="B31" s="4">
        <v>4</v>
      </c>
      <c r="C31" s="4">
        <f t="shared" si="6"/>
        <v>0.91514165935315961</v>
      </c>
      <c r="D31" s="4">
        <f t="shared" si="7"/>
        <v>1.1437889919120001</v>
      </c>
      <c r="F31" s="15">
        <f t="shared" si="8"/>
        <v>0.18109537733679404</v>
      </c>
      <c r="G31" s="8">
        <f t="shared" si="0"/>
        <v>110.29042553191489</v>
      </c>
      <c r="H31" s="8">
        <f t="shared" si="1"/>
        <v>969.3659270847993</v>
      </c>
      <c r="I31" s="16">
        <f t="shared" si="2"/>
        <v>300</v>
      </c>
      <c r="K31" s="15">
        <f t="shared" si="9"/>
        <v>0.16572792411718026</v>
      </c>
      <c r="L31" s="8">
        <f t="shared" si="3"/>
        <v>100.93136303204267</v>
      </c>
      <c r="M31" s="8">
        <f t="shared" si="4"/>
        <v>887.10714303279713</v>
      </c>
      <c r="N31" s="16">
        <f t="shared" si="5"/>
        <v>274.5424978059479</v>
      </c>
      <c r="O31" s="35"/>
    </row>
    <row r="32" spans="2:15">
      <c r="B32" s="4">
        <v>5</v>
      </c>
      <c r="C32" s="4">
        <f t="shared" si="6"/>
        <v>0.888487047915689</v>
      </c>
      <c r="D32" s="4">
        <f t="shared" si="7"/>
        <v>1.1961745277415698</v>
      </c>
      <c r="F32" s="15">
        <f t="shared" si="8"/>
        <v>0.18109537733679404</v>
      </c>
      <c r="G32" s="8">
        <f t="shared" si="0"/>
        <v>110.29042553191489</v>
      </c>
      <c r="H32" s="8">
        <f t="shared" si="1"/>
        <v>969.3659270847993</v>
      </c>
      <c r="I32" s="16">
        <f t="shared" si="2"/>
        <v>300</v>
      </c>
      <c r="K32" s="15">
        <f t="shared" si="9"/>
        <v>0.16090089720114589</v>
      </c>
      <c r="L32" s="8">
        <f t="shared" si="3"/>
        <v>97.991614594216202</v>
      </c>
      <c r="M32" s="8">
        <f t="shared" si="4"/>
        <v>861.26907090562838</v>
      </c>
      <c r="N32" s="16">
        <f t="shared" si="5"/>
        <v>266.54611437470669</v>
      </c>
      <c r="O32" s="35"/>
    </row>
    <row r="33" spans="2:15">
      <c r="B33" s="4">
        <v>6</v>
      </c>
      <c r="C33" s="4">
        <f t="shared" si="6"/>
        <v>0.86260878438416411</v>
      </c>
      <c r="D33" s="4">
        <f t="shared" si="7"/>
        <v>1.2509593211121339</v>
      </c>
      <c r="F33" s="15">
        <f t="shared" si="8"/>
        <v>0.18109537733679404</v>
      </c>
      <c r="G33" s="8">
        <f t="shared" si="0"/>
        <v>110.29042553191489</v>
      </c>
      <c r="H33" s="8">
        <f t="shared" si="1"/>
        <v>969.3659270847993</v>
      </c>
      <c r="I33" s="16">
        <f t="shared" si="2"/>
        <v>300</v>
      </c>
      <c r="K33" s="15">
        <f t="shared" si="9"/>
        <v>0.15621446330208341</v>
      </c>
      <c r="L33" s="8">
        <f t="shared" si="3"/>
        <v>95.137489897297286</v>
      </c>
      <c r="M33" s="8">
        <f t="shared" si="4"/>
        <v>836.18356398604692</v>
      </c>
      <c r="N33" s="16">
        <f t="shared" si="5"/>
        <v>258.78263531524925</v>
      </c>
      <c r="O33" s="35"/>
    </row>
    <row r="34" spans="2:15">
      <c r="B34" s="4">
        <v>7</v>
      </c>
      <c r="C34" s="4">
        <f t="shared" si="6"/>
        <v>0.83748425668365445</v>
      </c>
      <c r="D34" s="4">
        <f t="shared" si="7"/>
        <v>1.3082532580190698</v>
      </c>
      <c r="F34" s="15">
        <f t="shared" si="8"/>
        <v>0.18109537733679404</v>
      </c>
      <c r="G34" s="8">
        <f t="shared" si="0"/>
        <v>110.29042553191489</v>
      </c>
      <c r="H34" s="8">
        <f t="shared" si="1"/>
        <v>969.3659270847993</v>
      </c>
      <c r="I34" s="16">
        <f t="shared" si="2"/>
        <v>300</v>
      </c>
      <c r="K34" s="15">
        <f t="shared" si="9"/>
        <v>0.15166452747775089</v>
      </c>
      <c r="L34" s="8">
        <f t="shared" si="3"/>
        <v>92.366495045919692</v>
      </c>
      <c r="M34" s="8">
        <f t="shared" si="4"/>
        <v>811.82870289907464</v>
      </c>
      <c r="N34" s="16">
        <f t="shared" si="5"/>
        <v>251.24527700509634</v>
      </c>
      <c r="O34" s="35"/>
    </row>
    <row r="35" spans="2:15">
      <c r="B35" s="4">
        <v>8</v>
      </c>
      <c r="C35" s="4">
        <f t="shared" si="6"/>
        <v>0.81309151134335378</v>
      </c>
      <c r="D35" s="4">
        <f t="shared" si="7"/>
        <v>1.3681712572363434</v>
      </c>
      <c r="F35" s="15">
        <f t="shared" si="8"/>
        <v>0.18109537733679404</v>
      </c>
      <c r="G35" s="8">
        <f t="shared" si="0"/>
        <v>110.29042553191489</v>
      </c>
      <c r="H35" s="8">
        <f t="shared" si="1"/>
        <v>969.3659270847993</v>
      </c>
      <c r="I35" s="16">
        <f t="shared" si="2"/>
        <v>300</v>
      </c>
      <c r="K35" s="15">
        <f t="shared" si="9"/>
        <v>0.1472471140560688</v>
      </c>
      <c r="L35" s="8">
        <f t="shared" si="3"/>
        <v>89.676208782446295</v>
      </c>
      <c r="M35" s="8">
        <f t="shared" si="4"/>
        <v>788.18320669813068</v>
      </c>
      <c r="N35" s="16">
        <f t="shared" si="5"/>
        <v>243.92745340300613</v>
      </c>
      <c r="O35" s="35"/>
    </row>
    <row r="36" spans="2:15">
      <c r="B36" s="4">
        <v>9</v>
      </c>
      <c r="C36" s="4">
        <f t="shared" si="6"/>
        <v>0.78940923431393573</v>
      </c>
      <c r="D36" s="4">
        <f t="shared" si="7"/>
        <v>1.4308335008177679</v>
      </c>
      <c r="F36" s="15">
        <f t="shared" si="8"/>
        <v>0.18109537733679404</v>
      </c>
      <c r="G36" s="8">
        <f t="shared" si="0"/>
        <v>110.29042553191489</v>
      </c>
      <c r="H36" s="8">
        <f t="shared" si="1"/>
        <v>969.3659270847993</v>
      </c>
      <c r="I36" s="16">
        <f t="shared" si="2"/>
        <v>300</v>
      </c>
      <c r="K36" s="15">
        <f t="shared" si="9"/>
        <v>0.14295836316123184</v>
      </c>
      <c r="L36" s="8">
        <f t="shared" si="3"/>
        <v>87.064280371307078</v>
      </c>
      <c r="M36" s="8">
        <f t="shared" si="4"/>
        <v>765.22641427002986</v>
      </c>
      <c r="N36" s="16">
        <f t="shared" si="5"/>
        <v>236.82277029418071</v>
      </c>
      <c r="O36" s="35"/>
    </row>
    <row r="37" spans="2:15">
      <c r="B37" s="4">
        <v>10</v>
      </c>
      <c r="C37" s="4">
        <f t="shared" si="6"/>
        <v>0.76641673234362695</v>
      </c>
      <c r="D37" s="4">
        <f t="shared" si="7"/>
        <v>1.4963656751552219</v>
      </c>
      <c r="F37" s="15">
        <f t="shared" si="8"/>
        <v>0.18109537733679404</v>
      </c>
      <c r="G37" s="8">
        <f t="shared" si="0"/>
        <v>110.29042553191489</v>
      </c>
      <c r="H37" s="8">
        <f t="shared" si="1"/>
        <v>969.3659270847993</v>
      </c>
      <c r="I37" s="16">
        <f t="shared" si="2"/>
        <v>300</v>
      </c>
      <c r="J37" s="21"/>
      <c r="K37" s="15">
        <f t="shared" si="9"/>
        <v>0.13879452734100181</v>
      </c>
      <c r="L37" s="8">
        <f t="shared" si="3"/>
        <v>84.528427544958333</v>
      </c>
      <c r="M37" s="8">
        <f t="shared" si="4"/>
        <v>742.9382662815824</v>
      </c>
      <c r="N37" s="16">
        <f t="shared" si="5"/>
        <v>229.92501970308808</v>
      </c>
      <c r="O37" s="35"/>
    </row>
    <row r="38" spans="2:15">
      <c r="B38" s="4">
        <v>11</v>
      </c>
      <c r="C38" s="4">
        <f t="shared" si="6"/>
        <v>0.74409391489672516</v>
      </c>
      <c r="D38" s="4">
        <f t="shared" si="7"/>
        <v>1.5648992230773311</v>
      </c>
      <c r="F38" s="15">
        <f t="shared" si="8"/>
        <v>0.18109537733679404</v>
      </c>
      <c r="G38" s="8">
        <f t="shared" si="0"/>
        <v>110.29042553191489</v>
      </c>
      <c r="H38" s="8">
        <f t="shared" si="1"/>
        <v>969.3659270847993</v>
      </c>
      <c r="I38" s="16">
        <f t="shared" si="2"/>
        <v>300</v>
      </c>
      <c r="J38" s="8"/>
      <c r="K38" s="15">
        <f t="shared" si="9"/>
        <v>0.13475196829223476</v>
      </c>
      <c r="L38" s="8">
        <f t="shared" si="3"/>
        <v>82.066434509668284</v>
      </c>
      <c r="M38" s="8">
        <f t="shared" si="4"/>
        <v>721.29928765202169</v>
      </c>
      <c r="N38" s="16">
        <f t="shared" si="5"/>
        <v>223.22817446901755</v>
      </c>
      <c r="O38" s="35"/>
    </row>
    <row r="39" spans="2:15">
      <c r="B39" s="4">
        <v>12</v>
      </c>
      <c r="C39" s="4">
        <f t="shared" si="6"/>
        <v>0.72242127659876232</v>
      </c>
      <c r="D39" s="4">
        <f t="shared" si="7"/>
        <v>1.6365716074942729</v>
      </c>
      <c r="F39" s="15">
        <f t="shared" si="8"/>
        <v>0.18109537733679404</v>
      </c>
      <c r="G39" s="8">
        <f t="shared" si="0"/>
        <v>110.29042553191489</v>
      </c>
      <c r="H39" s="8">
        <f t="shared" si="1"/>
        <v>969.3659270847993</v>
      </c>
      <c r="I39" s="16">
        <f t="shared" si="2"/>
        <v>300</v>
      </c>
      <c r="J39" s="8"/>
      <c r="K39" s="15">
        <f t="shared" si="9"/>
        <v>0.13082715368178133</v>
      </c>
      <c r="L39" s="8">
        <f t="shared" si="3"/>
        <v>79.676150009386689</v>
      </c>
      <c r="M39" s="8">
        <f t="shared" si="4"/>
        <v>700.29057053594352</v>
      </c>
      <c r="N39" s="16">
        <f t="shared" si="5"/>
        <v>216.72638297962868</v>
      </c>
      <c r="O39" s="35"/>
    </row>
    <row r="40" spans="2:15">
      <c r="B40" s="4">
        <v>13</v>
      </c>
      <c r="C40" s="4">
        <f t="shared" si="6"/>
        <v>0.70137988019297326</v>
      </c>
      <c r="D40" s="4">
        <f t="shared" si="7"/>
        <v>1.7115265871175107</v>
      </c>
      <c r="F40" s="15">
        <f t="shared" si="8"/>
        <v>0.18109537733679404</v>
      </c>
      <c r="G40" s="8">
        <f t="shared" si="0"/>
        <v>110.29042553191489</v>
      </c>
      <c r="H40" s="8">
        <f t="shared" si="1"/>
        <v>969.3659270847993</v>
      </c>
      <c r="I40" s="16">
        <f t="shared" si="2"/>
        <v>300</v>
      </c>
      <c r="J40" s="8"/>
      <c r="K40" s="15">
        <f t="shared" si="9"/>
        <v>0.12701665405998189</v>
      </c>
      <c r="L40" s="8">
        <f t="shared" si="3"/>
        <v>77.355485446006512</v>
      </c>
      <c r="M40" s="8">
        <f t="shared" si="4"/>
        <v>679.89375780188698</v>
      </c>
      <c r="N40" s="16">
        <f t="shared" si="5"/>
        <v>210.41396405789197</v>
      </c>
      <c r="O40" s="35"/>
    </row>
    <row r="41" spans="2:15">
      <c r="B41" s="4">
        <v>14</v>
      </c>
      <c r="C41" s="4">
        <f t="shared" si="6"/>
        <v>0.68095133999317792</v>
      </c>
      <c r="D41" s="4">
        <f t="shared" si="7"/>
        <v>1.7899145048074927</v>
      </c>
      <c r="F41" s="15">
        <f t="shared" si="8"/>
        <v>0.18109537733679404</v>
      </c>
      <c r="G41" s="8">
        <f t="shared" si="0"/>
        <v>110.29042553191489</v>
      </c>
      <c r="H41" s="8">
        <f t="shared" si="1"/>
        <v>969.3659270847993</v>
      </c>
      <c r="I41" s="16">
        <f t="shared" si="2"/>
        <v>300</v>
      </c>
      <c r="J41" s="8"/>
      <c r="K41" s="15">
        <f t="shared" si="9"/>
        <v>0.12331713986406008</v>
      </c>
      <c r="L41" s="8">
        <f t="shared" si="3"/>
        <v>75.102413054375248</v>
      </c>
      <c r="M41" s="8">
        <f t="shared" si="4"/>
        <v>660.09102699212326</v>
      </c>
      <c r="N41" s="16">
        <f t="shared" si="5"/>
        <v>204.28540199795336</v>
      </c>
      <c r="O41" s="35"/>
    </row>
    <row r="42" spans="2:15">
      <c r="B42" s="4">
        <v>15</v>
      </c>
      <c r="C42" s="4">
        <f t="shared" si="6"/>
        <v>0.66111780581861923</v>
      </c>
      <c r="D42" s="4">
        <f t="shared" si="7"/>
        <v>1.8718925891276761</v>
      </c>
      <c r="F42" s="15">
        <f t="shared" si="8"/>
        <v>0.18109537733679404</v>
      </c>
      <c r="G42" s="8">
        <f t="shared" si="0"/>
        <v>110.29042553191489</v>
      </c>
      <c r="H42" s="8">
        <f t="shared" si="1"/>
        <v>969.3659270847993</v>
      </c>
      <c r="I42" s="16">
        <f t="shared" si="2"/>
        <v>300</v>
      </c>
      <c r="J42" s="8"/>
      <c r="K42" s="15">
        <f t="shared" si="9"/>
        <v>0.11972537850879618</v>
      </c>
      <c r="L42" s="8">
        <f t="shared" si="3"/>
        <v>72.914964130461399</v>
      </c>
      <c r="M42" s="8">
        <f t="shared" si="4"/>
        <v>640.86507474963412</v>
      </c>
      <c r="N42" s="16">
        <f t="shared" si="5"/>
        <v>198.33534174558577</v>
      </c>
      <c r="O42" s="35"/>
    </row>
    <row r="43" spans="2:15">
      <c r="B43" s="4">
        <v>16</v>
      </c>
      <c r="C43" s="4">
        <f t="shared" si="6"/>
        <v>0.64186194739671765</v>
      </c>
      <c r="D43" s="4">
        <f t="shared" si="7"/>
        <v>1.9576252697097238</v>
      </c>
      <c r="F43" s="15">
        <f t="shared" si="8"/>
        <v>0.18109537733679404</v>
      </c>
      <c r="G43" s="8">
        <f t="shared" si="0"/>
        <v>110.29042553191489</v>
      </c>
      <c r="H43" s="8">
        <f t="shared" si="1"/>
        <v>969.3659270847993</v>
      </c>
      <c r="I43" s="16">
        <f t="shared" si="2"/>
        <v>300</v>
      </c>
      <c r="J43" s="8"/>
      <c r="K43" s="15">
        <f t="shared" si="9"/>
        <v>0.11623823156193804</v>
      </c>
      <c r="L43" s="8">
        <f t="shared" si="3"/>
        <v>70.791227311127557</v>
      </c>
      <c r="M43" s="8">
        <f t="shared" si="4"/>
        <v>622.19910169867387</v>
      </c>
      <c r="N43" s="16">
        <f t="shared" si="5"/>
        <v>192.5585842190153</v>
      </c>
      <c r="O43" s="35"/>
    </row>
    <row r="44" spans="2:15">
      <c r="B44" s="4">
        <v>17</v>
      </c>
      <c r="C44" s="4">
        <f t="shared" si="6"/>
        <v>0.62316693922011435</v>
      </c>
      <c r="D44" s="4">
        <f t="shared" si="7"/>
        <v>2.0472845070624293</v>
      </c>
      <c r="F44" s="15">
        <f t="shared" si="8"/>
        <v>0.18109537733679404</v>
      </c>
      <c r="G44" s="8">
        <f t="shared" si="0"/>
        <v>110.29042553191489</v>
      </c>
      <c r="H44" s="8">
        <f t="shared" si="1"/>
        <v>969.3659270847993</v>
      </c>
      <c r="I44" s="16">
        <f t="shared" si="2"/>
        <v>300</v>
      </c>
      <c r="J44" s="8"/>
      <c r="K44" s="15">
        <f t="shared" si="9"/>
        <v>0.1128526520018816</v>
      </c>
      <c r="L44" s="8">
        <f t="shared" si="3"/>
        <v>68.729346904007357</v>
      </c>
      <c r="M44" s="8">
        <f t="shared" si="4"/>
        <v>604.07679776570296</v>
      </c>
      <c r="N44" s="16">
        <f t="shared" si="5"/>
        <v>186.95008176603432</v>
      </c>
      <c r="O44" s="35"/>
    </row>
    <row r="45" spans="2:15">
      <c r="B45" s="4">
        <v>18</v>
      </c>
      <c r="C45" s="4">
        <f t="shared" si="6"/>
        <v>0.60501644584477121</v>
      </c>
      <c r="D45" s="4">
        <f t="shared" si="7"/>
        <v>2.1410501374858888</v>
      </c>
      <c r="F45" s="15">
        <f t="shared" si="8"/>
        <v>0.18109537733679404</v>
      </c>
      <c r="G45" s="8">
        <f t="shared" si="0"/>
        <v>110.29042553191489</v>
      </c>
      <c r="H45" s="8">
        <f t="shared" si="1"/>
        <v>969.3659270847993</v>
      </c>
      <c r="I45" s="16">
        <f t="shared" si="2"/>
        <v>300</v>
      </c>
      <c r="J45" s="8"/>
      <c r="K45" s="15">
        <f t="shared" si="9"/>
        <v>0.10956568155522486</v>
      </c>
      <c r="L45" s="8">
        <f t="shared" si="3"/>
        <v>66.727521266026557</v>
      </c>
      <c r="M45" s="8">
        <f t="shared" si="4"/>
        <v>586.482327927867</v>
      </c>
      <c r="N45" s="16">
        <f t="shared" si="5"/>
        <v>181.50493375343137</v>
      </c>
      <c r="O45" s="35"/>
    </row>
    <row r="46" spans="2:15">
      <c r="B46" s="4">
        <v>19</v>
      </c>
      <c r="C46" s="4">
        <f t="shared" si="6"/>
        <v>0.5873946076162827</v>
      </c>
      <c r="D46" s="4">
        <f t="shared" si="7"/>
        <v>2.2391102337827427</v>
      </c>
      <c r="F46" s="15">
        <f t="shared" si="8"/>
        <v>0.18109537733679404</v>
      </c>
      <c r="G46" s="8">
        <f t="shared" si="0"/>
        <v>110.29042553191489</v>
      </c>
      <c r="H46" s="8">
        <f t="shared" si="1"/>
        <v>969.3659270847993</v>
      </c>
      <c r="I46" s="16">
        <f t="shared" si="2"/>
        <v>300</v>
      </c>
      <c r="J46" s="8"/>
      <c r="K46" s="15">
        <f t="shared" si="9"/>
        <v>0.10637444811186879</v>
      </c>
      <c r="L46" s="8">
        <f t="shared" si="3"/>
        <v>64.784001229151997</v>
      </c>
      <c r="M46" s="8">
        <f t="shared" si="4"/>
        <v>569.40031837656977</v>
      </c>
      <c r="N46" s="16">
        <f t="shared" si="5"/>
        <v>176.2183822848848</v>
      </c>
      <c r="O46" s="35"/>
    </row>
    <row r="47" spans="2:15">
      <c r="B47" s="4">
        <v>20</v>
      </c>
      <c r="C47" s="4">
        <f t="shared" si="6"/>
        <v>0.57028602681192497</v>
      </c>
      <c r="D47" s="4">
        <f t="shared" si="7"/>
        <v>2.3416614824899926</v>
      </c>
      <c r="F47" s="15">
        <f t="shared" si="8"/>
        <v>0.18109537733679404</v>
      </c>
      <c r="G47" s="8">
        <f t="shared" si="0"/>
        <v>110.29042553191489</v>
      </c>
      <c r="H47" s="8">
        <f t="shared" si="1"/>
        <v>969.3659270847993</v>
      </c>
      <c r="I47" s="16">
        <f t="shared" si="2"/>
        <v>300</v>
      </c>
      <c r="J47" s="8"/>
      <c r="K47" s="15">
        <f t="shared" si="9"/>
        <v>0.1032761632154066</v>
      </c>
      <c r="L47" s="8">
        <f t="shared" si="3"/>
        <v>62.897088571992228</v>
      </c>
      <c r="M47" s="8">
        <f t="shared" si="4"/>
        <v>552.81584308404831</v>
      </c>
      <c r="N47" s="16">
        <f t="shared" si="5"/>
        <v>171.08580804357752</v>
      </c>
      <c r="O47" s="35"/>
    </row>
    <row r="48" spans="2:15">
      <c r="B48" s="4">
        <v>21</v>
      </c>
      <c r="C48" s="4">
        <f t="shared" si="6"/>
        <v>0.55367575418633497</v>
      </c>
      <c r="D48" s="4">
        <f t="shared" si="7"/>
        <v>2.4489095783880344</v>
      </c>
      <c r="F48" s="15">
        <f t="shared" si="8"/>
        <v>0.18109537733679404</v>
      </c>
      <c r="G48" s="8">
        <f t="shared" si="0"/>
        <v>110.29042553191489</v>
      </c>
      <c r="H48" s="8">
        <f t="shared" si="1"/>
        <v>969.3659270847993</v>
      </c>
      <c r="I48" s="16">
        <f t="shared" si="2"/>
        <v>300</v>
      </c>
      <c r="J48" s="8"/>
      <c r="K48" s="15">
        <f t="shared" si="9"/>
        <v>0.10026811962660835</v>
      </c>
      <c r="L48" s="8">
        <f t="shared" si="3"/>
        <v>61.065134535914794</v>
      </c>
      <c r="M48" s="8">
        <f t="shared" si="4"/>
        <v>536.71441076121198</v>
      </c>
      <c r="N48" s="16">
        <f t="shared" si="5"/>
        <v>166.10272625590048</v>
      </c>
      <c r="O48" s="35"/>
    </row>
    <row r="49" spans="1:15">
      <c r="B49" s="4">
        <v>22</v>
      </c>
      <c r="C49" s="4">
        <f t="shared" si="6"/>
        <v>0.5375492759090631</v>
      </c>
      <c r="D49" s="4">
        <f t="shared" si="7"/>
        <v>2.5610696370782065</v>
      </c>
      <c r="F49" s="15">
        <f t="shared" si="8"/>
        <v>0.18109537733679404</v>
      </c>
      <c r="G49" s="8">
        <f t="shared" si="0"/>
        <v>110.29042553191489</v>
      </c>
      <c r="H49" s="8">
        <f t="shared" si="1"/>
        <v>969.3659270847993</v>
      </c>
      <c r="I49" s="16">
        <f t="shared" si="2"/>
        <v>300</v>
      </c>
      <c r="K49" s="15">
        <f t="shared" si="9"/>
        <v>9.7347688957872186E-2</v>
      </c>
      <c r="L49" s="8">
        <f t="shared" si="3"/>
        <v>59.286538384383292</v>
      </c>
      <c r="M49" s="8">
        <f t="shared" si="4"/>
        <v>521.0819521953515</v>
      </c>
      <c r="N49" s="16">
        <f t="shared" si="5"/>
        <v>161.26478277271892</v>
      </c>
      <c r="O49" s="35"/>
    </row>
    <row r="50" spans="1:15">
      <c r="B50" s="4">
        <v>23</v>
      </c>
      <c r="C50" s="4">
        <f t="shared" si="6"/>
        <v>0.52189250088258554</v>
      </c>
      <c r="D50" s="4">
        <f t="shared" si="7"/>
        <v>2.6783666264563886</v>
      </c>
      <c r="F50" s="15">
        <f t="shared" si="8"/>
        <v>0.18109537733679404</v>
      </c>
      <c r="G50" s="8">
        <f t="shared" si="0"/>
        <v>110.29042553191489</v>
      </c>
      <c r="H50" s="8">
        <f t="shared" si="1"/>
        <v>969.3659270847993</v>
      </c>
      <c r="I50" s="16">
        <f t="shared" si="2"/>
        <v>300</v>
      </c>
      <c r="K50" s="15">
        <f t="shared" si="9"/>
        <v>9.4512319376574949E-2</v>
      </c>
      <c r="L50" s="8">
        <f t="shared" si="3"/>
        <v>57.559746004255629</v>
      </c>
      <c r="M50" s="8">
        <f t="shared" si="4"/>
        <v>505.90480795665195</v>
      </c>
      <c r="N50" s="16">
        <f t="shared" si="5"/>
        <v>156.56775026477564</v>
      </c>
      <c r="O50" s="35"/>
    </row>
    <row r="51" spans="1:15">
      <c r="B51" s="4">
        <v>24</v>
      </c>
      <c r="C51" s="4">
        <f t="shared" si="6"/>
        <v>0.50669174842969467</v>
      </c>
      <c r="D51" s="4">
        <f t="shared" si="7"/>
        <v>2.8010358179480912</v>
      </c>
      <c r="F51" s="15">
        <f t="shared" si="8"/>
        <v>0.18109537733679404</v>
      </c>
      <c r="G51" s="8">
        <f t="shared" si="0"/>
        <v>110.29042553191489</v>
      </c>
      <c r="H51" s="8">
        <f t="shared" si="1"/>
        <v>969.3659270847993</v>
      </c>
      <c r="I51" s="16">
        <f t="shared" si="2"/>
        <v>300</v>
      </c>
      <c r="K51" s="15">
        <f t="shared" si="9"/>
        <v>9.1759533375315477E-2</v>
      </c>
      <c r="L51" s="8">
        <f t="shared" si="3"/>
        <v>55.88324854782099</v>
      </c>
      <c r="M51" s="8">
        <f t="shared" si="4"/>
        <v>491.16971646276886</v>
      </c>
      <c r="N51" s="16">
        <f t="shared" si="5"/>
        <v>152.00752452890839</v>
      </c>
      <c r="O51" s="35"/>
    </row>
    <row r="52" spans="1:15">
      <c r="B52" s="4">
        <v>25</v>
      </c>
      <c r="C52" s="4">
        <f t="shared" si="6"/>
        <v>0.49193373633950943</v>
      </c>
      <c r="D52" s="4">
        <f t="shared" si="7"/>
        <v>2.9293232584101139</v>
      </c>
      <c r="F52" s="15">
        <f t="shared" si="8"/>
        <v>0.18109537733679404</v>
      </c>
      <c r="G52" s="8">
        <f t="shared" si="0"/>
        <v>110.29042553191489</v>
      </c>
      <c r="H52" s="8">
        <f t="shared" si="1"/>
        <v>969.3659270847993</v>
      </c>
      <c r="I52" s="16">
        <f t="shared" si="2"/>
        <v>300</v>
      </c>
      <c r="K52" s="15">
        <f t="shared" si="9"/>
        <v>8.9086925607102407E-2</v>
      </c>
      <c r="L52" s="8">
        <f t="shared" si="3"/>
        <v>54.255581114389322</v>
      </c>
      <c r="M52" s="8">
        <f t="shared" si="4"/>
        <v>476.86380239103778</v>
      </c>
      <c r="N52" s="16">
        <f t="shared" si="5"/>
        <v>147.58012090185281</v>
      </c>
      <c r="O52" s="35"/>
    </row>
    <row r="53" spans="1:15">
      <c r="B53" s="4">
        <v>26</v>
      </c>
      <c r="C53" s="4">
        <f t="shared" si="6"/>
        <v>0.47760556926165965</v>
      </c>
      <c r="D53" s="4">
        <f t="shared" si="7"/>
        <v>3.0634862636452973</v>
      </c>
      <c r="F53" s="15">
        <f t="shared" si="8"/>
        <v>0.18109537733679404</v>
      </c>
      <c r="G53" s="8">
        <f t="shared" si="0"/>
        <v>110.29042553191489</v>
      </c>
      <c r="H53" s="8">
        <f t="shared" si="1"/>
        <v>969.3659270847993</v>
      </c>
      <c r="I53" s="16">
        <f t="shared" si="2"/>
        <v>300</v>
      </c>
      <c r="K53" s="15">
        <f t="shared" si="9"/>
        <v>8.6492160783594577E-2</v>
      </c>
      <c r="L53" s="8">
        <f t="shared" si="3"/>
        <v>52.675321470280892</v>
      </c>
      <c r="M53" s="8">
        <f t="shared" si="4"/>
        <v>462.97456542819202</v>
      </c>
      <c r="N53" s="16">
        <f t="shared" si="5"/>
        <v>143.2816707784979</v>
      </c>
      <c r="O53" s="35"/>
    </row>
    <row r="54" spans="1:15">
      <c r="B54" s="4">
        <v>27</v>
      </c>
      <c r="C54" s="4">
        <f t="shared" si="6"/>
        <v>0.46369472743850448</v>
      </c>
      <c r="D54" s="4">
        <f t="shared" si="7"/>
        <v>3.203793934520252</v>
      </c>
      <c r="F54" s="15">
        <f t="shared" si="8"/>
        <v>0.18109537733679404</v>
      </c>
      <c r="G54" s="8">
        <f t="shared" si="0"/>
        <v>110.29042553191489</v>
      </c>
      <c r="H54" s="8">
        <f t="shared" si="1"/>
        <v>969.3659270847993</v>
      </c>
      <c r="I54" s="16">
        <f t="shared" si="2"/>
        <v>300</v>
      </c>
      <c r="J54" s="10"/>
      <c r="K54" s="15">
        <f t="shared" si="9"/>
        <v>8.397297163455783E-2</v>
      </c>
      <c r="L54" s="8">
        <f t="shared" si="3"/>
        <v>51.141088806097954</v>
      </c>
      <c r="M54" s="8">
        <f t="shared" si="4"/>
        <v>449.48986934775922</v>
      </c>
      <c r="N54" s="16">
        <f t="shared" si="5"/>
        <v>139.10841823155133</v>
      </c>
      <c r="O54" s="35"/>
    </row>
    <row r="55" spans="1:15">
      <c r="B55" s="4">
        <v>28</v>
      </c>
      <c r="C55" s="4">
        <f t="shared" si="6"/>
        <v>0.45018905576553836</v>
      </c>
      <c r="D55" s="4">
        <f t="shared" si="7"/>
        <v>3.3505276967212798</v>
      </c>
      <c r="F55" s="15">
        <f t="shared" si="8"/>
        <v>0.18109537733679404</v>
      </c>
      <c r="G55" s="8">
        <f t="shared" si="0"/>
        <v>110.29042553191489</v>
      </c>
      <c r="H55" s="8">
        <f t="shared" si="1"/>
        <v>969.3659270847993</v>
      </c>
      <c r="I55" s="16">
        <f t="shared" si="2"/>
        <v>300</v>
      </c>
      <c r="J55" s="10"/>
      <c r="K55" s="15">
        <f t="shared" si="9"/>
        <v>8.152715692675519E-2</v>
      </c>
      <c r="L55" s="8">
        <f t="shared" si="3"/>
        <v>49.651542530192188</v>
      </c>
      <c r="M55" s="8">
        <f t="shared" si="4"/>
        <v>436.39793140559146</v>
      </c>
      <c r="N55" s="16">
        <f t="shared" si="5"/>
        <v>135.0567167296615</v>
      </c>
      <c r="O55" s="35"/>
    </row>
    <row r="56" spans="1:15">
      <c r="B56" s="4">
        <v>29</v>
      </c>
      <c r="C56" s="4">
        <f t="shared" si="6"/>
        <v>0.4370767531704256</v>
      </c>
      <c r="D56" s="4">
        <f t="shared" si="7"/>
        <v>3.5039818652311148</v>
      </c>
      <c r="F56" s="15">
        <f t="shared" si="8"/>
        <v>0.18109537733679404</v>
      </c>
      <c r="G56" s="8">
        <f t="shared" si="0"/>
        <v>110.29042553191489</v>
      </c>
      <c r="H56" s="8">
        <f t="shared" si="1"/>
        <v>969.3659270847993</v>
      </c>
      <c r="I56" s="16">
        <f t="shared" si="2"/>
        <v>300</v>
      </c>
      <c r="K56" s="15">
        <f t="shared" si="9"/>
        <v>7.9152579540539017E-2</v>
      </c>
      <c r="L56" s="8">
        <f t="shared" si="3"/>
        <v>48.205381097273971</v>
      </c>
      <c r="M56" s="8">
        <f t="shared" si="4"/>
        <v>423.68731204426359</v>
      </c>
      <c r="N56" s="16">
        <f t="shared" si="5"/>
        <v>131.12302595112766</v>
      </c>
      <c r="O56" s="35"/>
    </row>
    <row r="57" spans="1:15">
      <c r="B57" s="4">
        <v>30</v>
      </c>
      <c r="C57" s="4">
        <f t="shared" si="6"/>
        <v>0.42434636230138412</v>
      </c>
      <c r="D57" s="4">
        <f t="shared" si="7"/>
        <v>3.6644642346587002</v>
      </c>
      <c r="F57" s="5">
        <f t="shared" si="8"/>
        <v>0.18109537733679404</v>
      </c>
      <c r="G57" s="17">
        <f t="shared" si="0"/>
        <v>110.29042553191489</v>
      </c>
      <c r="H57" s="17">
        <f t="shared" si="1"/>
        <v>969.3659270847993</v>
      </c>
      <c r="I57" s="6">
        <f t="shared" si="2"/>
        <v>300</v>
      </c>
      <c r="K57" s="5">
        <f t="shared" si="9"/>
        <v>7.6847164602465073E-2</v>
      </c>
      <c r="L57" s="17">
        <f t="shared" si="3"/>
        <v>46.801340871139779</v>
      </c>
      <c r="M57" s="17">
        <f t="shared" si="4"/>
        <v>411.34690489734334</v>
      </c>
      <c r="N57" s="6">
        <f t="shared" si="5"/>
        <v>127.30390869041524</v>
      </c>
      <c r="O57" s="35"/>
    </row>
    <row r="58" spans="1:15">
      <c r="O58" s="35"/>
    </row>
    <row r="59" spans="1:15">
      <c r="O59" s="35"/>
    </row>
    <row r="60" spans="1:15">
      <c r="A60" s="35"/>
      <c r="B60" s="35"/>
      <c r="C60" s="272"/>
      <c r="D60" s="272"/>
      <c r="E60" s="76"/>
      <c r="F60" s="35"/>
      <c r="G60" s="35"/>
      <c r="H60" s="105"/>
      <c r="I60" s="105"/>
      <c r="J60" s="105"/>
      <c r="K60" s="105"/>
      <c r="L60" s="105"/>
      <c r="M60" s="105"/>
      <c r="N60" s="105"/>
      <c r="O60" s="105"/>
    </row>
    <row r="61" spans="1:15">
      <c r="A61" s="35"/>
      <c r="B61" s="35"/>
      <c r="C61" s="35"/>
      <c r="D61" s="35"/>
      <c r="E61" s="35"/>
      <c r="F61" s="35"/>
      <c r="G61" s="35"/>
      <c r="H61" s="35"/>
      <c r="I61" s="35"/>
      <c r="J61" s="35"/>
      <c r="K61" s="35"/>
      <c r="L61" s="35"/>
      <c r="M61" s="35"/>
      <c r="N61" s="35"/>
      <c r="O61" s="35"/>
    </row>
    <row r="62" spans="1:15">
      <c r="A62" s="35"/>
      <c r="B62" s="35"/>
      <c r="C62" s="35"/>
      <c r="D62" s="35"/>
      <c r="E62" s="35"/>
      <c r="F62" s="35"/>
      <c r="G62" s="35"/>
      <c r="H62" s="35"/>
      <c r="I62" s="35"/>
      <c r="J62" s="35"/>
      <c r="K62" s="35"/>
      <c r="L62" s="35"/>
      <c r="M62" s="35"/>
      <c r="N62" s="35"/>
      <c r="O62" s="35"/>
    </row>
    <row r="63" spans="1:15">
      <c r="A63" s="35"/>
      <c r="B63" s="35"/>
      <c r="C63" s="35"/>
      <c r="D63" s="35"/>
      <c r="E63" s="35"/>
      <c r="F63" s="35"/>
      <c r="G63" s="35"/>
      <c r="H63" s="35"/>
      <c r="I63" s="35"/>
      <c r="J63" s="35"/>
      <c r="K63" s="35"/>
      <c r="L63" s="35"/>
      <c r="M63" s="35"/>
      <c r="N63" s="35"/>
      <c r="O63" s="35"/>
    </row>
    <row r="64" spans="1:15">
      <c r="A64" s="35"/>
      <c r="B64" s="35"/>
      <c r="C64" s="35"/>
      <c r="D64" s="35"/>
      <c r="E64" s="35"/>
      <c r="F64" s="35"/>
      <c r="G64" s="35"/>
      <c r="H64" s="35"/>
      <c r="I64" s="35"/>
      <c r="J64" s="35"/>
      <c r="K64" s="35"/>
      <c r="L64" s="35"/>
      <c r="M64" s="35"/>
      <c r="N64" s="35"/>
      <c r="O64" s="35"/>
    </row>
    <row r="65" spans="1:15">
      <c r="A65" s="35"/>
      <c r="B65" s="35"/>
      <c r="C65" s="35"/>
      <c r="D65" s="35"/>
      <c r="E65" s="35"/>
      <c r="F65" s="35"/>
      <c r="G65" s="35"/>
      <c r="H65" s="35"/>
      <c r="I65" s="35"/>
      <c r="J65" s="35"/>
      <c r="K65" s="35"/>
      <c r="L65" s="35"/>
      <c r="M65" s="35"/>
      <c r="N65" s="35"/>
      <c r="O65" s="35"/>
    </row>
    <row r="66" spans="1:15">
      <c r="A66" s="35"/>
      <c r="B66" s="35"/>
      <c r="C66" s="35"/>
      <c r="D66" s="35"/>
      <c r="E66" s="35"/>
      <c r="F66" s="35"/>
      <c r="G66" s="35"/>
      <c r="H66" s="35"/>
      <c r="I66" s="35"/>
      <c r="J66" s="35"/>
      <c r="K66" s="35"/>
      <c r="L66" s="35"/>
      <c r="M66" s="35"/>
      <c r="N66" s="35"/>
      <c r="O66" s="35"/>
    </row>
    <row r="67" spans="1:15">
      <c r="A67" s="35"/>
      <c r="B67" s="35"/>
      <c r="C67" s="35"/>
      <c r="D67" s="35"/>
      <c r="E67" s="35"/>
      <c r="F67" s="35"/>
      <c r="G67" s="35"/>
      <c r="H67" s="35"/>
      <c r="I67" s="35"/>
      <c r="J67" s="35"/>
      <c r="K67" s="35"/>
      <c r="L67" s="35"/>
      <c r="M67" s="35"/>
      <c r="N67" s="35"/>
      <c r="O67" s="35"/>
    </row>
    <row r="68" spans="1:15">
      <c r="A68" s="35"/>
      <c r="B68" s="35"/>
      <c r="C68" s="35"/>
      <c r="D68" s="35"/>
      <c r="E68" s="35"/>
      <c r="F68" s="35"/>
      <c r="G68" s="35"/>
      <c r="H68" s="35"/>
      <c r="I68" s="35"/>
      <c r="J68" s="35"/>
      <c r="K68" s="35"/>
      <c r="L68" s="35"/>
      <c r="M68" s="35"/>
      <c r="N68" s="35"/>
      <c r="O68" s="35"/>
    </row>
    <row r="69" spans="1:15">
      <c r="A69" s="35"/>
      <c r="B69" s="35"/>
      <c r="C69" s="35"/>
      <c r="D69" s="35"/>
      <c r="E69" s="35"/>
      <c r="F69" s="35"/>
      <c r="G69" s="35"/>
      <c r="H69" s="35"/>
      <c r="I69" s="35"/>
      <c r="J69" s="35"/>
      <c r="K69" s="35"/>
      <c r="L69" s="35"/>
      <c r="M69" s="35"/>
      <c r="N69" s="35"/>
      <c r="O69" s="35"/>
    </row>
    <row r="70" spans="1:15">
      <c r="A70" s="35"/>
      <c r="B70" s="35"/>
      <c r="C70" s="35"/>
      <c r="D70" s="35"/>
      <c r="E70" s="35"/>
      <c r="F70" s="35"/>
      <c r="G70" s="35"/>
      <c r="H70" s="35"/>
      <c r="I70" s="35"/>
      <c r="J70" s="35"/>
      <c r="K70" s="35"/>
      <c r="L70" s="35"/>
      <c r="M70" s="35"/>
      <c r="N70" s="35"/>
      <c r="O70" s="35"/>
    </row>
    <row r="71" spans="1:15">
      <c r="A71" s="35"/>
      <c r="B71" s="35"/>
      <c r="C71" s="35"/>
      <c r="D71" s="35"/>
      <c r="E71" s="35"/>
      <c r="F71" s="35"/>
      <c r="G71" s="35"/>
      <c r="H71" s="35"/>
      <c r="I71" s="35"/>
      <c r="J71" s="35"/>
      <c r="K71" s="35"/>
      <c r="L71" s="35"/>
      <c r="M71" s="35"/>
      <c r="N71" s="35"/>
      <c r="O71" s="35"/>
    </row>
    <row r="72" spans="1:15">
      <c r="A72" s="35"/>
      <c r="B72" s="35"/>
      <c r="C72" s="35"/>
      <c r="D72" s="35"/>
      <c r="E72" s="35"/>
      <c r="F72" s="35"/>
      <c r="G72" s="35"/>
      <c r="H72" s="35"/>
      <c r="I72" s="35"/>
      <c r="J72" s="35"/>
      <c r="K72" s="35"/>
      <c r="L72" s="35"/>
      <c r="M72" s="35"/>
      <c r="N72" s="35"/>
      <c r="O72" s="35"/>
    </row>
    <row r="73" spans="1:15">
      <c r="A73" s="35"/>
      <c r="B73" s="35"/>
      <c r="C73" s="35"/>
      <c r="D73" s="35"/>
      <c r="E73" s="35"/>
      <c r="F73" s="35"/>
      <c r="G73" s="35"/>
      <c r="H73" s="35"/>
      <c r="I73" s="35"/>
      <c r="J73" s="35"/>
      <c r="K73" s="35"/>
      <c r="L73" s="35"/>
      <c r="M73" s="35"/>
      <c r="N73" s="35"/>
      <c r="O73" s="35"/>
    </row>
    <row r="74" spans="1:15">
      <c r="A74" s="35"/>
      <c r="B74" s="35"/>
      <c r="C74" s="35"/>
      <c r="D74" s="35"/>
      <c r="E74" s="35"/>
      <c r="F74" s="35"/>
      <c r="G74" s="35"/>
      <c r="H74" s="35"/>
      <c r="I74" s="35"/>
      <c r="J74" s="35"/>
      <c r="K74" s="35"/>
      <c r="L74" s="35"/>
      <c r="M74" s="35"/>
      <c r="N74" s="35"/>
      <c r="O74" s="35"/>
    </row>
    <row r="75" spans="1:15">
      <c r="A75" s="35"/>
      <c r="B75" s="35"/>
      <c r="C75" s="35"/>
      <c r="D75" s="35"/>
      <c r="E75" s="35"/>
      <c r="F75" s="35"/>
      <c r="G75" s="35"/>
      <c r="H75" s="35"/>
      <c r="I75" s="35"/>
      <c r="J75" s="35"/>
      <c r="K75" s="35"/>
      <c r="L75" s="35"/>
      <c r="M75" s="35"/>
      <c r="N75" s="35"/>
      <c r="O75" s="35"/>
    </row>
    <row r="76" spans="1:15">
      <c r="A76" s="35"/>
      <c r="B76" s="35"/>
      <c r="C76" s="35"/>
      <c r="D76" s="35"/>
      <c r="E76" s="35"/>
      <c r="F76" s="35"/>
      <c r="G76" s="35"/>
      <c r="H76" s="35"/>
      <c r="I76" s="35"/>
      <c r="J76" s="35"/>
      <c r="K76" s="35"/>
      <c r="L76" s="35"/>
      <c r="M76" s="35"/>
      <c r="N76" s="35"/>
      <c r="O76" s="35"/>
    </row>
    <row r="77" spans="1:15">
      <c r="A77" s="35"/>
      <c r="B77" s="35"/>
      <c r="C77" s="35"/>
      <c r="D77" s="35"/>
      <c r="E77" s="35"/>
      <c r="F77" s="35"/>
      <c r="G77" s="35"/>
      <c r="H77" s="35"/>
      <c r="I77" s="35"/>
      <c r="J77" s="35"/>
      <c r="K77" s="35"/>
      <c r="L77" s="35"/>
      <c r="M77" s="35"/>
      <c r="N77" s="35"/>
      <c r="O77" s="35"/>
    </row>
    <row r="78" spans="1:15">
      <c r="A78" s="35"/>
      <c r="B78" s="35"/>
      <c r="C78" s="35"/>
      <c r="D78" s="35"/>
      <c r="E78" s="35"/>
      <c r="F78" s="35"/>
      <c r="G78" s="35"/>
      <c r="H78" s="35"/>
      <c r="I78" s="35"/>
      <c r="J78" s="35"/>
      <c r="K78" s="35"/>
      <c r="L78" s="35"/>
      <c r="M78" s="35"/>
      <c r="N78" s="35"/>
      <c r="O78" s="35"/>
    </row>
    <row r="79" spans="1:15">
      <c r="A79" s="35"/>
      <c r="B79" s="35"/>
      <c r="C79" s="35"/>
      <c r="D79" s="35"/>
      <c r="E79" s="35"/>
      <c r="F79" s="35"/>
      <c r="G79" s="35"/>
      <c r="H79" s="35"/>
      <c r="I79" s="35"/>
      <c r="J79" s="35"/>
      <c r="K79" s="35"/>
      <c r="L79" s="35"/>
      <c r="M79" s="35"/>
      <c r="N79" s="35"/>
      <c r="O79" s="35"/>
    </row>
    <row r="80" spans="1:15">
      <c r="A80" s="35"/>
      <c r="B80" s="35"/>
      <c r="C80" s="35"/>
      <c r="D80" s="35"/>
      <c r="E80" s="35"/>
      <c r="F80" s="35"/>
      <c r="G80" s="35"/>
      <c r="H80" s="35"/>
      <c r="I80" s="35"/>
      <c r="J80" s="35"/>
      <c r="K80" s="35"/>
      <c r="L80" s="35"/>
      <c r="M80" s="35"/>
      <c r="N80" s="35"/>
      <c r="O80" s="35"/>
    </row>
    <row r="81" spans="1:15">
      <c r="A81" s="35"/>
      <c r="B81" s="35"/>
      <c r="C81" s="35"/>
      <c r="D81" s="35"/>
      <c r="E81" s="35"/>
      <c r="F81" s="35"/>
      <c r="G81" s="35"/>
      <c r="H81" s="35"/>
      <c r="I81" s="35"/>
      <c r="J81" s="35"/>
      <c r="K81" s="35"/>
      <c r="L81" s="35"/>
      <c r="M81" s="35"/>
      <c r="N81" s="35"/>
      <c r="O81" s="35"/>
    </row>
    <row r="82" spans="1:15">
      <c r="A82" s="35"/>
      <c r="B82" s="35"/>
      <c r="C82" s="35"/>
      <c r="D82" s="35"/>
      <c r="E82" s="35"/>
      <c r="F82" s="35"/>
      <c r="G82" s="35"/>
      <c r="H82" s="35"/>
      <c r="I82" s="35"/>
      <c r="J82" s="35"/>
      <c r="K82" s="35"/>
      <c r="L82" s="35"/>
      <c r="M82" s="35"/>
      <c r="N82" s="35"/>
      <c r="O82" s="35"/>
    </row>
    <row r="83" spans="1:15">
      <c r="A83" s="35"/>
      <c r="B83" s="35"/>
      <c r="C83" s="35"/>
      <c r="D83" s="35"/>
      <c r="E83" s="35"/>
      <c r="F83" s="35"/>
      <c r="G83" s="35"/>
      <c r="H83" s="35"/>
      <c r="I83" s="35"/>
      <c r="J83" s="35"/>
      <c r="K83" s="35"/>
      <c r="L83" s="35"/>
      <c r="M83" s="35"/>
      <c r="N83" s="35"/>
      <c r="O83" s="35"/>
    </row>
    <row r="84" spans="1:15">
      <c r="A84" s="35"/>
      <c r="B84" s="35"/>
      <c r="C84" s="35"/>
      <c r="D84" s="35"/>
      <c r="E84" s="35"/>
      <c r="F84" s="35"/>
      <c r="G84" s="35"/>
      <c r="H84" s="35"/>
      <c r="I84" s="35"/>
      <c r="J84" s="35"/>
      <c r="K84" s="35"/>
      <c r="L84" s="35"/>
      <c r="M84" s="35"/>
      <c r="N84" s="35"/>
      <c r="O84" s="35"/>
    </row>
    <row r="85" spans="1:15">
      <c r="A85" s="35"/>
      <c r="B85" s="35"/>
      <c r="C85" s="35"/>
      <c r="D85" s="35"/>
      <c r="E85" s="35"/>
      <c r="F85" s="35"/>
      <c r="G85" s="35"/>
      <c r="H85" s="35"/>
      <c r="I85" s="35"/>
      <c r="J85" s="35"/>
      <c r="K85" s="35"/>
      <c r="L85" s="35"/>
      <c r="M85" s="35"/>
      <c r="N85" s="35"/>
      <c r="O85" s="35"/>
    </row>
    <row r="86" spans="1:15">
      <c r="A86" s="35"/>
      <c r="B86" s="35"/>
      <c r="C86" s="35"/>
      <c r="D86" s="35"/>
      <c r="E86" s="35"/>
      <c r="F86" s="35"/>
      <c r="G86" s="35"/>
      <c r="H86" s="35"/>
      <c r="I86" s="35"/>
      <c r="J86" s="35"/>
      <c r="K86" s="35"/>
      <c r="L86" s="35"/>
      <c r="M86" s="35"/>
      <c r="N86" s="35"/>
      <c r="O86" s="35"/>
    </row>
    <row r="87" spans="1:15">
      <c r="A87" s="35"/>
      <c r="B87" s="35"/>
      <c r="C87" s="35"/>
      <c r="D87" s="35"/>
      <c r="E87" s="35"/>
      <c r="F87" s="35"/>
      <c r="G87" s="35"/>
      <c r="H87" s="35"/>
      <c r="I87" s="35"/>
      <c r="J87" s="35"/>
      <c r="K87" s="35"/>
      <c r="L87" s="35"/>
      <c r="M87" s="35"/>
      <c r="N87" s="35"/>
      <c r="O87" s="35"/>
    </row>
    <row r="88" spans="1:15">
      <c r="A88" s="35"/>
      <c r="B88" s="35"/>
      <c r="C88" s="35"/>
      <c r="D88" s="35"/>
      <c r="E88" s="35"/>
      <c r="F88" s="35"/>
      <c r="G88" s="35"/>
      <c r="H88" s="35"/>
      <c r="I88" s="35"/>
      <c r="J88" s="35"/>
      <c r="K88" s="35"/>
      <c r="L88" s="35"/>
      <c r="M88" s="35"/>
      <c r="N88" s="35"/>
      <c r="O88" s="35"/>
    </row>
    <row r="89" spans="1:15">
      <c r="A89" s="35"/>
      <c r="B89" s="35"/>
      <c r="C89" s="35"/>
      <c r="D89" s="35"/>
      <c r="E89" s="35"/>
      <c r="F89" s="35"/>
      <c r="G89" s="35"/>
      <c r="H89" s="35"/>
      <c r="I89" s="35"/>
      <c r="J89" s="35"/>
      <c r="K89" s="35"/>
      <c r="L89" s="35"/>
      <c r="M89" s="35"/>
      <c r="N89" s="35"/>
      <c r="O89" s="35"/>
    </row>
    <row r="90" spans="1:15">
      <c r="A90" s="35"/>
      <c r="B90" s="35"/>
      <c r="C90" s="35"/>
      <c r="D90" s="35"/>
      <c r="E90" s="35"/>
      <c r="F90" s="35"/>
      <c r="G90" s="35"/>
      <c r="H90" s="35"/>
      <c r="I90" s="35"/>
      <c r="J90" s="35"/>
      <c r="K90" s="35"/>
      <c r="L90" s="35"/>
      <c r="M90" s="35"/>
      <c r="N90" s="35"/>
      <c r="O90" s="35"/>
    </row>
    <row r="91" spans="1:15">
      <c r="A91" s="35"/>
      <c r="B91" s="35"/>
      <c r="C91" s="35"/>
      <c r="D91" s="35"/>
      <c r="E91" s="35"/>
      <c r="F91" s="35"/>
      <c r="G91" s="35"/>
      <c r="H91" s="35"/>
      <c r="I91" s="35"/>
      <c r="J91" s="35"/>
      <c r="K91" s="35"/>
      <c r="L91" s="35"/>
      <c r="M91" s="35"/>
      <c r="N91" s="35"/>
      <c r="O91" s="35"/>
    </row>
    <row r="92" spans="1:15">
      <c r="A92" s="35"/>
      <c r="B92" s="35"/>
      <c r="C92" s="35"/>
      <c r="D92" s="35"/>
      <c r="E92" s="35"/>
      <c r="F92" s="35"/>
      <c r="G92" s="35"/>
      <c r="H92" s="35"/>
      <c r="I92" s="35"/>
      <c r="J92" s="35"/>
      <c r="K92" s="35"/>
      <c r="L92" s="35"/>
      <c r="M92" s="35"/>
      <c r="N92" s="35"/>
      <c r="O92" s="35"/>
    </row>
    <row r="93" spans="1:15">
      <c r="A93" s="35"/>
      <c r="B93" s="35"/>
      <c r="C93" s="35"/>
      <c r="D93" s="35"/>
      <c r="E93" s="35"/>
      <c r="F93" s="35"/>
      <c r="G93" s="35"/>
      <c r="H93" s="35"/>
      <c r="I93" s="35"/>
      <c r="J93" s="35"/>
      <c r="K93" s="35"/>
      <c r="L93" s="35"/>
      <c r="M93" s="35"/>
      <c r="N93" s="35"/>
      <c r="O93" s="35"/>
    </row>
    <row r="94" spans="1:15">
      <c r="A94" s="35"/>
      <c r="B94" s="35"/>
      <c r="C94" s="35"/>
      <c r="D94" s="35"/>
      <c r="E94" s="35"/>
      <c r="F94" s="35"/>
      <c r="G94" s="35"/>
      <c r="H94" s="35"/>
      <c r="I94" s="35"/>
      <c r="J94" s="35"/>
      <c r="K94" s="35"/>
      <c r="L94" s="35"/>
      <c r="M94" s="35"/>
      <c r="N94" s="35"/>
      <c r="O94" s="35"/>
    </row>
    <row r="95" spans="1:15">
      <c r="A95" s="35"/>
      <c r="B95" s="35"/>
      <c r="C95" s="35"/>
      <c r="D95" s="35"/>
      <c r="E95" s="35"/>
      <c r="F95" s="35"/>
      <c r="G95" s="35"/>
      <c r="H95" s="35"/>
      <c r="I95" s="35"/>
      <c r="J95" s="35"/>
      <c r="K95" s="35"/>
      <c r="L95" s="35"/>
      <c r="M95" s="35"/>
      <c r="N95" s="35"/>
      <c r="O95" s="35"/>
    </row>
    <row r="96" spans="1:15">
      <c r="A96" s="35"/>
      <c r="B96" s="35"/>
      <c r="C96" s="35"/>
      <c r="D96" s="35"/>
      <c r="E96" s="35"/>
      <c r="F96" s="35"/>
      <c r="G96" s="35"/>
      <c r="H96" s="35"/>
      <c r="I96" s="35"/>
      <c r="J96" s="35"/>
      <c r="K96" s="35"/>
      <c r="L96" s="35"/>
      <c r="M96" s="35"/>
      <c r="N96" s="35"/>
      <c r="O96" s="35"/>
    </row>
    <row r="97" spans="1:15">
      <c r="A97" s="35"/>
      <c r="B97" s="35"/>
      <c r="C97" s="35"/>
      <c r="D97" s="35"/>
      <c r="E97" s="35"/>
      <c r="F97" s="35"/>
      <c r="G97" s="35"/>
      <c r="H97" s="35"/>
      <c r="I97" s="35"/>
      <c r="J97" s="35"/>
      <c r="K97" s="35"/>
      <c r="L97" s="35"/>
      <c r="M97" s="35"/>
      <c r="N97" s="35"/>
      <c r="O97" s="35"/>
    </row>
    <row r="98" spans="1:15">
      <c r="A98" s="35"/>
      <c r="B98" s="35"/>
      <c r="C98" s="35"/>
      <c r="D98" s="35"/>
      <c r="E98" s="35"/>
      <c r="F98" s="35"/>
      <c r="G98" s="35"/>
      <c r="H98" s="35"/>
      <c r="I98" s="35"/>
      <c r="J98" s="35"/>
      <c r="K98" s="35"/>
      <c r="L98" s="35"/>
      <c r="M98" s="35"/>
      <c r="N98" s="35"/>
      <c r="O98" s="35"/>
    </row>
    <row r="99" spans="1:15">
      <c r="A99" s="35"/>
      <c r="B99" s="35"/>
      <c r="C99" s="35"/>
      <c r="D99" s="35"/>
      <c r="E99" s="35"/>
      <c r="F99" s="35"/>
      <c r="G99" s="35"/>
      <c r="H99" s="35"/>
      <c r="I99" s="35"/>
      <c r="J99" s="35"/>
      <c r="K99" s="35"/>
      <c r="L99" s="35"/>
      <c r="M99" s="35"/>
      <c r="N99" s="35"/>
      <c r="O99" s="35"/>
    </row>
    <row r="100" spans="1:15">
      <c r="A100" s="35"/>
      <c r="B100" s="35"/>
      <c r="C100" s="35"/>
      <c r="D100" s="35"/>
      <c r="E100" s="35"/>
      <c r="F100" s="35"/>
      <c r="G100" s="35"/>
      <c r="H100" s="35"/>
      <c r="I100" s="35"/>
      <c r="J100" s="35"/>
      <c r="K100" s="35"/>
      <c r="L100" s="35"/>
      <c r="M100" s="35"/>
      <c r="N100" s="35"/>
      <c r="O100" s="35"/>
    </row>
  </sheetData>
  <mergeCells count="3">
    <mergeCell ref="F25:I25"/>
    <mergeCell ref="K25:N25"/>
    <mergeCell ref="C60:D60"/>
  </mergeCells>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Z100"/>
  <sheetViews>
    <sheetView tabSelected="1" topLeftCell="B17" workbookViewId="0">
      <selection activeCell="D29" sqref="D29"/>
    </sheetView>
  </sheetViews>
  <sheetFormatPr baseColWidth="10" defaultColWidth="11" defaultRowHeight="15" x14ac:dyDescent="0"/>
  <cols>
    <col min="1" max="1" width="4.6640625" style="35" customWidth="1"/>
    <col min="2" max="2" width="39" customWidth="1"/>
    <col min="3" max="7" width="16.83203125" style="4" customWidth="1"/>
    <col min="8" max="11" width="16.83203125" customWidth="1"/>
    <col min="12" max="12" width="16.83203125" style="35" customWidth="1"/>
    <col min="13" max="26" width="11" style="35"/>
  </cols>
  <sheetData>
    <row r="1" spans="2:11">
      <c r="B1" s="35"/>
      <c r="C1" s="56"/>
      <c r="D1" s="56"/>
      <c r="E1" s="56"/>
      <c r="F1" s="56"/>
      <c r="G1" s="56"/>
      <c r="H1" s="35"/>
      <c r="I1" s="35"/>
      <c r="J1" s="35"/>
      <c r="K1" s="35"/>
    </row>
    <row r="2" spans="2:11">
      <c r="B2" s="57" t="s">
        <v>395</v>
      </c>
      <c r="C2" s="58"/>
      <c r="D2" s="58"/>
      <c r="E2" s="58"/>
      <c r="F2" s="58"/>
      <c r="G2" s="58"/>
      <c r="H2" s="59"/>
      <c r="I2" s="59"/>
      <c r="J2" s="59"/>
      <c r="K2" s="59"/>
    </row>
    <row r="3" spans="2:11">
      <c r="B3" s="57" t="s">
        <v>396</v>
      </c>
      <c r="C3" s="58"/>
      <c r="D3" s="58"/>
      <c r="E3" s="58"/>
      <c r="F3" s="58"/>
      <c r="G3" s="58"/>
      <c r="H3" s="59"/>
      <c r="I3" s="59"/>
      <c r="J3" s="59"/>
      <c r="K3" s="59"/>
    </row>
    <row r="4" spans="2:11">
      <c r="B4" s="57" t="s">
        <v>399</v>
      </c>
      <c r="C4" s="58"/>
      <c r="D4" s="58"/>
      <c r="E4" s="58"/>
      <c r="F4" s="58"/>
      <c r="G4" s="58"/>
      <c r="H4" s="59"/>
      <c r="I4" s="59"/>
      <c r="J4" s="59"/>
      <c r="K4" s="59"/>
    </row>
    <row r="5" spans="2:11">
      <c r="B5" s="60"/>
      <c r="C5" s="58"/>
      <c r="D5" s="58"/>
      <c r="E5" s="58"/>
      <c r="F5" s="58"/>
      <c r="G5" s="58"/>
      <c r="H5" s="59"/>
      <c r="I5" s="59"/>
      <c r="J5" s="59"/>
      <c r="K5" s="59"/>
    </row>
    <row r="6" spans="2:11">
      <c r="B6" s="78"/>
      <c r="C6" s="79" t="s">
        <v>157</v>
      </c>
      <c r="D6" s="79" t="s">
        <v>156</v>
      </c>
      <c r="E6" s="79" t="s">
        <v>160</v>
      </c>
      <c r="F6" s="79" t="s">
        <v>57</v>
      </c>
      <c r="G6" s="79" t="s">
        <v>305</v>
      </c>
      <c r="H6" s="79" t="s">
        <v>158</v>
      </c>
      <c r="I6" s="79" t="s">
        <v>159</v>
      </c>
      <c r="J6" s="79" t="s">
        <v>161</v>
      </c>
      <c r="K6" s="79" t="s">
        <v>58</v>
      </c>
    </row>
    <row r="7" spans="2:11">
      <c r="B7" s="80" t="s">
        <v>171</v>
      </c>
      <c r="C7" s="81"/>
      <c r="D7" s="81"/>
      <c r="E7" s="81"/>
      <c r="F7" s="81"/>
      <c r="G7" s="81"/>
      <c r="H7" s="78"/>
      <c r="I7" s="78"/>
      <c r="J7" s="78"/>
      <c r="K7" s="78"/>
    </row>
    <row r="8" spans="2:11">
      <c r="B8" s="82" t="s">
        <v>215</v>
      </c>
      <c r="C8" s="83">
        <f>'M tr Scen 1 ante'!AH107</f>
        <v>255.4517390675615</v>
      </c>
      <c r="D8" s="83">
        <v>0</v>
      </c>
      <c r="E8" s="83">
        <f>SUM(C8:D8)</f>
        <v>255.4517390675615</v>
      </c>
      <c r="F8" s="84">
        <f>'M tr Scen 1 ante'!Z107</f>
        <v>28.479413326977902</v>
      </c>
      <c r="G8" s="84"/>
      <c r="H8" s="83">
        <f>'M tr Scen 1 ante'!AI107</f>
        <v>68.35761491341556</v>
      </c>
      <c r="I8" s="85">
        <v>0</v>
      </c>
      <c r="J8" s="83">
        <f>SUM(H8:I8)</f>
        <v>68.35761491341556</v>
      </c>
      <c r="K8" s="84">
        <f>'M tr Scen 1 ante'!AA107</f>
        <v>5.0615434879971675</v>
      </c>
    </row>
    <row r="9" spans="2:11">
      <c r="B9" s="82" t="s">
        <v>216</v>
      </c>
      <c r="C9" s="83">
        <f>'M tr Scen 1 post'!AH107</f>
        <v>143.81448733516203</v>
      </c>
      <c r="D9" s="83">
        <f>'Program costs'!G7</f>
        <v>5.4328613201038172</v>
      </c>
      <c r="E9" s="83">
        <f>SUM(C9:D9)</f>
        <v>149.24734865526585</v>
      </c>
      <c r="F9" s="84">
        <f>'M tr Scen 1 post'!Z107</f>
        <v>28.447254455527407</v>
      </c>
      <c r="G9" s="84"/>
      <c r="H9" s="83">
        <f>'M tr Scen 1 post'!AI107</f>
        <v>38.479640723127034</v>
      </c>
      <c r="I9" s="83">
        <f>'Program costs'!H7</f>
        <v>3.6560358018144288</v>
      </c>
      <c r="J9" s="83">
        <f>SUM(H9:I9)</f>
        <v>42.135676524941459</v>
      </c>
      <c r="K9" s="84">
        <f>'M tr Scen 1 post'!AA107</f>
        <v>5.0512158552797617</v>
      </c>
    </row>
    <row r="10" spans="2:11">
      <c r="B10" s="82" t="s">
        <v>226</v>
      </c>
      <c r="C10" s="83"/>
      <c r="D10" s="83"/>
      <c r="E10" s="86">
        <f>E9-E8</f>
        <v>-106.20439041229565</v>
      </c>
      <c r="F10" s="87">
        <f>-(F9-F8)</f>
        <v>3.2158871450494786E-2</v>
      </c>
      <c r="G10" s="88">
        <f>SUM('M tr Scen 1 post'!J5:J104)-SUM('M tr Scen 1 ante'!J5:J104)</f>
        <v>0.24893351497122751</v>
      </c>
      <c r="H10" s="83"/>
      <c r="I10" s="83"/>
      <c r="J10" s="89">
        <f>J9-J8</f>
        <v>-26.221938388474101</v>
      </c>
      <c r="K10" s="87">
        <f>-(K9-K8)</f>
        <v>1.0327632717405777E-2</v>
      </c>
    </row>
    <row r="11" spans="2:11">
      <c r="B11" s="80"/>
      <c r="C11" s="83"/>
      <c r="D11" s="83"/>
      <c r="E11" s="83"/>
      <c r="F11" s="84"/>
      <c r="G11" s="90"/>
      <c r="H11" s="83"/>
      <c r="I11" s="83"/>
      <c r="J11" s="83"/>
      <c r="K11" s="84"/>
    </row>
    <row r="12" spans="2:11">
      <c r="B12" s="80" t="s">
        <v>172</v>
      </c>
      <c r="C12" s="81"/>
      <c r="D12" s="91"/>
      <c r="E12" s="81"/>
      <c r="F12" s="81"/>
      <c r="G12" s="90"/>
      <c r="H12" s="78"/>
      <c r="I12" s="78"/>
      <c r="J12" s="78"/>
      <c r="K12" s="78"/>
    </row>
    <row r="13" spans="2:11">
      <c r="B13" s="82" t="s">
        <v>215</v>
      </c>
      <c r="C13" s="83">
        <f>'M tr Scen 2 ante'!AH107</f>
        <v>40360.935993121799</v>
      </c>
      <c r="D13" s="83">
        <v>0</v>
      </c>
      <c r="E13" s="83">
        <f>SUM(C13:D13)</f>
        <v>40360.935993121799</v>
      </c>
      <c r="F13" s="84">
        <f>'M tr Scen 2 ante'!Z107</f>
        <v>40.025894208469253</v>
      </c>
      <c r="G13" s="90"/>
      <c r="H13" s="83">
        <f>'M tr Scen 2 ante'!AI107</f>
        <v>11747.057775475327</v>
      </c>
      <c r="I13" s="85">
        <v>0</v>
      </c>
      <c r="J13" s="83">
        <f>SUM(H13:I13)</f>
        <v>11747.057775475327</v>
      </c>
      <c r="K13" s="84">
        <f>'M tr Scen 2 ante'!AA107</f>
        <v>8.7911352806070742</v>
      </c>
    </row>
    <row r="14" spans="2:11">
      <c r="B14" s="82" t="s">
        <v>216</v>
      </c>
      <c r="C14" s="83">
        <f>'M tr Scen 2 post'!AH107</f>
        <v>36607.309221113675</v>
      </c>
      <c r="D14" s="83">
        <f>'Program costs'!G8</f>
        <v>3308.7127659574476</v>
      </c>
      <c r="E14" s="83">
        <f>SUM(C14:D14)</f>
        <v>39916.021987071123</v>
      </c>
      <c r="F14" s="84">
        <f>'M tr Scen 2 post'!Z107</f>
        <v>36.482518587961273</v>
      </c>
      <c r="G14" s="90"/>
      <c r="H14" s="83">
        <f>'M tr Scen 2 post'!AI107</f>
        <v>10448.427931122578</v>
      </c>
      <c r="I14" s="83">
        <f>'Program costs'!H8</f>
        <v>2226.5932475577529</v>
      </c>
      <c r="J14" s="83">
        <f>SUM(H14:I14)</f>
        <v>12675.02117868033</v>
      </c>
      <c r="K14" s="84">
        <f>'M tr Scen 2 post'!AA107</f>
        <v>7.5576914492600746</v>
      </c>
    </row>
    <row r="15" spans="2:11">
      <c r="B15" s="82" t="s">
        <v>226</v>
      </c>
      <c r="C15" s="83"/>
      <c r="D15" s="83"/>
      <c r="E15" s="86">
        <f>E14-E13</f>
        <v>-444.91400605067611</v>
      </c>
      <c r="F15" s="87">
        <f>-(F14-F13)</f>
        <v>3.5433756205079803</v>
      </c>
      <c r="G15" s="88">
        <f>SUM('M tr Scen 2 post'!L5:L104)-SUM('M tr Scen 2 ante'!L5:L104)</f>
        <v>19.455272629748634</v>
      </c>
      <c r="H15" s="83"/>
      <c r="I15" s="83"/>
      <c r="J15" s="89">
        <f>J14-J13</f>
        <v>927.96340320500349</v>
      </c>
      <c r="K15" s="87">
        <f>-(K14-K13)</f>
        <v>1.2334438313469995</v>
      </c>
    </row>
    <row r="16" spans="2:11">
      <c r="B16" s="92"/>
      <c r="C16" s="83"/>
      <c r="D16" s="83"/>
      <c r="E16" s="83"/>
      <c r="F16" s="84"/>
      <c r="G16" s="90"/>
      <c r="H16" s="83"/>
      <c r="I16" s="83"/>
      <c r="J16" s="83"/>
      <c r="K16" s="84"/>
    </row>
    <row r="17" spans="2:12">
      <c r="B17" s="80" t="s">
        <v>202</v>
      </c>
      <c r="C17" s="81"/>
      <c r="D17" s="91"/>
      <c r="E17" s="81"/>
      <c r="F17" s="81"/>
      <c r="G17" s="90"/>
      <c r="H17" s="78"/>
      <c r="I17" s="78"/>
      <c r="J17" s="78"/>
      <c r="K17" s="78"/>
    </row>
    <row r="18" spans="2:12">
      <c r="B18" s="82" t="s">
        <v>215</v>
      </c>
      <c r="C18" s="83">
        <f>'M tr Scen 3 ante'!AH107</f>
        <v>47577.911126682971</v>
      </c>
      <c r="D18" s="83">
        <v>0</v>
      </c>
      <c r="E18" s="83">
        <f>SUM(C18:D18)</f>
        <v>47577.911126682971</v>
      </c>
      <c r="F18" s="84">
        <f>'M tr Scen 3 ante'!Z107</f>
        <v>41.091831215343355</v>
      </c>
      <c r="G18" s="90"/>
      <c r="H18" s="83">
        <f>'M tr Scen 3 ante'!AI107</f>
        <v>14915.169283067275</v>
      </c>
      <c r="I18" s="85">
        <v>0</v>
      </c>
      <c r="J18" s="83">
        <f>SUM(H18:I18)</f>
        <v>14915.169283067275</v>
      </c>
      <c r="K18" s="84">
        <f>'M tr Scen 3 ante'!AA107</f>
        <v>8.6530868395110154</v>
      </c>
    </row>
    <row r="19" spans="2:12">
      <c r="B19" s="82" t="s">
        <v>216</v>
      </c>
      <c r="C19" s="83">
        <f>'M tr Scen 3 post'!AH107</f>
        <v>51454.134667998944</v>
      </c>
      <c r="D19" s="83">
        <f>'Program costs'!G9</f>
        <v>38080.977812543999</v>
      </c>
      <c r="E19" s="83">
        <f>SUM(C19:D19)</f>
        <v>89535.112480542943</v>
      </c>
      <c r="F19" s="84">
        <f>'M tr Scen 3 post'!Z107</f>
        <v>37.274975771605305</v>
      </c>
      <c r="G19" s="90"/>
      <c r="H19" s="83">
        <f>'M tr Scen 3 post'!AI107</f>
        <v>15380.459999404387</v>
      </c>
      <c r="I19" s="83">
        <f>'Program costs'!H9</f>
        <v>25626.536376986169</v>
      </c>
      <c r="J19" s="83">
        <f>SUM(H19:I19)</f>
        <v>41006.996376390554</v>
      </c>
      <c r="K19" s="84">
        <f>'M tr Scen 3 post'!AA107</f>
        <v>7.5580356103573783</v>
      </c>
    </row>
    <row r="20" spans="2:12">
      <c r="B20" s="82" t="s">
        <v>226</v>
      </c>
      <c r="C20" s="81"/>
      <c r="D20" s="91"/>
      <c r="E20" s="89">
        <f>E19-E18</f>
        <v>41957.201353859971</v>
      </c>
      <c r="F20" s="87">
        <f>-(F19-F18)</f>
        <v>3.8168554437380493</v>
      </c>
      <c r="G20" s="88">
        <f>SUM('M tr Scen 3 post'!N5:N104)-SUM('M tr Scen 3 ante'!N5:N104)</f>
        <v>8.5672258501947596</v>
      </c>
      <c r="H20" s="78"/>
      <c r="I20" s="78"/>
      <c r="J20" s="89">
        <f>J19-J18</f>
        <v>26091.827093323278</v>
      </c>
      <c r="K20" s="87">
        <f>-(K19-K18)</f>
        <v>1.0950512291536372</v>
      </c>
    </row>
    <row r="21" spans="2:12">
      <c r="B21" s="64"/>
      <c r="C21" s="58"/>
      <c r="D21" s="58"/>
      <c r="E21" s="65"/>
      <c r="F21" s="61"/>
      <c r="G21" s="61"/>
      <c r="H21" s="59"/>
      <c r="I21" s="59"/>
      <c r="J21" s="65"/>
      <c r="K21" s="61"/>
    </row>
    <row r="22" spans="2:12">
      <c r="B22" s="64"/>
      <c r="C22" s="58"/>
      <c r="D22" s="58"/>
      <c r="E22" s="65"/>
      <c r="F22" s="61"/>
      <c r="G22" s="61"/>
      <c r="H22" s="59"/>
      <c r="I22" s="59"/>
      <c r="J22" s="65"/>
      <c r="K22" s="65"/>
      <c r="L22" s="61"/>
    </row>
    <row r="23" spans="2:12">
      <c r="B23" s="35"/>
      <c r="C23" s="56"/>
      <c r="D23" s="56"/>
      <c r="E23" s="56"/>
      <c r="F23" s="56"/>
      <c r="G23" s="56"/>
      <c r="H23" s="35"/>
      <c r="I23" s="35"/>
      <c r="J23" s="35"/>
      <c r="K23" s="35"/>
    </row>
    <row r="24" spans="2:12">
      <c r="B24" s="277" t="s">
        <v>397</v>
      </c>
      <c r="C24" s="31"/>
      <c r="D24" s="31"/>
      <c r="E24" s="31"/>
      <c r="F24" s="56"/>
      <c r="G24" s="56"/>
      <c r="H24" s="228"/>
      <c r="I24" s="35"/>
      <c r="J24" s="35"/>
      <c r="K24" s="35"/>
    </row>
    <row r="25" spans="2:12">
      <c r="B25" s="277"/>
      <c r="C25" s="31"/>
      <c r="D25" s="31"/>
      <c r="E25" s="31"/>
      <c r="F25" s="228"/>
      <c r="G25" s="228"/>
      <c r="H25" s="228"/>
      <c r="I25" s="35"/>
      <c r="J25" s="35"/>
      <c r="K25" s="35"/>
    </row>
    <row r="26" spans="2:12">
      <c r="B26" s="278" t="s">
        <v>164</v>
      </c>
      <c r="C26" s="274" t="s">
        <v>162</v>
      </c>
      <c r="D26" s="273" t="s">
        <v>163</v>
      </c>
      <c r="E26" s="273" t="s">
        <v>237</v>
      </c>
      <c r="F26" s="56"/>
      <c r="G26" s="62"/>
      <c r="H26" s="228"/>
      <c r="I26" s="35"/>
      <c r="J26" s="35"/>
      <c r="K26" s="35"/>
      <c r="L26" s="62"/>
    </row>
    <row r="27" spans="2:12">
      <c r="B27" s="278"/>
      <c r="C27" s="274"/>
      <c r="D27" s="273"/>
      <c r="E27" s="273"/>
      <c r="F27" s="228"/>
      <c r="G27" s="228"/>
      <c r="H27" s="228"/>
      <c r="I27" s="35"/>
      <c r="J27" s="35"/>
      <c r="K27" s="35"/>
    </row>
    <row r="28" spans="2:12">
      <c r="B28" s="30" t="str">
        <f>B7</f>
        <v>Scenario 1 (scale primary)</v>
      </c>
      <c r="C28" s="69">
        <f>F10</f>
        <v>3.2158871450494786E-2</v>
      </c>
      <c r="D28" s="289">
        <f>E10</f>
        <v>-106.20439041229565</v>
      </c>
      <c r="E28" s="290">
        <f>D28/C28</f>
        <v>-3302.4912138408272</v>
      </c>
      <c r="F28" s="261"/>
      <c r="G28" s="68"/>
      <c r="H28" s="228"/>
      <c r="I28" s="35"/>
      <c r="J28" s="35"/>
      <c r="K28" s="35"/>
      <c r="L28" s="63"/>
    </row>
    <row r="29" spans="2:12">
      <c r="B29" s="30" t="str">
        <f>B12</f>
        <v>Scenario 2 (scale secondary)</v>
      </c>
      <c r="C29" s="70">
        <f>F15</f>
        <v>3.5433756205079803</v>
      </c>
      <c r="D29" s="290">
        <f>E15</f>
        <v>-444.91400605067611</v>
      </c>
      <c r="E29" s="290">
        <f>D29/C29</f>
        <v>-125.5621908881602</v>
      </c>
      <c r="F29" s="261"/>
      <c r="G29" s="67"/>
      <c r="H29" s="228"/>
      <c r="I29" s="35"/>
      <c r="J29" s="35"/>
      <c r="K29" s="35"/>
      <c r="L29" s="63"/>
    </row>
    <row r="30" spans="2:12">
      <c r="B30" s="30" t="str">
        <f>B17</f>
        <v>Scenario 3 (scale valve surgery)</v>
      </c>
      <c r="C30" s="70">
        <f>F20</f>
        <v>3.8168554437380493</v>
      </c>
      <c r="D30" s="290">
        <f>E20</f>
        <v>41957.201353859971</v>
      </c>
      <c r="E30" s="290">
        <f>D30/C30</f>
        <v>10992.609485039615</v>
      </c>
      <c r="F30" s="261"/>
      <c r="G30" s="262"/>
      <c r="H30" s="228"/>
      <c r="I30" s="35"/>
      <c r="J30" s="35"/>
      <c r="K30" s="35"/>
      <c r="L30" s="63"/>
    </row>
    <row r="31" spans="2:12">
      <c r="B31" s="30"/>
      <c r="C31" s="31"/>
      <c r="D31" s="264"/>
      <c r="E31" s="264"/>
      <c r="F31" s="263"/>
      <c r="G31" s="263"/>
      <c r="H31" s="228"/>
      <c r="I31" s="35"/>
      <c r="J31" s="35"/>
      <c r="K31" s="35"/>
    </row>
    <row r="32" spans="2:12">
      <c r="B32" s="278" t="s">
        <v>54</v>
      </c>
      <c r="C32" s="279" t="s">
        <v>162</v>
      </c>
      <c r="D32" s="280" t="s">
        <v>163</v>
      </c>
      <c r="E32" s="273" t="s">
        <v>237</v>
      </c>
      <c r="F32" s="273" t="s">
        <v>420</v>
      </c>
      <c r="G32" s="273" t="s">
        <v>421</v>
      </c>
      <c r="H32" s="274" t="s">
        <v>416</v>
      </c>
      <c r="I32" s="228"/>
      <c r="J32" s="35"/>
      <c r="K32" s="35"/>
      <c r="L32" s="62"/>
    </row>
    <row r="33" spans="2:12">
      <c r="B33" s="278"/>
      <c r="C33" s="279"/>
      <c r="D33" s="280"/>
      <c r="E33" s="273"/>
      <c r="F33" s="273"/>
      <c r="G33" s="273"/>
      <c r="H33" s="274"/>
      <c r="I33" s="228"/>
      <c r="J33" s="35"/>
      <c r="K33" s="35"/>
    </row>
    <row r="34" spans="2:12">
      <c r="B34" s="30" t="s">
        <v>205</v>
      </c>
      <c r="C34" s="69">
        <f>K10</f>
        <v>1.0327632717405777E-2</v>
      </c>
      <c r="D34" s="289">
        <f>J10</f>
        <v>-26.221938388474101</v>
      </c>
      <c r="E34" s="290">
        <f>D34/C34</f>
        <v>-2539.0076415363515</v>
      </c>
      <c r="F34" s="289">
        <f>MIN(PSA!P9:P10)/MAX(PSA!Q9:Q10)</f>
        <v>-2878.8084900138656</v>
      </c>
      <c r="G34" s="289">
        <f>MAX(PSA!P9:P10)/MIN(PSA!Q9:Q10)</f>
        <v>-2080.975656470674</v>
      </c>
      <c r="H34" s="77" t="str">
        <f>IF(E34/gdppc&lt;0,"n/a",E34/gdppc)</f>
        <v>n/a</v>
      </c>
      <c r="I34" s="228"/>
      <c r="J34" s="35"/>
      <c r="K34" s="35"/>
      <c r="L34" s="63"/>
    </row>
    <row r="35" spans="2:12">
      <c r="B35" s="30" t="s">
        <v>204</v>
      </c>
      <c r="C35" s="70">
        <f>K15</f>
        <v>1.2334438313469995</v>
      </c>
      <c r="D35" s="290">
        <f>J15</f>
        <v>927.96340320500349</v>
      </c>
      <c r="E35" s="290">
        <f>D35/C35</f>
        <v>752.33535538591013</v>
      </c>
      <c r="F35" s="289">
        <f>MIN(PSA!R9:R10)/MAX(PSA!S9:S10)</f>
        <v>-573.34658374834521</v>
      </c>
      <c r="G35" s="289">
        <f>MAX(PSA!R9:R10)/MIN(PSA!S9:S10)</f>
        <v>15987.493618296101</v>
      </c>
      <c r="H35" s="77">
        <f>IF(E35/gdppc&lt;0,"n/a",E35/gdppc)</f>
        <v>0.57871950414300777</v>
      </c>
      <c r="I35" s="228"/>
      <c r="J35" s="35"/>
      <c r="K35" s="35"/>
      <c r="L35" s="63"/>
    </row>
    <row r="36" spans="2:12">
      <c r="B36" s="30" t="s">
        <v>203</v>
      </c>
      <c r="C36" s="70">
        <f>K20</f>
        <v>1.0950512291536372</v>
      </c>
      <c r="D36" s="290">
        <f>J20</f>
        <v>26091.827093323278</v>
      </c>
      <c r="E36" s="290">
        <f>D36/C36</f>
        <v>23827.037857844876</v>
      </c>
      <c r="F36" s="289">
        <f>MIN(PSA!T9:T10)/MAX(PSA!U9:U10)</f>
        <v>21491.16380914515</v>
      </c>
      <c r="G36" s="289">
        <f>MAX(PSA!T9:T10)/MIN(PSA!U9:U10)</f>
        <v>26724.483618176724</v>
      </c>
      <c r="H36" s="77">
        <f>IF(E36/gdppc&lt;0,"n/a",E36/gdppc)</f>
        <v>18.328490659880675</v>
      </c>
      <c r="I36" s="228"/>
      <c r="J36" s="35"/>
      <c r="K36" s="35"/>
      <c r="L36" s="63"/>
    </row>
    <row r="37" spans="2:12">
      <c r="B37" s="35"/>
      <c r="C37" s="56"/>
      <c r="D37" s="56"/>
      <c r="E37" s="66"/>
      <c r="F37" s="67"/>
      <c r="G37" s="56"/>
      <c r="H37" s="56"/>
      <c r="I37" s="35"/>
      <c r="J37" s="35"/>
      <c r="K37" s="35"/>
    </row>
    <row r="38" spans="2:12">
      <c r="B38" s="35"/>
      <c r="C38" s="56"/>
      <c r="D38" s="56"/>
      <c r="E38" s="66"/>
      <c r="F38" s="67"/>
      <c r="G38" s="56"/>
      <c r="H38" s="56"/>
      <c r="I38" s="35"/>
      <c r="J38" s="35"/>
      <c r="K38" s="35"/>
    </row>
    <row r="39" spans="2:12">
      <c r="B39" s="35"/>
      <c r="C39" s="66"/>
      <c r="D39" s="67"/>
      <c r="E39" s="66"/>
      <c r="F39" s="67"/>
      <c r="G39" s="67"/>
      <c r="H39" s="68"/>
      <c r="I39" s="35"/>
      <c r="J39" s="35"/>
      <c r="K39" s="35"/>
    </row>
    <row r="40" spans="2:12">
      <c r="B40" s="276" t="s">
        <v>398</v>
      </c>
      <c r="C40" s="33" t="s">
        <v>412</v>
      </c>
      <c r="D40" s="33" t="s">
        <v>414</v>
      </c>
      <c r="E40" s="33" t="s">
        <v>417</v>
      </c>
      <c r="F40" s="33" t="s">
        <v>417</v>
      </c>
      <c r="G40" s="275" t="s">
        <v>415</v>
      </c>
      <c r="H40" s="228"/>
      <c r="I40" s="73"/>
      <c r="J40" s="73"/>
      <c r="K40" s="73"/>
    </row>
    <row r="41" spans="2:12">
      <c r="B41" s="276"/>
      <c r="C41" s="33" t="s">
        <v>413</v>
      </c>
      <c r="D41" s="33" t="s">
        <v>413</v>
      </c>
      <c r="E41" s="33" t="s">
        <v>418</v>
      </c>
      <c r="F41" s="33" t="s">
        <v>419</v>
      </c>
      <c r="G41" s="275"/>
      <c r="H41" s="104"/>
      <c r="I41" s="35"/>
      <c r="J41" s="35"/>
      <c r="K41" s="35"/>
    </row>
    <row r="42" spans="2:12">
      <c r="B42" s="28"/>
      <c r="C42" s="29"/>
      <c r="D42" s="29"/>
      <c r="E42" s="29"/>
      <c r="F42" s="29"/>
      <c r="G42" s="29"/>
      <c r="H42" s="228"/>
      <c r="I42" s="35"/>
      <c r="J42" s="35"/>
      <c r="K42" s="35"/>
    </row>
    <row r="43" spans="2:12">
      <c r="B43" s="28" t="s">
        <v>205</v>
      </c>
      <c r="C43" s="74">
        <f>C34*popsize</f>
        <v>50135.927366340067</v>
      </c>
      <c r="D43" s="74">
        <f>C43/100</f>
        <v>501.3592736634007</v>
      </c>
      <c r="E43" s="288">
        <f>D34*popsize</f>
        <v>-127295502.69864891</v>
      </c>
      <c r="F43" s="288">
        <f>(E43/popsize)/100</f>
        <v>-0.26221938388474103</v>
      </c>
      <c r="G43" s="75" t="str">
        <f>IF(F43/hexp&lt;0,"n/a",F43/hexp)</f>
        <v>n/a</v>
      </c>
      <c r="H43" s="260"/>
      <c r="I43" s="35"/>
      <c r="J43" s="35"/>
      <c r="K43" s="35"/>
    </row>
    <row r="44" spans="2:12">
      <c r="B44" s="28" t="s">
        <v>204</v>
      </c>
      <c r="C44" s="74">
        <f>C35*popsize*rfprv</f>
        <v>102471.36514539685</v>
      </c>
      <c r="D44" s="74">
        <f t="shared" ref="D44:D45" si="0">C44/100</f>
        <v>1024.7136514539684</v>
      </c>
      <c r="E44" s="288">
        <f>D35*popsize*rfprv</f>
        <v>77092830.913541511</v>
      </c>
      <c r="F44" s="288">
        <f>(E44/popsize)/100</f>
        <v>0.15880556811135427</v>
      </c>
      <c r="G44" s="75">
        <f>IF(F44/hexp&lt;0,"n/a",F44/hexp)</f>
        <v>1.9850696013919283E-3</v>
      </c>
      <c r="H44" s="260"/>
      <c r="I44" s="35"/>
      <c r="J44" s="35"/>
      <c r="K44" s="35"/>
    </row>
    <row r="45" spans="2:12">
      <c r="B45" s="28" t="s">
        <v>203</v>
      </c>
      <c r="C45" s="74">
        <f>C36*popsize*rhdprv</f>
        <v>53159.722454826981</v>
      </c>
      <c r="D45" s="74">
        <f t="shared" si="0"/>
        <v>531.59722454826976</v>
      </c>
      <c r="E45" s="288">
        <f>D36*popsize*rhdprv*rhdsrg</f>
        <v>519321874.97191238</v>
      </c>
      <c r="F45" s="288">
        <f>(E45/popsize)/100</f>
        <v>1.0697649108262544</v>
      </c>
      <c r="G45" s="75">
        <f>IF(F45/hexp&lt;0,"n/a",F45/hexp)</f>
        <v>1.337206138532818E-2</v>
      </c>
      <c r="H45" s="260"/>
      <c r="I45" s="35"/>
      <c r="J45" s="35"/>
      <c r="K45" s="35"/>
    </row>
    <row r="46" spans="2:12">
      <c r="B46" s="35"/>
      <c r="C46" s="56"/>
      <c r="D46" s="56"/>
      <c r="E46" s="71"/>
      <c r="F46" s="71"/>
      <c r="G46" s="56"/>
      <c r="H46" s="56"/>
      <c r="I46" s="35"/>
      <c r="J46" s="35"/>
      <c r="K46" s="35"/>
    </row>
    <row r="47" spans="2:12">
      <c r="B47" s="56"/>
      <c r="C47" s="72"/>
      <c r="D47" s="71"/>
      <c r="E47" s="71"/>
      <c r="F47" s="56"/>
      <c r="G47" s="56"/>
      <c r="H47" s="35"/>
      <c r="I47" s="35"/>
      <c r="J47" s="35"/>
      <c r="K47" s="35"/>
    </row>
    <row r="48" spans="2:12">
      <c r="B48" s="35"/>
      <c r="C48" s="56"/>
      <c r="D48" s="62"/>
      <c r="E48" s="62"/>
      <c r="F48" s="56"/>
      <c r="G48" s="56"/>
      <c r="H48" s="35"/>
      <c r="I48" s="35"/>
      <c r="J48" s="35"/>
      <c r="K48" s="35"/>
    </row>
    <row r="49" spans="2:11">
      <c r="B49" s="35"/>
      <c r="C49" s="56"/>
      <c r="D49" s="35"/>
      <c r="E49" s="71"/>
      <c r="F49" s="56"/>
      <c r="G49" s="56"/>
      <c r="H49" s="35"/>
      <c r="I49" s="35"/>
      <c r="J49" s="35"/>
      <c r="K49" s="35"/>
    </row>
    <row r="50" spans="2:11">
      <c r="B50" s="35"/>
      <c r="C50" s="56"/>
      <c r="D50" s="71"/>
      <c r="E50" s="71"/>
      <c r="F50" s="56"/>
      <c r="G50" s="56"/>
      <c r="H50" s="35"/>
      <c r="I50" s="35"/>
      <c r="J50" s="35"/>
      <c r="K50" s="35"/>
    </row>
    <row r="51" spans="2:11">
      <c r="B51" s="35"/>
      <c r="C51" s="56"/>
      <c r="D51" s="71"/>
      <c r="E51" s="71"/>
      <c r="F51" s="56"/>
      <c r="G51" s="56"/>
      <c r="H51" s="35"/>
      <c r="I51" s="35"/>
      <c r="J51" s="35"/>
      <c r="K51" s="35"/>
    </row>
    <row r="52" spans="2:11">
      <c r="B52" s="35"/>
      <c r="C52" s="56"/>
      <c r="D52" s="71"/>
      <c r="E52" s="71"/>
      <c r="F52" s="56"/>
      <c r="G52" s="56"/>
      <c r="H52" s="35"/>
      <c r="I52" s="35"/>
      <c r="J52" s="35"/>
      <c r="K52" s="35"/>
    </row>
    <row r="53" spans="2:11">
      <c r="B53" s="35"/>
      <c r="C53" s="56"/>
      <c r="D53" s="56"/>
      <c r="E53" s="56"/>
      <c r="F53" s="56"/>
      <c r="G53" s="56"/>
      <c r="H53" s="35"/>
      <c r="I53" s="35"/>
      <c r="J53" s="35"/>
      <c r="K53" s="35"/>
    </row>
    <row r="54" spans="2:11">
      <c r="B54" s="35"/>
      <c r="C54" s="56"/>
      <c r="D54" s="56"/>
      <c r="E54" s="56"/>
      <c r="F54" s="56"/>
      <c r="G54" s="56"/>
      <c r="H54" s="35"/>
      <c r="I54" s="35"/>
      <c r="J54" s="35"/>
      <c r="K54" s="35"/>
    </row>
    <row r="55" spans="2:11">
      <c r="B55" s="35"/>
      <c r="C55" s="56"/>
      <c r="D55" s="56"/>
      <c r="E55" s="56"/>
      <c r="F55" s="56"/>
      <c r="G55" s="56"/>
      <c r="H55" s="35"/>
      <c r="I55" s="35"/>
      <c r="J55" s="35"/>
      <c r="K55" s="35"/>
    </row>
    <row r="56" spans="2:11">
      <c r="B56" s="35"/>
      <c r="C56" s="56"/>
      <c r="D56" s="56"/>
      <c r="E56" s="56"/>
      <c r="F56" s="56"/>
      <c r="G56" s="56"/>
      <c r="H56" s="35"/>
      <c r="I56" s="35"/>
      <c r="J56" s="35"/>
      <c r="K56" s="35"/>
    </row>
    <row r="57" spans="2:11">
      <c r="B57" s="35"/>
      <c r="C57" s="56"/>
      <c r="D57" s="56"/>
      <c r="E57" s="56"/>
      <c r="F57" s="56"/>
      <c r="G57" s="56"/>
      <c r="H57" s="35"/>
      <c r="I57" s="35"/>
      <c r="J57" s="35"/>
      <c r="K57" s="35"/>
    </row>
    <row r="58" spans="2:11">
      <c r="B58" s="35"/>
      <c r="C58" s="56"/>
      <c r="D58" s="56"/>
      <c r="E58" s="56"/>
      <c r="F58" s="56"/>
      <c r="G58" s="56"/>
      <c r="H58" s="35"/>
      <c r="I58" s="35"/>
      <c r="J58" s="35"/>
      <c r="K58" s="35"/>
    </row>
    <row r="59" spans="2:11">
      <c r="B59" s="35"/>
      <c r="C59" s="56"/>
      <c r="D59" s="56"/>
      <c r="E59" s="56"/>
      <c r="F59" s="56"/>
      <c r="G59" s="56"/>
      <c r="H59" s="35"/>
      <c r="I59" s="35"/>
      <c r="J59" s="35"/>
      <c r="K59" s="35"/>
    </row>
    <row r="60" spans="2:11">
      <c r="B60" s="35"/>
      <c r="C60" s="56"/>
      <c r="D60" s="56"/>
      <c r="E60" s="56"/>
      <c r="F60" s="56"/>
      <c r="G60" s="56"/>
      <c r="H60" s="35"/>
      <c r="I60" s="35"/>
      <c r="J60" s="35"/>
      <c r="K60" s="35"/>
    </row>
    <row r="61" spans="2:11">
      <c r="B61" s="35"/>
      <c r="C61" s="56"/>
      <c r="D61" s="56"/>
      <c r="E61" s="56"/>
      <c r="F61" s="56"/>
      <c r="G61" s="56"/>
      <c r="H61" s="35"/>
      <c r="I61" s="35"/>
      <c r="J61" s="35"/>
      <c r="K61" s="35"/>
    </row>
    <row r="62" spans="2:11">
      <c r="B62" s="35"/>
      <c r="C62" s="56"/>
      <c r="D62" s="56"/>
      <c r="E62" s="56"/>
      <c r="F62" s="56"/>
      <c r="G62" s="56"/>
      <c r="H62" s="35"/>
      <c r="I62" s="35"/>
      <c r="J62" s="35"/>
      <c r="K62" s="35"/>
    </row>
    <row r="63" spans="2:11">
      <c r="B63" s="35"/>
      <c r="C63" s="56"/>
      <c r="D63" s="56"/>
      <c r="E63" s="56"/>
      <c r="F63" s="56"/>
      <c r="G63" s="56"/>
      <c r="H63" s="35"/>
      <c r="I63" s="35"/>
      <c r="J63" s="35"/>
      <c r="K63" s="35"/>
    </row>
    <row r="64" spans="2:11">
      <c r="B64" s="35"/>
      <c r="C64" s="56"/>
      <c r="D64" s="56"/>
      <c r="E64" s="56"/>
      <c r="F64" s="56"/>
      <c r="G64" s="56"/>
      <c r="H64" s="35"/>
      <c r="I64" s="35"/>
      <c r="J64" s="35"/>
      <c r="K64" s="35"/>
    </row>
    <row r="65" spans="2:11">
      <c r="B65" s="35"/>
      <c r="C65" s="56"/>
      <c r="D65" s="56"/>
      <c r="E65" s="56"/>
      <c r="F65" s="56"/>
      <c r="G65" s="56"/>
      <c r="H65" s="35"/>
      <c r="I65" s="35"/>
      <c r="J65" s="35"/>
      <c r="K65" s="35"/>
    </row>
    <row r="66" spans="2:11">
      <c r="B66" s="35"/>
      <c r="C66" s="56"/>
      <c r="D66" s="56"/>
      <c r="E66" s="56"/>
      <c r="F66" s="56"/>
      <c r="G66" s="56"/>
      <c r="H66" s="35"/>
      <c r="I66" s="35"/>
      <c r="J66" s="35"/>
      <c r="K66" s="35"/>
    </row>
    <row r="67" spans="2:11">
      <c r="B67" s="35"/>
      <c r="C67" s="56"/>
      <c r="D67" s="56"/>
      <c r="E67" s="56"/>
      <c r="F67" s="56"/>
      <c r="G67" s="56"/>
      <c r="H67" s="35"/>
      <c r="I67" s="35"/>
      <c r="J67" s="35"/>
      <c r="K67" s="35"/>
    </row>
    <row r="68" spans="2:11">
      <c r="B68" s="35"/>
      <c r="C68" s="56"/>
      <c r="D68" s="56"/>
      <c r="E68" s="56"/>
      <c r="F68" s="56"/>
      <c r="G68" s="56"/>
      <c r="H68" s="35"/>
      <c r="I68" s="35"/>
      <c r="J68" s="35"/>
      <c r="K68" s="35"/>
    </row>
    <row r="69" spans="2:11">
      <c r="B69" s="35"/>
      <c r="C69" s="56"/>
      <c r="D69" s="56"/>
      <c r="E69" s="56"/>
      <c r="F69" s="56"/>
      <c r="G69" s="56"/>
      <c r="H69" s="35"/>
      <c r="I69" s="35"/>
      <c r="J69" s="35"/>
      <c r="K69" s="35"/>
    </row>
    <row r="70" spans="2:11">
      <c r="B70" s="35"/>
      <c r="C70" s="56"/>
      <c r="D70" s="56"/>
      <c r="E70" s="56"/>
      <c r="F70" s="56"/>
      <c r="G70" s="56"/>
      <c r="H70" s="35"/>
      <c r="I70" s="35"/>
      <c r="J70" s="35"/>
      <c r="K70" s="35"/>
    </row>
    <row r="71" spans="2:11">
      <c r="B71" s="35"/>
      <c r="C71" s="56"/>
      <c r="D71" s="56"/>
      <c r="E71" s="56"/>
      <c r="F71" s="56"/>
      <c r="G71" s="56"/>
      <c r="H71" s="35"/>
      <c r="I71" s="35"/>
      <c r="J71" s="35"/>
      <c r="K71" s="35"/>
    </row>
    <row r="72" spans="2:11">
      <c r="B72" s="35"/>
      <c r="C72" s="56"/>
      <c r="D72" s="56"/>
      <c r="E72" s="56"/>
      <c r="F72" s="56"/>
      <c r="G72" s="56"/>
      <c r="H72" s="35"/>
      <c r="I72" s="35"/>
      <c r="J72" s="35"/>
      <c r="K72" s="35"/>
    </row>
    <row r="73" spans="2:11">
      <c r="B73" s="35"/>
      <c r="C73" s="56"/>
      <c r="D73" s="56"/>
      <c r="E73" s="56"/>
      <c r="F73" s="56"/>
      <c r="G73" s="56"/>
      <c r="H73" s="35"/>
      <c r="I73" s="35"/>
      <c r="J73" s="35"/>
      <c r="K73" s="35"/>
    </row>
    <row r="74" spans="2:11">
      <c r="B74" s="35"/>
      <c r="C74" s="56"/>
      <c r="D74" s="56"/>
      <c r="E74" s="56"/>
      <c r="F74" s="56"/>
      <c r="G74" s="56"/>
      <c r="H74" s="35"/>
      <c r="I74" s="35"/>
      <c r="J74" s="35"/>
      <c r="K74" s="35"/>
    </row>
    <row r="75" spans="2:11">
      <c r="B75" s="35"/>
      <c r="C75" s="56"/>
      <c r="D75" s="56"/>
      <c r="E75" s="56"/>
      <c r="F75" s="56"/>
      <c r="G75" s="56"/>
      <c r="H75" s="35"/>
      <c r="I75" s="35"/>
      <c r="J75" s="35"/>
      <c r="K75" s="35"/>
    </row>
    <row r="76" spans="2:11">
      <c r="B76" s="35"/>
      <c r="C76" s="56"/>
      <c r="D76" s="56"/>
      <c r="E76" s="56"/>
      <c r="F76" s="56"/>
      <c r="G76" s="56"/>
      <c r="H76" s="35"/>
      <c r="I76" s="35"/>
      <c r="J76" s="35"/>
      <c r="K76" s="35"/>
    </row>
    <row r="77" spans="2:11">
      <c r="B77" s="35"/>
      <c r="C77" s="56"/>
      <c r="D77" s="56"/>
      <c r="E77" s="56"/>
      <c r="F77" s="56"/>
      <c r="G77" s="56"/>
      <c r="H77" s="35"/>
      <c r="I77" s="35"/>
      <c r="J77" s="35"/>
      <c r="K77" s="35"/>
    </row>
    <row r="78" spans="2:11">
      <c r="B78" s="35"/>
      <c r="C78" s="56"/>
      <c r="D78" s="56"/>
      <c r="E78" s="56"/>
      <c r="F78" s="56"/>
      <c r="G78" s="56"/>
      <c r="H78" s="35"/>
      <c r="I78" s="35"/>
      <c r="J78" s="35"/>
      <c r="K78" s="35"/>
    </row>
    <row r="79" spans="2:11">
      <c r="B79" s="35"/>
      <c r="C79" s="56"/>
      <c r="D79" s="56"/>
      <c r="E79" s="56"/>
      <c r="F79" s="56"/>
      <c r="G79" s="56"/>
      <c r="H79" s="35"/>
      <c r="I79" s="35"/>
      <c r="J79" s="35"/>
      <c r="K79" s="35"/>
    </row>
    <row r="80" spans="2:11">
      <c r="B80" s="35"/>
      <c r="C80" s="56"/>
      <c r="D80" s="56"/>
      <c r="E80" s="56"/>
      <c r="F80" s="56"/>
      <c r="G80" s="56"/>
      <c r="H80" s="35"/>
      <c r="I80" s="35"/>
      <c r="J80" s="35"/>
      <c r="K80" s="35"/>
    </row>
    <row r="81" spans="2:11">
      <c r="B81" s="35"/>
      <c r="C81" s="56"/>
      <c r="D81" s="56"/>
      <c r="E81" s="56"/>
      <c r="F81" s="56"/>
      <c r="G81" s="56"/>
      <c r="H81" s="35"/>
      <c r="I81" s="35"/>
      <c r="J81" s="35"/>
      <c r="K81" s="35"/>
    </row>
    <row r="82" spans="2:11">
      <c r="B82" s="35"/>
      <c r="C82" s="56"/>
      <c r="D82" s="56"/>
      <c r="E82" s="56"/>
      <c r="F82" s="56"/>
      <c r="G82" s="56"/>
      <c r="H82" s="35"/>
      <c r="I82" s="35"/>
      <c r="J82" s="35"/>
      <c r="K82" s="35"/>
    </row>
    <row r="83" spans="2:11">
      <c r="B83" s="35"/>
      <c r="C83" s="56"/>
      <c r="D83" s="56"/>
      <c r="E83" s="56"/>
      <c r="F83" s="56"/>
      <c r="G83" s="56"/>
      <c r="H83" s="35"/>
      <c r="I83" s="35"/>
      <c r="J83" s="35"/>
      <c r="K83" s="35"/>
    </row>
    <row r="84" spans="2:11">
      <c r="B84" s="35"/>
      <c r="C84" s="56"/>
      <c r="D84" s="56"/>
      <c r="E84" s="56"/>
      <c r="F84" s="56"/>
      <c r="G84" s="56"/>
      <c r="H84" s="35"/>
      <c r="I84" s="35"/>
      <c r="J84" s="35"/>
      <c r="K84" s="35"/>
    </row>
    <row r="85" spans="2:11">
      <c r="B85" s="35"/>
      <c r="C85" s="56"/>
      <c r="D85" s="56"/>
      <c r="E85" s="56"/>
      <c r="F85" s="56"/>
      <c r="G85" s="56"/>
      <c r="H85" s="35"/>
      <c r="I85" s="35"/>
      <c r="J85" s="35"/>
      <c r="K85" s="35"/>
    </row>
    <row r="86" spans="2:11">
      <c r="B86" s="35"/>
      <c r="C86" s="56"/>
      <c r="D86" s="56"/>
      <c r="E86" s="56"/>
      <c r="F86" s="56"/>
      <c r="G86" s="56"/>
      <c r="H86" s="35"/>
      <c r="I86" s="35"/>
      <c r="J86" s="35"/>
      <c r="K86" s="35"/>
    </row>
    <row r="87" spans="2:11">
      <c r="B87" s="35"/>
      <c r="C87" s="56"/>
      <c r="D87" s="56"/>
      <c r="E87" s="56"/>
      <c r="F87" s="56"/>
      <c r="G87" s="56"/>
      <c r="H87" s="35"/>
      <c r="I87" s="35"/>
      <c r="J87" s="35"/>
      <c r="K87" s="35"/>
    </row>
    <row r="88" spans="2:11">
      <c r="B88" s="35"/>
      <c r="C88" s="56"/>
      <c r="D88" s="56"/>
      <c r="E88" s="56"/>
      <c r="F88" s="56"/>
      <c r="G88" s="56"/>
      <c r="H88" s="35"/>
      <c r="I88" s="35"/>
      <c r="J88" s="35"/>
      <c r="K88" s="35"/>
    </row>
    <row r="89" spans="2:11">
      <c r="B89" s="35"/>
      <c r="C89" s="56"/>
      <c r="D89" s="56"/>
      <c r="E89" s="56"/>
      <c r="F89" s="56"/>
      <c r="G89" s="56"/>
      <c r="H89" s="35"/>
      <c r="I89" s="35"/>
      <c r="J89" s="35"/>
      <c r="K89" s="35"/>
    </row>
    <row r="90" spans="2:11">
      <c r="B90" s="35"/>
      <c r="C90" s="56"/>
      <c r="D90" s="56"/>
      <c r="E90" s="56"/>
      <c r="F90" s="56"/>
      <c r="G90" s="56"/>
      <c r="H90" s="35"/>
      <c r="I90" s="35"/>
      <c r="J90" s="35"/>
      <c r="K90" s="35"/>
    </row>
    <row r="91" spans="2:11">
      <c r="B91" s="35"/>
      <c r="C91" s="56"/>
      <c r="D91" s="56"/>
      <c r="E91" s="56"/>
      <c r="F91" s="56"/>
      <c r="G91" s="56"/>
      <c r="H91" s="35"/>
      <c r="I91" s="35"/>
      <c r="J91" s="35"/>
      <c r="K91" s="35"/>
    </row>
    <row r="92" spans="2:11">
      <c r="B92" s="35"/>
      <c r="C92" s="56"/>
      <c r="D92" s="56"/>
      <c r="E92" s="56"/>
      <c r="F92" s="56"/>
      <c r="G92" s="56"/>
      <c r="H92" s="35"/>
      <c r="I92" s="35"/>
      <c r="J92" s="35"/>
      <c r="K92" s="35"/>
    </row>
    <row r="93" spans="2:11">
      <c r="B93" s="35"/>
      <c r="C93" s="56"/>
      <c r="D93" s="56"/>
      <c r="E93" s="56"/>
      <c r="F93" s="56"/>
      <c r="G93" s="56"/>
      <c r="H93" s="35"/>
      <c r="I93" s="35"/>
      <c r="J93" s="35"/>
      <c r="K93" s="35"/>
    </row>
    <row r="94" spans="2:11">
      <c r="B94" s="35"/>
      <c r="C94" s="56"/>
      <c r="D94" s="56"/>
      <c r="E94" s="56"/>
      <c r="F94" s="56"/>
      <c r="G94" s="56"/>
      <c r="H94" s="35"/>
      <c r="I94" s="35"/>
      <c r="J94" s="35"/>
      <c r="K94" s="35"/>
    </row>
    <row r="95" spans="2:11">
      <c r="B95" s="35"/>
      <c r="C95" s="56"/>
      <c r="D95" s="56"/>
      <c r="E95" s="56"/>
      <c r="F95" s="56"/>
      <c r="G95" s="56"/>
      <c r="H95" s="35"/>
      <c r="I95" s="35"/>
      <c r="J95" s="35"/>
      <c r="K95" s="35"/>
    </row>
    <row r="96" spans="2:11">
      <c r="B96" s="35"/>
      <c r="C96" s="56"/>
      <c r="D96" s="56"/>
      <c r="E96" s="56"/>
      <c r="F96" s="56"/>
      <c r="G96" s="56"/>
      <c r="H96" s="35"/>
      <c r="I96" s="35"/>
      <c r="J96" s="35"/>
      <c r="K96" s="35"/>
    </row>
    <row r="97" spans="2:11">
      <c r="B97" s="35"/>
      <c r="C97" s="56"/>
      <c r="D97" s="56"/>
      <c r="E97" s="56"/>
      <c r="F97" s="56"/>
      <c r="G97" s="56"/>
      <c r="H97" s="35"/>
      <c r="I97" s="35"/>
      <c r="J97" s="35"/>
      <c r="K97" s="35"/>
    </row>
    <row r="98" spans="2:11">
      <c r="B98" s="35"/>
      <c r="C98" s="56"/>
      <c r="D98" s="56"/>
      <c r="E98" s="56"/>
      <c r="F98" s="56"/>
      <c r="G98" s="56"/>
      <c r="H98" s="35"/>
      <c r="I98" s="35"/>
      <c r="J98" s="35"/>
      <c r="K98" s="35"/>
    </row>
    <row r="99" spans="2:11">
      <c r="B99" s="35"/>
      <c r="C99" s="56"/>
      <c r="D99" s="56"/>
      <c r="E99" s="56"/>
      <c r="F99" s="56"/>
      <c r="G99" s="56"/>
      <c r="H99" s="35"/>
      <c r="I99" s="35"/>
      <c r="J99" s="35"/>
      <c r="K99" s="35"/>
    </row>
    <row r="100" spans="2:11">
      <c r="B100" s="35"/>
      <c r="C100" s="56"/>
      <c r="D100" s="56"/>
      <c r="E100" s="56"/>
      <c r="F100" s="56"/>
      <c r="G100" s="56"/>
      <c r="H100" s="35"/>
      <c r="I100" s="35"/>
      <c r="J100" s="35"/>
      <c r="K100" s="35"/>
    </row>
  </sheetData>
  <mergeCells count="14">
    <mergeCell ref="E26:E27"/>
    <mergeCell ref="B32:B33"/>
    <mergeCell ref="C32:C33"/>
    <mergeCell ref="D32:D33"/>
    <mergeCell ref="B40:B41"/>
    <mergeCell ref="B24:B25"/>
    <mergeCell ref="B26:B27"/>
    <mergeCell ref="C26:C27"/>
    <mergeCell ref="D26:D27"/>
    <mergeCell ref="E32:E33"/>
    <mergeCell ref="F32:F33"/>
    <mergeCell ref="G32:G33"/>
    <mergeCell ref="H32:H33"/>
    <mergeCell ref="G40:G41"/>
  </mergeCells>
  <pageMargins left="0.75" right="0.75" top="1" bottom="1" header="0.5" footer="0.5"/>
  <pageSetup orientation="portrait" horizontalDpi="4294967292" verticalDpi="4294967292"/>
  <ignoredErrors>
    <ignoredError sqref="J37" formula="1"/>
  </ignoredError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AO5011"/>
  <sheetViews>
    <sheetView topLeftCell="F1" workbookViewId="0">
      <selection activeCell="R9" sqref="R9:R10"/>
    </sheetView>
  </sheetViews>
  <sheetFormatPr baseColWidth="10" defaultColWidth="8.83203125" defaultRowHeight="15" x14ac:dyDescent="0"/>
  <cols>
    <col min="1" max="1" width="8.83203125" style="35"/>
    <col min="2" max="2" width="25.6640625" style="35" bestFit="1" customWidth="1"/>
    <col min="3" max="3" width="8.83203125" style="35"/>
    <col min="4" max="4" width="12.1640625" style="35" bestFit="1" customWidth="1"/>
    <col min="5" max="6" width="12.1640625" style="35" customWidth="1"/>
    <col min="7" max="7" width="11.83203125" style="35" bestFit="1" customWidth="1"/>
    <col min="8" max="8" width="12.1640625" style="35" bestFit="1" customWidth="1"/>
    <col min="9" max="10" width="12.1640625" style="35" customWidth="1"/>
    <col min="11" max="11" width="11.5" style="35" bestFit="1" customWidth="1"/>
    <col min="12" max="12" width="12.1640625" style="35" bestFit="1" customWidth="1"/>
    <col min="13" max="13" width="11.5" style="35" bestFit="1" customWidth="1"/>
    <col min="14" max="14" width="11.83203125" style="35" bestFit="1" customWidth="1"/>
    <col min="15" max="15" width="11.83203125" style="35" customWidth="1"/>
    <col min="16" max="16" width="8.83203125" style="35"/>
    <col min="17" max="17" width="11.83203125" style="35" bestFit="1" customWidth="1"/>
    <col min="18" max="21" width="11.83203125" style="35" customWidth="1"/>
    <col min="22" max="22" width="12.6640625" style="35" customWidth="1"/>
    <col min="23" max="23" width="10" style="35" customWidth="1"/>
    <col min="24" max="25" width="8.83203125" style="35"/>
    <col min="26" max="26" width="9.33203125" style="35" customWidth="1"/>
    <col min="27" max="29" width="8.83203125" style="35"/>
    <col min="30" max="30" width="36" style="35" bestFit="1" customWidth="1"/>
    <col min="31" max="16384" width="8.83203125" style="35"/>
  </cols>
  <sheetData>
    <row r="1" spans="1:41">
      <c r="A1" s="35" t="s">
        <v>186</v>
      </c>
      <c r="H1" s="35">
        <v>2000</v>
      </c>
    </row>
    <row r="2" spans="1:41">
      <c r="W2" s="35" t="s">
        <v>291</v>
      </c>
      <c r="X2" s="35">
        <v>50000</v>
      </c>
    </row>
    <row r="3" spans="1:41">
      <c r="W3" s="35" t="s">
        <v>178</v>
      </c>
      <c r="Z3" s="35" t="s">
        <v>179</v>
      </c>
      <c r="AF3" s="35" t="s">
        <v>180</v>
      </c>
    </row>
    <row r="4" spans="1:41">
      <c r="A4" s="35" t="s">
        <v>181</v>
      </c>
      <c r="B4" s="35" t="s">
        <v>317</v>
      </c>
      <c r="C4" s="283" t="s">
        <v>276</v>
      </c>
      <c r="D4" s="283"/>
      <c r="E4" s="283"/>
      <c r="F4" s="283"/>
      <c r="G4" s="283" t="s">
        <v>277</v>
      </c>
      <c r="H4" s="283"/>
      <c r="I4" s="283"/>
      <c r="J4" s="283"/>
      <c r="K4" s="283" t="s">
        <v>278</v>
      </c>
      <c r="L4" s="283"/>
      <c r="M4" s="283"/>
      <c r="N4" s="283"/>
      <c r="O4" s="121"/>
      <c r="P4" s="282" t="s">
        <v>283</v>
      </c>
      <c r="Q4" s="282"/>
      <c r="R4" s="282" t="s">
        <v>286</v>
      </c>
      <c r="S4" s="282"/>
      <c r="T4" s="281" t="s">
        <v>287</v>
      </c>
      <c r="U4" s="281"/>
      <c r="V4" s="56"/>
      <c r="AF4" s="35" t="s">
        <v>182</v>
      </c>
    </row>
    <row r="5" spans="1:41">
      <c r="C5" s="56" t="s">
        <v>279</v>
      </c>
      <c r="D5" s="56" t="s">
        <v>280</v>
      </c>
      <c r="E5" s="56" t="s">
        <v>281</v>
      </c>
      <c r="F5" s="56" t="s">
        <v>282</v>
      </c>
      <c r="G5" s="56" t="s">
        <v>279</v>
      </c>
      <c r="H5" s="56" t="s">
        <v>280</v>
      </c>
      <c r="I5" s="56" t="s">
        <v>281</v>
      </c>
      <c r="J5" s="56" t="s">
        <v>282</v>
      </c>
      <c r="K5" s="56" t="s">
        <v>279</v>
      </c>
      <c r="L5" s="56" t="s">
        <v>280</v>
      </c>
      <c r="M5" s="56" t="s">
        <v>281</v>
      </c>
      <c r="N5" s="56" t="s">
        <v>282</v>
      </c>
      <c r="O5" s="56"/>
      <c r="P5" s="35" t="s">
        <v>284</v>
      </c>
      <c r="Q5" s="35" t="s">
        <v>285</v>
      </c>
      <c r="R5" s="35" t="s">
        <v>284</v>
      </c>
      <c r="S5" s="35" t="s">
        <v>285</v>
      </c>
      <c r="T5" s="229" t="s">
        <v>284</v>
      </c>
      <c r="U5" s="229" t="s">
        <v>285</v>
      </c>
      <c r="W5" s="56" t="s">
        <v>288</v>
      </c>
      <c r="X5" s="56" t="s">
        <v>289</v>
      </c>
      <c r="Y5" s="56" t="s">
        <v>290</v>
      </c>
      <c r="Z5" s="56" t="s">
        <v>288</v>
      </c>
      <c r="AA5" s="56" t="s">
        <v>289</v>
      </c>
      <c r="AB5" s="56" t="s">
        <v>290</v>
      </c>
    </row>
    <row r="6" spans="1:41">
      <c r="B6" s="35">
        <f ca="1">'Model Inputs'!J10</f>
        <v>4.1574198466571178E-4</v>
      </c>
      <c r="C6" s="67">
        <f>Results!J8</f>
        <v>68.35761491341556</v>
      </c>
      <c r="D6" s="56">
        <f>Results!K8</f>
        <v>5.0615434879971675</v>
      </c>
      <c r="E6" s="67">
        <f>Results!J9</f>
        <v>42.135676524941459</v>
      </c>
      <c r="F6" s="56">
        <f>Results!K9</f>
        <v>5.0512158552797617</v>
      </c>
      <c r="G6" s="67">
        <f>Results!J13</f>
        <v>11747.057775475327</v>
      </c>
      <c r="H6" s="56">
        <f>Results!K13</f>
        <v>8.7911352806070742</v>
      </c>
      <c r="I6" s="67">
        <f>Results!J14</f>
        <v>12675.02117868033</v>
      </c>
      <c r="J6" s="56">
        <f>Results!K14</f>
        <v>7.5576914492600746</v>
      </c>
      <c r="K6" s="67">
        <f>Results!J18</f>
        <v>14915.169283067275</v>
      </c>
      <c r="L6" s="230">
        <f>Results!K18</f>
        <v>8.6530868395110154</v>
      </c>
      <c r="M6" s="67">
        <f>Results!J19</f>
        <v>41006.996376390554</v>
      </c>
      <c r="N6" s="56">
        <f>Results!K19</f>
        <v>7.5580356103573783</v>
      </c>
      <c r="O6" s="56"/>
      <c r="P6" s="73">
        <f>E6-C6</f>
        <v>-26.221938388474101</v>
      </c>
      <c r="Q6" s="35">
        <f>-(F6-D6)</f>
        <v>1.0327632717405777E-2</v>
      </c>
      <c r="R6" s="73">
        <f>I6-G6</f>
        <v>927.96340320500349</v>
      </c>
      <c r="S6" s="35">
        <f>-(J6-H6)</f>
        <v>1.2334438313469995</v>
      </c>
      <c r="T6" s="231">
        <f>M6-K6</f>
        <v>26091.827093323278</v>
      </c>
      <c r="U6" s="229">
        <f>-(N6-L6)</f>
        <v>1.0950512291536372</v>
      </c>
      <c r="W6" s="35">
        <f t="shared" ref="W6:AB6" si="0">AVERAGE(W12:W2011)</f>
        <v>537.26701794756116</v>
      </c>
      <c r="X6" s="35">
        <f t="shared" si="0"/>
        <v>58472.56668847859</v>
      </c>
      <c r="Y6" s="35">
        <f t="shared" si="0"/>
        <v>28631.0194154249</v>
      </c>
      <c r="Z6" s="35">
        <f t="shared" si="0"/>
        <v>0</v>
      </c>
      <c r="AA6" s="35">
        <f t="shared" si="0"/>
        <v>0.875</v>
      </c>
      <c r="AB6" s="35">
        <f t="shared" si="0"/>
        <v>0.125</v>
      </c>
    </row>
    <row r="8" spans="1:41">
      <c r="A8" s="35" t="s">
        <v>183</v>
      </c>
      <c r="B8" s="35">
        <f t="shared" ref="B8:N8" si="1">AVERAGE(B12:B2011)</f>
        <v>4.5063298661249934E-4</v>
      </c>
      <c r="C8" s="35">
        <f t="shared" si="1"/>
        <v>68.005050000000026</v>
      </c>
      <c r="D8" s="35">
        <f t="shared" si="1"/>
        <v>5.061550952159851</v>
      </c>
      <c r="E8" s="35">
        <f t="shared" si="1"/>
        <v>42.234385000000024</v>
      </c>
      <c r="F8" s="35">
        <f t="shared" si="1"/>
        <v>5.0513210281009</v>
      </c>
      <c r="G8" s="35">
        <f t="shared" si="1"/>
        <v>11665.342520000009</v>
      </c>
      <c r="H8" s="35">
        <f t="shared" si="1"/>
        <v>8.7684060899057439</v>
      </c>
      <c r="I8" s="35">
        <f t="shared" si="1"/>
        <v>12644.71949000001</v>
      </c>
      <c r="J8" s="35">
        <f t="shared" si="1"/>
        <v>7.5793672137361581</v>
      </c>
      <c r="K8" s="35">
        <f t="shared" si="1"/>
        <v>14837.51712</v>
      </c>
      <c r="L8" s="35">
        <f t="shared" si="1"/>
        <v>8.6576068391811791</v>
      </c>
      <c r="M8" s="35">
        <f t="shared" si="1"/>
        <v>40926.264129999989</v>
      </c>
      <c r="N8" s="35">
        <f t="shared" si="1"/>
        <v>7.563211508272671</v>
      </c>
      <c r="P8" s="232">
        <f t="shared" ref="P8:U8" si="2">AVERAGE(P12:P2011)</f>
        <v>-25.770814999999974</v>
      </c>
      <c r="Q8" s="232">
        <f t="shared" si="2"/>
        <v>1.0229924058951231E-2</v>
      </c>
      <c r="R8" s="232">
        <f t="shared" si="2"/>
        <v>979.37712000000033</v>
      </c>
      <c r="S8" s="232">
        <f t="shared" si="2"/>
        <v>1.1890388761695718</v>
      </c>
      <c r="T8" s="232">
        <f t="shared" si="2"/>
        <v>26088.747130000011</v>
      </c>
      <c r="U8" s="232">
        <f t="shared" si="2"/>
        <v>1.0943953309084971</v>
      </c>
    </row>
    <row r="9" spans="1:41">
      <c r="A9" s="35" t="s">
        <v>184</v>
      </c>
      <c r="B9" s="35">
        <f t="shared" ref="B9:N9" si="3">_xlfn.PERCENTILE.INC(B12:B2011, 0.025)</f>
        <v>3.1203694293078989E-4</v>
      </c>
      <c r="C9" s="35">
        <f t="shared" si="3"/>
        <v>41.706499999999998</v>
      </c>
      <c r="D9" s="35">
        <f t="shared" si="3"/>
        <v>5.0541252163043398</v>
      </c>
      <c r="E9" s="35">
        <f t="shared" si="3"/>
        <v>26.408750000000001</v>
      </c>
      <c r="F9" s="35">
        <f t="shared" si="3"/>
        <v>5.046873606589716</v>
      </c>
      <c r="G9" s="35">
        <f t="shared" si="3"/>
        <v>8162.2897499999999</v>
      </c>
      <c r="H9" s="35">
        <f t="shared" si="3"/>
        <v>8.0562432381815956</v>
      </c>
      <c r="I9" s="35">
        <f t="shared" si="3"/>
        <v>9482.0832499999997</v>
      </c>
      <c r="J9" s="35">
        <f t="shared" si="3"/>
        <v>6.5085865812278101</v>
      </c>
      <c r="K9" s="35">
        <f t="shared" si="3"/>
        <v>8500.4037500000013</v>
      </c>
      <c r="L9" s="35">
        <f t="shared" si="3"/>
        <v>8.2215256151539684</v>
      </c>
      <c r="M9" s="35">
        <f t="shared" si="3"/>
        <v>34275.879000000001</v>
      </c>
      <c r="N9" s="35">
        <f t="shared" si="3"/>
        <v>7.1400864021357116</v>
      </c>
      <c r="P9" s="35">
        <f t="shared" ref="P9:U9" si="4">_xlfn.PERCENTILE.INC(P12:P2011, 0.025)</f>
        <v>-43.164249999999996</v>
      </c>
      <c r="Q9" s="35">
        <f t="shared" si="4"/>
        <v>6.4194648113550688E-3</v>
      </c>
      <c r="R9" s="35">
        <f t="shared" si="4"/>
        <v>-1186.67</v>
      </c>
      <c r="S9" s="35">
        <f t="shared" si="4"/>
        <v>0.14207595976148277</v>
      </c>
      <c r="T9" s="35">
        <f t="shared" si="4"/>
        <v>25712.560249999999</v>
      </c>
      <c r="U9" s="35">
        <f t="shared" si="4"/>
        <v>0.99223779695276759</v>
      </c>
    </row>
    <row r="10" spans="1:41">
      <c r="A10" s="35" t="s">
        <v>185</v>
      </c>
      <c r="B10" s="35">
        <f t="shared" ref="B10:N10" si="5">PERCENTILE(B12:B2011, 0.975)</f>
        <v>6.188364408245715E-4</v>
      </c>
      <c r="C10" s="35">
        <f t="shared" si="5"/>
        <v>105.12349999999998</v>
      </c>
      <c r="D10" s="35">
        <f t="shared" si="5"/>
        <v>5.0708288767377647</v>
      </c>
      <c r="E10" s="35">
        <f t="shared" si="5"/>
        <v>64.72</v>
      </c>
      <c r="F10" s="35">
        <f t="shared" si="5"/>
        <v>5.0573297761215015</v>
      </c>
      <c r="G10" s="35">
        <f t="shared" si="5"/>
        <v>16132.099499999997</v>
      </c>
      <c r="H10" s="35">
        <f t="shared" si="5"/>
        <v>9.4421461612108448</v>
      </c>
      <c r="I10" s="35">
        <f t="shared" si="5"/>
        <v>16675.060999999994</v>
      </c>
      <c r="J10" s="35">
        <f t="shared" si="5"/>
        <v>8.922596466660881</v>
      </c>
      <c r="K10" s="35">
        <f t="shared" si="5"/>
        <v>22665.571999999996</v>
      </c>
      <c r="L10" s="35">
        <f t="shared" si="5"/>
        <v>9.1549599746550978</v>
      </c>
      <c r="M10" s="35">
        <f t="shared" si="5"/>
        <v>49125.573749999996</v>
      </c>
      <c r="N10" s="35">
        <f t="shared" si="5"/>
        <v>8.0613260526251072</v>
      </c>
      <c r="P10" s="35">
        <f t="shared" ref="P10:U10" si="6">PERCENTILE(P12:P2011, 0.975)</f>
        <v>-13.358750000000006</v>
      </c>
      <c r="Q10" s="35">
        <f t="shared" si="6"/>
        <v>1.4993790017547189E-2</v>
      </c>
      <c r="R10" s="35">
        <f t="shared" si="6"/>
        <v>2271.4384999999993</v>
      </c>
      <c r="S10" s="35">
        <f t="shared" si="6"/>
        <v>2.069725421998601</v>
      </c>
      <c r="T10" s="35">
        <f t="shared" si="6"/>
        <v>26517.042750000001</v>
      </c>
      <c r="U10" s="35">
        <f t="shared" si="6"/>
        <v>1.1964247482520474</v>
      </c>
      <c r="AE10" s="35" t="s">
        <v>182</v>
      </c>
    </row>
    <row r="11" spans="1:41">
      <c r="AD11" s="56" t="s">
        <v>372</v>
      </c>
      <c r="AE11" s="56" t="s">
        <v>292</v>
      </c>
      <c r="AF11" s="56" t="s">
        <v>293</v>
      </c>
      <c r="AG11" s="56" t="s">
        <v>81</v>
      </c>
      <c r="AN11" s="233"/>
      <c r="AO11" s="233"/>
    </row>
    <row r="12" spans="1:41">
      <c r="A12" s="35">
        <v>1</v>
      </c>
      <c r="B12" s="35">
        <v>4.2647817979872749E-4</v>
      </c>
      <c r="C12" s="232">
        <v>69.98</v>
      </c>
      <c r="D12" s="35">
        <v>5.0605688607253638</v>
      </c>
      <c r="E12" s="232">
        <v>42.3</v>
      </c>
      <c r="F12" s="35">
        <v>5.0504241772578888</v>
      </c>
      <c r="G12" s="232">
        <v>13143.35</v>
      </c>
      <c r="H12" s="35">
        <v>8.9452236703727763</v>
      </c>
      <c r="I12" s="232">
        <v>14016.57</v>
      </c>
      <c r="J12" s="35">
        <v>7.4588598025334916</v>
      </c>
      <c r="K12" s="232">
        <v>16290.02</v>
      </c>
      <c r="L12" s="35">
        <v>8.608821933109013</v>
      </c>
      <c r="M12" s="232">
        <v>42552.75</v>
      </c>
      <c r="N12" s="35">
        <v>7.5439946014631856</v>
      </c>
      <c r="P12" s="232">
        <v>-27.68</v>
      </c>
      <c r="Q12" s="35">
        <v>1.0144683467474991E-2</v>
      </c>
      <c r="R12" s="232">
        <v>873.22</v>
      </c>
      <c r="S12" s="35">
        <v>1.4863638678392848</v>
      </c>
      <c r="T12" s="232">
        <v>26262.73</v>
      </c>
      <c r="U12" s="35">
        <v>1.0648273316458274</v>
      </c>
      <c r="W12" s="35">
        <f t="shared" ref="W12:W75" si="7">$X$2*Q12-P12</f>
        <v>534.91417337374946</v>
      </c>
      <c r="X12" s="35">
        <f t="shared" ref="X12:X75" si="8">$X$2*S12-R12</f>
        <v>73444.973391964231</v>
      </c>
      <c r="Y12" s="35">
        <f t="shared" ref="Y12:Y75" si="9">$X$2*U12-T12</f>
        <v>26978.636582291376</v>
      </c>
      <c r="Z12" s="35">
        <f t="shared" ref="Z12:Z75" si="10">IF(W12=MAX($W12:$Y12), 1, 0)</f>
        <v>0</v>
      </c>
      <c r="AA12" s="35">
        <f t="shared" ref="AA12:AA75" si="11">IF(X12=MAX($W12:$Y12), 1, 0)</f>
        <v>1</v>
      </c>
      <c r="AB12" s="35">
        <f t="shared" ref="AB12:AB75" si="12">IF(Y12=MAX($W12:$Y12), 1, 0)</f>
        <v>0</v>
      </c>
      <c r="AD12" s="35">
        <v>0</v>
      </c>
      <c r="AE12" s="35">
        <v>0.87150000000000005</v>
      </c>
      <c r="AF12" s="35">
        <v>0.1285</v>
      </c>
      <c r="AG12" s="35">
        <v>0</v>
      </c>
      <c r="AI12" s="229"/>
    </row>
    <row r="13" spans="1:41">
      <c r="A13" s="35">
        <v>2</v>
      </c>
      <c r="B13" s="35">
        <v>3.8493633290474289E-4</v>
      </c>
      <c r="C13" s="232">
        <v>51.06</v>
      </c>
      <c r="D13" s="35">
        <v>5.0582979069223004</v>
      </c>
      <c r="E13" s="232">
        <v>33.64</v>
      </c>
      <c r="F13" s="35">
        <v>5.0498849374573602</v>
      </c>
      <c r="G13" s="232">
        <v>11165.79</v>
      </c>
      <c r="H13" s="35">
        <v>9.0302707831175688</v>
      </c>
      <c r="I13" s="232">
        <v>13253.78</v>
      </c>
      <c r="J13" s="35">
        <v>7.332194187095034</v>
      </c>
      <c r="K13" s="232">
        <v>11695.04</v>
      </c>
      <c r="L13" s="35">
        <v>8.4346501335906261</v>
      </c>
      <c r="M13" s="232">
        <v>37641.449999999997</v>
      </c>
      <c r="N13" s="35">
        <v>7.3454125352496034</v>
      </c>
      <c r="P13" s="232">
        <v>-17.420000000000002</v>
      </c>
      <c r="Q13" s="35">
        <v>8.4129694649401898E-3</v>
      </c>
      <c r="R13" s="232">
        <v>2087.98</v>
      </c>
      <c r="S13" s="35">
        <v>1.6980765960225348</v>
      </c>
      <c r="T13" s="232">
        <v>25946.41</v>
      </c>
      <c r="U13" s="35">
        <v>1.0892375983410227</v>
      </c>
      <c r="W13" s="35">
        <f t="shared" si="7"/>
        <v>438.06847324700954</v>
      </c>
      <c r="X13" s="35">
        <f t="shared" si="8"/>
        <v>82815.849801126751</v>
      </c>
      <c r="Y13" s="35">
        <f t="shared" si="9"/>
        <v>28515.469917051134</v>
      </c>
      <c r="Z13" s="35">
        <f t="shared" si="10"/>
        <v>0</v>
      </c>
      <c r="AA13" s="35">
        <f t="shared" si="11"/>
        <v>1</v>
      </c>
      <c r="AB13" s="35">
        <f t="shared" si="12"/>
        <v>0</v>
      </c>
      <c r="AD13" s="35">
        <v>10</v>
      </c>
      <c r="AE13" s="35">
        <v>0.86799999999999999</v>
      </c>
      <c r="AF13" s="35">
        <v>0.13200000000000001</v>
      </c>
      <c r="AG13" s="35">
        <v>0</v>
      </c>
    </row>
    <row r="14" spans="1:41">
      <c r="A14" s="35">
        <v>3</v>
      </c>
      <c r="B14" s="35">
        <v>4.2537084796349212E-4</v>
      </c>
      <c r="C14" s="232">
        <v>54.34</v>
      </c>
      <c r="D14" s="35">
        <v>5.0590203511435439</v>
      </c>
      <c r="E14" s="232">
        <v>32.17</v>
      </c>
      <c r="F14" s="35">
        <v>5.0489891866682157</v>
      </c>
      <c r="G14" s="232">
        <v>9818.92</v>
      </c>
      <c r="H14" s="35">
        <v>8.4748283052971054</v>
      </c>
      <c r="I14" s="232">
        <v>10923.41</v>
      </c>
      <c r="J14" s="35">
        <v>7.3717390075213594</v>
      </c>
      <c r="K14" s="232">
        <v>13232.92</v>
      </c>
      <c r="L14" s="35">
        <v>8.3821902872439296</v>
      </c>
      <c r="M14" s="232">
        <v>39282.379999999997</v>
      </c>
      <c r="N14" s="35">
        <v>7.2176753878979261</v>
      </c>
      <c r="P14" s="232">
        <v>-22.17</v>
      </c>
      <c r="Q14" s="35">
        <v>1.0031164475328147E-2</v>
      </c>
      <c r="R14" s="232">
        <v>1104.49</v>
      </c>
      <c r="S14" s="35">
        <v>1.103089297775746</v>
      </c>
      <c r="T14" s="232">
        <v>26049.46</v>
      </c>
      <c r="U14" s="35">
        <v>1.1645148993460035</v>
      </c>
      <c r="W14" s="35">
        <f t="shared" si="7"/>
        <v>523.72822376640738</v>
      </c>
      <c r="X14" s="35">
        <f t="shared" si="8"/>
        <v>54049.974888787307</v>
      </c>
      <c r="Y14" s="35">
        <f t="shared" si="9"/>
        <v>32176.284967300177</v>
      </c>
      <c r="Z14" s="35">
        <f t="shared" si="10"/>
        <v>0</v>
      </c>
      <c r="AA14" s="35">
        <f t="shared" si="11"/>
        <v>1</v>
      </c>
      <c r="AB14" s="35">
        <f t="shared" si="12"/>
        <v>0</v>
      </c>
      <c r="AD14" s="35">
        <v>25</v>
      </c>
      <c r="AE14" s="35">
        <v>0.86350000000000005</v>
      </c>
      <c r="AF14" s="35">
        <v>0.13650000000000001</v>
      </c>
      <c r="AG14" s="35">
        <v>0</v>
      </c>
    </row>
    <row r="15" spans="1:41">
      <c r="A15" s="35">
        <v>4</v>
      </c>
      <c r="B15" s="35">
        <v>4.241658713122655E-4</v>
      </c>
      <c r="C15" s="232">
        <v>66.45</v>
      </c>
      <c r="D15" s="35">
        <v>5.0601250919233758</v>
      </c>
      <c r="E15" s="232">
        <v>41.41</v>
      </c>
      <c r="F15" s="35">
        <v>5.0505339961356315</v>
      </c>
      <c r="G15" s="232">
        <v>11664.64</v>
      </c>
      <c r="H15" s="35">
        <v>8.8009595150351334</v>
      </c>
      <c r="I15" s="232">
        <v>11385.5</v>
      </c>
      <c r="J15" s="35">
        <v>7.0124301966082658</v>
      </c>
      <c r="K15" s="232">
        <v>15322.62</v>
      </c>
      <c r="L15" s="35">
        <v>8.5816857940714115</v>
      </c>
      <c r="M15" s="232">
        <v>41575.199999999997</v>
      </c>
      <c r="N15" s="35">
        <v>7.4753784072566525</v>
      </c>
      <c r="P15" s="232">
        <v>-25.04</v>
      </c>
      <c r="Q15" s="35">
        <v>9.5910957877443082E-3</v>
      </c>
      <c r="R15" s="232">
        <v>-279.14</v>
      </c>
      <c r="S15" s="35">
        <v>1.7885293184268676</v>
      </c>
      <c r="T15" s="232">
        <v>26252.58</v>
      </c>
      <c r="U15" s="35">
        <v>1.106307386814759</v>
      </c>
      <c r="W15" s="35">
        <f t="shared" si="7"/>
        <v>504.59478938721543</v>
      </c>
      <c r="X15" s="35">
        <f t="shared" si="8"/>
        <v>89705.605921343376</v>
      </c>
      <c r="Y15" s="35">
        <f t="shared" si="9"/>
        <v>29062.789340737952</v>
      </c>
      <c r="Z15" s="35">
        <f t="shared" si="10"/>
        <v>0</v>
      </c>
      <c r="AA15" s="35">
        <f t="shared" si="11"/>
        <v>1</v>
      </c>
      <c r="AB15" s="35">
        <f t="shared" si="12"/>
        <v>0</v>
      </c>
      <c r="AD15" s="35">
        <v>50</v>
      </c>
      <c r="AE15" s="35">
        <v>0.85650000000000004</v>
      </c>
      <c r="AF15" s="35">
        <v>0.14349999999999999</v>
      </c>
      <c r="AG15" s="35">
        <v>0</v>
      </c>
    </row>
    <row r="16" spans="1:41">
      <c r="A16" s="35">
        <v>5</v>
      </c>
      <c r="B16" s="35">
        <v>3.0082125145148301E-4</v>
      </c>
      <c r="C16" s="232">
        <v>54.46</v>
      </c>
      <c r="D16" s="35">
        <v>5.0542301728096959</v>
      </c>
      <c r="E16" s="232">
        <v>37.04</v>
      </c>
      <c r="F16" s="35">
        <v>5.0479176924991442</v>
      </c>
      <c r="G16" s="232">
        <v>13555.61</v>
      </c>
      <c r="H16" s="35">
        <v>8.9392403735917316</v>
      </c>
      <c r="I16" s="232">
        <v>13637.62</v>
      </c>
      <c r="J16" s="35">
        <v>7.6417843128379319</v>
      </c>
      <c r="K16" s="232">
        <v>18625.64</v>
      </c>
      <c r="L16" s="35">
        <v>8.6698941906615659</v>
      </c>
      <c r="M16" s="232">
        <v>44940.27</v>
      </c>
      <c r="N16" s="35">
        <v>7.5552860008376177</v>
      </c>
      <c r="P16" s="232">
        <v>-17.420000000000002</v>
      </c>
      <c r="Q16" s="35">
        <v>6.3124803105516492E-3</v>
      </c>
      <c r="R16" s="232">
        <v>82.01</v>
      </c>
      <c r="S16" s="35">
        <v>1.2974560607537997</v>
      </c>
      <c r="T16" s="232">
        <v>26314.639999999999</v>
      </c>
      <c r="U16" s="35">
        <v>1.1146081898239482</v>
      </c>
      <c r="W16" s="35">
        <f t="shared" si="7"/>
        <v>333.04401552758247</v>
      </c>
      <c r="X16" s="35">
        <f t="shared" si="8"/>
        <v>64790.793037689982</v>
      </c>
      <c r="Y16" s="35">
        <f t="shared" si="9"/>
        <v>29415.76949119741</v>
      </c>
      <c r="Z16" s="35">
        <f t="shared" si="10"/>
        <v>0</v>
      </c>
      <c r="AA16" s="35">
        <f t="shared" si="11"/>
        <v>1</v>
      </c>
      <c r="AB16" s="35">
        <f t="shared" si="12"/>
        <v>0</v>
      </c>
      <c r="AD16" s="35">
        <v>100</v>
      </c>
      <c r="AE16" s="35">
        <v>0.83850000000000002</v>
      </c>
      <c r="AF16" s="35">
        <v>0.1615</v>
      </c>
      <c r="AG16" s="35">
        <v>0</v>
      </c>
    </row>
    <row r="17" spans="1:33">
      <c r="A17" s="35">
        <v>6</v>
      </c>
      <c r="B17" s="35">
        <v>5.7361838899261386E-4</v>
      </c>
      <c r="C17" s="232">
        <v>70.62</v>
      </c>
      <c r="D17" s="35">
        <v>5.0663178526447723</v>
      </c>
      <c r="E17" s="232">
        <v>36.6</v>
      </c>
      <c r="F17" s="35">
        <v>5.0511644560172151</v>
      </c>
      <c r="G17" s="232">
        <v>10356.82</v>
      </c>
      <c r="H17" s="35">
        <v>8.2336948272857082</v>
      </c>
      <c r="I17" s="232">
        <v>12431.49</v>
      </c>
      <c r="J17" s="35">
        <v>7.0896585252683204</v>
      </c>
      <c r="K17" s="232">
        <v>10738.17</v>
      </c>
      <c r="L17" s="35">
        <v>8.9811642206770959</v>
      </c>
      <c r="M17" s="232">
        <v>36585.589999999997</v>
      </c>
      <c r="N17" s="35">
        <v>7.9030506697298994</v>
      </c>
      <c r="P17" s="232">
        <v>-34.020000000000003</v>
      </c>
      <c r="Q17" s="35">
        <v>1.5153396627557214E-2</v>
      </c>
      <c r="R17" s="232">
        <v>2074.67</v>
      </c>
      <c r="S17" s="35">
        <v>1.1440363020173878</v>
      </c>
      <c r="T17" s="232">
        <v>25847.41</v>
      </c>
      <c r="U17" s="35">
        <v>1.0781135509471964</v>
      </c>
      <c r="W17" s="35">
        <f t="shared" si="7"/>
        <v>791.68983137786063</v>
      </c>
      <c r="X17" s="35">
        <f t="shared" si="8"/>
        <v>55127.145100869391</v>
      </c>
      <c r="Y17" s="35">
        <f t="shared" si="9"/>
        <v>28058.267547359817</v>
      </c>
      <c r="Z17" s="35">
        <f t="shared" si="10"/>
        <v>0</v>
      </c>
      <c r="AA17" s="35">
        <f t="shared" si="11"/>
        <v>1</v>
      </c>
      <c r="AB17" s="35">
        <f t="shared" si="12"/>
        <v>0</v>
      </c>
      <c r="AD17" s="35">
        <v>250</v>
      </c>
      <c r="AE17" s="35">
        <v>0.79800000000000004</v>
      </c>
      <c r="AF17" s="35">
        <v>0.20200000000000001</v>
      </c>
      <c r="AG17" s="35">
        <v>0</v>
      </c>
    </row>
    <row r="18" spans="1:33">
      <c r="A18" s="35">
        <v>7</v>
      </c>
      <c r="B18" s="35">
        <v>4.2731862653908867E-4</v>
      </c>
      <c r="C18" s="232">
        <v>62.34</v>
      </c>
      <c r="D18" s="35">
        <v>5.0606223266221066</v>
      </c>
      <c r="E18" s="232">
        <v>39.92</v>
      </c>
      <c r="F18" s="35">
        <v>5.0511218033767689</v>
      </c>
      <c r="G18" s="232">
        <v>11378.09</v>
      </c>
      <c r="H18" s="35">
        <v>8.7942533844647031</v>
      </c>
      <c r="I18" s="232">
        <v>12110.54</v>
      </c>
      <c r="J18" s="35">
        <v>6.8113938788079755</v>
      </c>
      <c r="K18" s="232">
        <v>13299.79</v>
      </c>
      <c r="L18" s="35">
        <v>8.6497856167227845</v>
      </c>
      <c r="M18" s="232">
        <v>39334.269999999997</v>
      </c>
      <c r="N18" s="35">
        <v>7.4780498057391416</v>
      </c>
      <c r="P18" s="232">
        <v>-22.43</v>
      </c>
      <c r="Q18" s="35">
        <v>9.5005232453377886E-3</v>
      </c>
      <c r="R18" s="232">
        <v>732.45</v>
      </c>
      <c r="S18" s="35">
        <v>1.9828595056567275</v>
      </c>
      <c r="T18" s="232">
        <v>26034.48</v>
      </c>
      <c r="U18" s="35">
        <v>1.1717358109836429</v>
      </c>
      <c r="W18" s="35">
        <f t="shared" si="7"/>
        <v>497.45616226688941</v>
      </c>
      <c r="X18" s="35">
        <f t="shared" si="8"/>
        <v>98410.525282836374</v>
      </c>
      <c r="Y18" s="35">
        <f t="shared" si="9"/>
        <v>32552.310549182144</v>
      </c>
      <c r="Z18" s="35">
        <f t="shared" si="10"/>
        <v>0</v>
      </c>
      <c r="AA18" s="35">
        <f t="shared" si="11"/>
        <v>1</v>
      </c>
      <c r="AB18" s="35">
        <f t="shared" si="12"/>
        <v>0</v>
      </c>
      <c r="AD18" s="35">
        <v>500</v>
      </c>
      <c r="AE18" s="35">
        <v>0.68600000000000005</v>
      </c>
      <c r="AF18" s="35">
        <v>0.314</v>
      </c>
      <c r="AG18" s="35">
        <v>0</v>
      </c>
    </row>
    <row r="19" spans="1:33">
      <c r="A19" s="35">
        <v>8</v>
      </c>
      <c r="B19" s="35">
        <v>4.3833096271555632E-4</v>
      </c>
      <c r="C19" s="232">
        <v>54.5</v>
      </c>
      <c r="D19" s="35">
        <v>5.0584175982927109</v>
      </c>
      <c r="E19" s="232">
        <v>34.380000000000003</v>
      </c>
      <c r="F19" s="35">
        <v>5.0494726789915845</v>
      </c>
      <c r="G19" s="232">
        <v>9413.76</v>
      </c>
      <c r="H19" s="35">
        <v>8.2329153143230211</v>
      </c>
      <c r="I19" s="232">
        <v>9913.18</v>
      </c>
      <c r="J19" s="35">
        <v>6.8107448029821755</v>
      </c>
      <c r="K19" s="232">
        <v>13527.31</v>
      </c>
      <c r="L19" s="35">
        <v>8.2010185745218571</v>
      </c>
      <c r="M19" s="232">
        <v>39658.74</v>
      </c>
      <c r="N19" s="35">
        <v>7.1042856256313787</v>
      </c>
      <c r="P19" s="232">
        <v>-20.12</v>
      </c>
      <c r="Q19" s="35">
        <v>8.9449193011263972E-3</v>
      </c>
      <c r="R19" s="232">
        <v>499.42</v>
      </c>
      <c r="S19" s="35">
        <v>1.4221705113408456</v>
      </c>
      <c r="T19" s="232">
        <v>26131.43</v>
      </c>
      <c r="U19" s="35">
        <v>1.0967329488904785</v>
      </c>
      <c r="W19" s="35">
        <f t="shared" si="7"/>
        <v>467.36596505631985</v>
      </c>
      <c r="X19" s="35">
        <f t="shared" si="8"/>
        <v>70609.105567042279</v>
      </c>
      <c r="Y19" s="35">
        <f t="shared" si="9"/>
        <v>28705.217444523922</v>
      </c>
      <c r="Z19" s="35">
        <f t="shared" si="10"/>
        <v>0</v>
      </c>
      <c r="AA19" s="35">
        <f t="shared" si="11"/>
        <v>1</v>
      </c>
      <c r="AB19" s="35">
        <f t="shared" si="12"/>
        <v>0</v>
      </c>
      <c r="AD19" s="35">
        <v>1000</v>
      </c>
      <c r="AE19" s="35">
        <v>0.47349999999999998</v>
      </c>
      <c r="AF19" s="35">
        <v>0.52649999999999997</v>
      </c>
      <c r="AG19" s="35">
        <v>0</v>
      </c>
    </row>
    <row r="20" spans="1:33">
      <c r="A20" s="35">
        <v>9</v>
      </c>
      <c r="B20" s="35">
        <v>5.017631683130741E-4</v>
      </c>
      <c r="C20" s="232">
        <v>65.19</v>
      </c>
      <c r="D20" s="35">
        <v>5.0650275945467955</v>
      </c>
      <c r="E20" s="232">
        <v>45.71</v>
      </c>
      <c r="F20" s="35">
        <v>5.0554056498035038</v>
      </c>
      <c r="G20" s="232">
        <v>9988.2000000000007</v>
      </c>
      <c r="H20" s="35">
        <v>8.9074836884328636</v>
      </c>
      <c r="I20" s="232">
        <v>10736.33</v>
      </c>
      <c r="J20" s="35">
        <v>7.2374823485683599</v>
      </c>
      <c r="K20" s="232">
        <v>12584.54</v>
      </c>
      <c r="L20" s="35">
        <v>8.6441326505738019</v>
      </c>
      <c r="M20" s="232">
        <v>38643.760000000002</v>
      </c>
      <c r="N20" s="35">
        <v>7.5771484238586755</v>
      </c>
      <c r="P20" s="232">
        <v>-19.48</v>
      </c>
      <c r="Q20" s="35">
        <v>9.6219447432916994E-3</v>
      </c>
      <c r="R20" s="232">
        <v>748.12</v>
      </c>
      <c r="S20" s="35">
        <v>1.6700013398645037</v>
      </c>
      <c r="T20" s="232">
        <v>26059.23</v>
      </c>
      <c r="U20" s="35">
        <v>1.0669842267151264</v>
      </c>
      <c r="W20" s="35">
        <f t="shared" si="7"/>
        <v>500.57723716458497</v>
      </c>
      <c r="X20" s="35">
        <f t="shared" si="8"/>
        <v>82751.946993225196</v>
      </c>
      <c r="Y20" s="35">
        <f t="shared" si="9"/>
        <v>27289.981335756322</v>
      </c>
      <c r="Z20" s="35">
        <f t="shared" si="10"/>
        <v>0</v>
      </c>
      <c r="AA20" s="35">
        <f t="shared" si="11"/>
        <v>1</v>
      </c>
      <c r="AB20" s="35">
        <f t="shared" si="12"/>
        <v>0</v>
      </c>
      <c r="AD20" s="35">
        <v>1500</v>
      </c>
      <c r="AE20" s="35">
        <v>0.30599999999999999</v>
      </c>
      <c r="AF20" s="35">
        <v>0.69399999999999995</v>
      </c>
      <c r="AG20" s="35">
        <v>0</v>
      </c>
    </row>
    <row r="21" spans="1:33">
      <c r="A21" s="35">
        <v>10</v>
      </c>
      <c r="B21" s="35">
        <v>5.3859515726839557E-4</v>
      </c>
      <c r="C21" s="232">
        <v>100.58</v>
      </c>
      <c r="D21" s="35">
        <v>5.0658655093413527</v>
      </c>
      <c r="E21" s="232">
        <v>65.53</v>
      </c>
      <c r="F21" s="35">
        <v>5.0551066992777267</v>
      </c>
      <c r="G21" s="232">
        <v>14189.73</v>
      </c>
      <c r="H21" s="35">
        <v>8.7644024010902548</v>
      </c>
      <c r="I21" s="232">
        <v>14003.73</v>
      </c>
      <c r="J21" s="35">
        <v>7.3283244452834566</v>
      </c>
      <c r="K21" s="232">
        <v>19433.62</v>
      </c>
      <c r="L21" s="35">
        <v>8.4532567878520162</v>
      </c>
      <c r="M21" s="232">
        <v>45743.11</v>
      </c>
      <c r="N21" s="35">
        <v>7.3809541109701478</v>
      </c>
      <c r="P21" s="232">
        <v>-35.06</v>
      </c>
      <c r="Q21" s="35">
        <v>1.0758810063626001E-2</v>
      </c>
      <c r="R21" s="232">
        <v>-185.99</v>
      </c>
      <c r="S21" s="35">
        <v>1.4360779558067982</v>
      </c>
      <c r="T21" s="232">
        <v>26309.48</v>
      </c>
      <c r="U21" s="35">
        <v>1.0723026768818684</v>
      </c>
      <c r="W21" s="35">
        <f t="shared" si="7"/>
        <v>573.00050318130002</v>
      </c>
      <c r="X21" s="35">
        <f t="shared" si="8"/>
        <v>71989.887790339912</v>
      </c>
      <c r="Y21" s="35">
        <f t="shared" si="9"/>
        <v>27305.65384409342</v>
      </c>
      <c r="Z21" s="35">
        <f t="shared" si="10"/>
        <v>0</v>
      </c>
      <c r="AA21" s="35">
        <f t="shared" si="11"/>
        <v>1</v>
      </c>
      <c r="AB21" s="35">
        <f t="shared" si="12"/>
        <v>0</v>
      </c>
      <c r="AD21" s="35">
        <v>2000</v>
      </c>
      <c r="AE21" s="35">
        <v>0.20749999999999999</v>
      </c>
      <c r="AF21" s="35">
        <v>0.79249999999999998</v>
      </c>
      <c r="AG21" s="35">
        <v>0</v>
      </c>
    </row>
    <row r="22" spans="1:33">
      <c r="A22" s="35">
        <v>11</v>
      </c>
      <c r="B22" s="35">
        <v>3.6575918431739279E-4</v>
      </c>
      <c r="C22" s="232">
        <v>81.19</v>
      </c>
      <c r="D22" s="35">
        <v>5.0573094347299561</v>
      </c>
      <c r="E22" s="232">
        <v>44.31</v>
      </c>
      <c r="F22" s="35">
        <v>5.0476255575058389</v>
      </c>
      <c r="G22" s="232">
        <v>17491.73</v>
      </c>
      <c r="H22" s="35">
        <v>9.1021598806855106</v>
      </c>
      <c r="I22" s="232">
        <v>18253.259999999998</v>
      </c>
      <c r="J22" s="35">
        <v>8.2709150370857838</v>
      </c>
      <c r="K22" s="232">
        <v>22555.07</v>
      </c>
      <c r="L22" s="35">
        <v>8.3838463399160972</v>
      </c>
      <c r="M22" s="232">
        <v>49035.95</v>
      </c>
      <c r="N22" s="35">
        <v>7.3531332130377081</v>
      </c>
      <c r="P22" s="232">
        <v>-36.89</v>
      </c>
      <c r="Q22" s="35">
        <v>9.6838772241172322E-3</v>
      </c>
      <c r="R22" s="232">
        <v>761.54</v>
      </c>
      <c r="S22" s="35">
        <v>0.83124484359972683</v>
      </c>
      <c r="T22" s="232">
        <v>26480.880000000001</v>
      </c>
      <c r="U22" s="35">
        <v>1.0307131268783891</v>
      </c>
      <c r="W22" s="35">
        <f t="shared" si="7"/>
        <v>521.08386120586158</v>
      </c>
      <c r="X22" s="35">
        <f t="shared" si="8"/>
        <v>40800.702179986343</v>
      </c>
      <c r="Y22" s="35">
        <f t="shared" si="9"/>
        <v>25054.776343919457</v>
      </c>
      <c r="Z22" s="35">
        <f t="shared" si="10"/>
        <v>0</v>
      </c>
      <c r="AA22" s="35">
        <f t="shared" si="11"/>
        <v>1</v>
      </c>
      <c r="AB22" s="35">
        <f t="shared" si="12"/>
        <v>0</v>
      </c>
      <c r="AD22" s="35">
        <v>2500</v>
      </c>
      <c r="AE22" s="35">
        <v>0.1555</v>
      </c>
      <c r="AF22" s="35">
        <v>0.84450000000000003</v>
      </c>
      <c r="AG22" s="35">
        <v>0</v>
      </c>
    </row>
    <row r="23" spans="1:33">
      <c r="A23" s="35">
        <v>12</v>
      </c>
      <c r="B23" s="35">
        <v>2.7313527393255116E-4</v>
      </c>
      <c r="C23" s="232">
        <v>43.4</v>
      </c>
      <c r="D23" s="35">
        <v>5.0536531843668566</v>
      </c>
      <c r="E23" s="232">
        <v>30.18</v>
      </c>
      <c r="F23" s="35">
        <v>5.0475333614522295</v>
      </c>
      <c r="G23" s="232">
        <v>12490.73</v>
      </c>
      <c r="H23" s="35">
        <v>9.1795613470863628</v>
      </c>
      <c r="I23" s="232">
        <v>12783.41</v>
      </c>
      <c r="J23" s="35">
        <v>6.9691175604208144</v>
      </c>
      <c r="K23" s="232">
        <v>15468.7</v>
      </c>
      <c r="L23" s="35">
        <v>9.0297082459053648</v>
      </c>
      <c r="M23" s="232">
        <v>41594.11</v>
      </c>
      <c r="N23" s="35">
        <v>7.9409172255796268</v>
      </c>
      <c r="P23" s="232">
        <v>-13.22</v>
      </c>
      <c r="Q23" s="35">
        <v>6.1198229146270933E-3</v>
      </c>
      <c r="R23" s="232">
        <v>292.68</v>
      </c>
      <c r="S23" s="35">
        <v>2.2104437866655484</v>
      </c>
      <c r="T23" s="232">
        <v>26125.42</v>
      </c>
      <c r="U23" s="35">
        <v>1.088791020325738</v>
      </c>
      <c r="W23" s="35">
        <f t="shared" si="7"/>
        <v>319.21114573135469</v>
      </c>
      <c r="X23" s="35">
        <f t="shared" si="8"/>
        <v>110229.50933327743</v>
      </c>
      <c r="Y23" s="35">
        <f t="shared" si="9"/>
        <v>28314.131016286905</v>
      </c>
      <c r="Z23" s="35">
        <f t="shared" si="10"/>
        <v>0</v>
      </c>
      <c r="AA23" s="35">
        <f t="shared" si="11"/>
        <v>1</v>
      </c>
      <c r="AB23" s="35">
        <f t="shared" si="12"/>
        <v>0</v>
      </c>
      <c r="AD23" s="35">
        <v>3000</v>
      </c>
      <c r="AE23" s="35">
        <v>0.11650000000000001</v>
      </c>
      <c r="AF23" s="35">
        <v>0.88349999999999995</v>
      </c>
      <c r="AG23" s="35">
        <v>0</v>
      </c>
    </row>
    <row r="24" spans="1:33">
      <c r="A24" s="35">
        <v>13</v>
      </c>
      <c r="B24" s="35">
        <v>5.0359094124230452E-4</v>
      </c>
      <c r="C24" s="232">
        <v>71.83</v>
      </c>
      <c r="D24" s="35">
        <v>5.0670806018122221</v>
      </c>
      <c r="E24" s="232">
        <v>37.89</v>
      </c>
      <c r="F24" s="35">
        <v>5.0518139263456128</v>
      </c>
      <c r="G24" s="232">
        <v>11980.7</v>
      </c>
      <c r="H24" s="35">
        <v>9.3738712941686746</v>
      </c>
      <c r="I24" s="232">
        <v>13895.09</v>
      </c>
      <c r="J24" s="35">
        <v>8.3881876807884606</v>
      </c>
      <c r="K24" s="232">
        <v>13457.66</v>
      </c>
      <c r="L24" s="35">
        <v>9.099432126931859</v>
      </c>
      <c r="M24" s="232">
        <v>39454.230000000003</v>
      </c>
      <c r="N24" s="35">
        <v>7.9984288198229265</v>
      </c>
      <c r="P24" s="232">
        <v>-33.94</v>
      </c>
      <c r="Q24" s="35">
        <v>1.5266675466609314E-2</v>
      </c>
      <c r="R24" s="232">
        <v>1914.39</v>
      </c>
      <c r="S24" s="35">
        <v>0.98568361338021404</v>
      </c>
      <c r="T24" s="232">
        <v>25996.57</v>
      </c>
      <c r="U24" s="35">
        <v>1.1010033071089325</v>
      </c>
      <c r="W24" s="35">
        <f t="shared" si="7"/>
        <v>797.2737733304657</v>
      </c>
      <c r="X24" s="35">
        <f t="shared" si="8"/>
        <v>47369.790669010705</v>
      </c>
      <c r="Y24" s="35">
        <f t="shared" si="9"/>
        <v>29053.595355446625</v>
      </c>
      <c r="Z24" s="35">
        <f t="shared" si="10"/>
        <v>0</v>
      </c>
      <c r="AA24" s="35">
        <f t="shared" si="11"/>
        <v>1</v>
      </c>
      <c r="AB24" s="35">
        <f t="shared" si="12"/>
        <v>0</v>
      </c>
      <c r="AD24" s="35">
        <v>3500</v>
      </c>
      <c r="AE24" s="35">
        <v>9.4500000000000001E-2</v>
      </c>
      <c r="AF24" s="35">
        <v>0.90549999999999997</v>
      </c>
      <c r="AG24" s="35">
        <v>0</v>
      </c>
    </row>
    <row r="25" spans="1:33">
      <c r="A25" s="35">
        <v>14</v>
      </c>
      <c r="B25" s="35">
        <v>4.3348196263419392E-4</v>
      </c>
      <c r="C25" s="232">
        <v>53.26</v>
      </c>
      <c r="D25" s="35">
        <v>5.0594497965341496</v>
      </c>
      <c r="E25" s="232">
        <v>32.880000000000003</v>
      </c>
      <c r="F25" s="35">
        <v>5.049729801313501</v>
      </c>
      <c r="G25" s="232">
        <v>9694.06</v>
      </c>
      <c r="H25" s="35">
        <v>8.2905372530899353</v>
      </c>
      <c r="I25" s="232">
        <v>11244.38</v>
      </c>
      <c r="J25" s="35">
        <v>7.3690253014619085</v>
      </c>
      <c r="K25" s="232">
        <v>12816.67</v>
      </c>
      <c r="L25" s="35">
        <v>8.7079840840665916</v>
      </c>
      <c r="M25" s="232">
        <v>38808.32</v>
      </c>
      <c r="N25" s="35">
        <v>7.6106350754586582</v>
      </c>
      <c r="P25" s="232">
        <v>-20.38</v>
      </c>
      <c r="Q25" s="35">
        <v>9.7199952206485918E-3</v>
      </c>
      <c r="R25" s="232">
        <v>1550.32</v>
      </c>
      <c r="S25" s="35">
        <v>0.92151195162802679</v>
      </c>
      <c r="T25" s="232">
        <v>25991.65</v>
      </c>
      <c r="U25" s="35">
        <v>1.0973490086079334</v>
      </c>
      <c r="W25" s="35">
        <f t="shared" si="7"/>
        <v>506.3797610324296</v>
      </c>
      <c r="X25" s="35">
        <f t="shared" si="8"/>
        <v>44525.277581401337</v>
      </c>
      <c r="Y25" s="35">
        <f t="shared" si="9"/>
        <v>28875.800430396666</v>
      </c>
      <c r="Z25" s="35">
        <f t="shared" si="10"/>
        <v>0</v>
      </c>
      <c r="AA25" s="35">
        <f t="shared" si="11"/>
        <v>1</v>
      </c>
      <c r="AB25" s="35">
        <f t="shared" si="12"/>
        <v>0</v>
      </c>
      <c r="AD25" s="35">
        <v>4000</v>
      </c>
      <c r="AE25" s="35">
        <v>7.4499999999999997E-2</v>
      </c>
      <c r="AF25" s="35">
        <v>0.92549999999999999</v>
      </c>
      <c r="AG25" s="35">
        <v>0</v>
      </c>
    </row>
    <row r="26" spans="1:33">
      <c r="A26" s="35">
        <v>15</v>
      </c>
      <c r="B26" s="35">
        <v>4.483466353798482E-4</v>
      </c>
      <c r="C26" s="232">
        <v>51.24</v>
      </c>
      <c r="D26" s="35">
        <v>5.0620133922733546</v>
      </c>
      <c r="E26" s="232">
        <v>37.49</v>
      </c>
      <c r="F26" s="35">
        <v>5.0538295558519248</v>
      </c>
      <c r="G26" s="232">
        <v>8805.2999999999993</v>
      </c>
      <c r="H26" s="35">
        <v>8.7897972004062712</v>
      </c>
      <c r="I26" s="232">
        <v>10325.48</v>
      </c>
      <c r="J26" s="35">
        <v>7.4867670400926398</v>
      </c>
      <c r="K26" s="232">
        <v>10023.700000000001</v>
      </c>
      <c r="L26" s="35">
        <v>8.7120039399042533</v>
      </c>
      <c r="M26" s="232">
        <v>35830.269999999997</v>
      </c>
      <c r="N26" s="35">
        <v>7.72667747071789</v>
      </c>
      <c r="P26" s="232">
        <v>-13.74</v>
      </c>
      <c r="Q26" s="35">
        <v>8.1838364214297243E-3</v>
      </c>
      <c r="R26" s="232">
        <v>1520.18</v>
      </c>
      <c r="S26" s="35">
        <v>1.3030301603136314</v>
      </c>
      <c r="T26" s="232">
        <v>25806.57</v>
      </c>
      <c r="U26" s="35">
        <v>0.98532646918636324</v>
      </c>
      <c r="W26" s="35">
        <f t="shared" si="7"/>
        <v>422.93182107148624</v>
      </c>
      <c r="X26" s="35">
        <f t="shared" si="8"/>
        <v>63631.328015681567</v>
      </c>
      <c r="Y26" s="35">
        <f t="shared" si="9"/>
        <v>23459.753459318163</v>
      </c>
      <c r="Z26" s="35">
        <f t="shared" si="10"/>
        <v>0</v>
      </c>
      <c r="AA26" s="35">
        <f t="shared" si="11"/>
        <v>1</v>
      </c>
      <c r="AB26" s="35">
        <f t="shared" si="12"/>
        <v>0</v>
      </c>
      <c r="AD26" s="35">
        <v>4500</v>
      </c>
      <c r="AE26" s="35">
        <v>6.6500000000000004E-2</v>
      </c>
      <c r="AF26" s="35">
        <v>0.9335</v>
      </c>
      <c r="AG26" s="35">
        <v>0</v>
      </c>
    </row>
    <row r="27" spans="1:33">
      <c r="A27" s="35">
        <v>16</v>
      </c>
      <c r="B27" s="35">
        <v>5.2206599166670919E-4</v>
      </c>
      <c r="C27" s="232">
        <v>85.42</v>
      </c>
      <c r="D27" s="35">
        <v>5.0664580546513678</v>
      </c>
      <c r="E27" s="232">
        <v>47.04</v>
      </c>
      <c r="F27" s="35">
        <v>5.052412675137111</v>
      </c>
      <c r="G27" s="232">
        <v>12857.73</v>
      </c>
      <c r="H27" s="35">
        <v>9.2048072663092881</v>
      </c>
      <c r="I27" s="232">
        <v>13785.82</v>
      </c>
      <c r="J27" s="35">
        <v>8.13864373348631</v>
      </c>
      <c r="K27" s="232">
        <v>16549.5</v>
      </c>
      <c r="L27" s="35">
        <v>8.486138255117222</v>
      </c>
      <c r="M27" s="232">
        <v>42817.34</v>
      </c>
      <c r="N27" s="35">
        <v>7.3902556656957668</v>
      </c>
      <c r="P27" s="232">
        <v>-38.369999999999997</v>
      </c>
      <c r="Q27" s="35">
        <v>1.4045379514256773E-2</v>
      </c>
      <c r="R27" s="232">
        <v>928.1</v>
      </c>
      <c r="S27" s="35">
        <v>1.0661635328229782</v>
      </c>
      <c r="T27" s="232">
        <v>26267.84</v>
      </c>
      <c r="U27" s="35">
        <v>1.0958825894214552</v>
      </c>
      <c r="W27" s="35">
        <f t="shared" si="7"/>
        <v>740.6389757128386</v>
      </c>
      <c r="X27" s="35">
        <f t="shared" si="8"/>
        <v>52380.076641148909</v>
      </c>
      <c r="Y27" s="35">
        <f t="shared" si="9"/>
        <v>28526.28947107276</v>
      </c>
      <c r="Z27" s="35">
        <f t="shared" si="10"/>
        <v>0</v>
      </c>
      <c r="AA27" s="35">
        <f t="shared" si="11"/>
        <v>1</v>
      </c>
      <c r="AB27" s="35">
        <f t="shared" si="12"/>
        <v>0</v>
      </c>
      <c r="AD27" s="35">
        <v>5000</v>
      </c>
      <c r="AE27" s="35">
        <v>5.8999999999999997E-2</v>
      </c>
      <c r="AF27" s="35">
        <v>0.94099999999999995</v>
      </c>
      <c r="AG27" s="35">
        <v>0</v>
      </c>
    </row>
    <row r="28" spans="1:33">
      <c r="A28" s="35">
        <v>17</v>
      </c>
      <c r="B28" s="35">
        <v>4.8955722851284911E-4</v>
      </c>
      <c r="C28" s="232">
        <v>62.39</v>
      </c>
      <c r="D28" s="35">
        <v>5.0640085043597969</v>
      </c>
      <c r="E28" s="232">
        <v>37.31</v>
      </c>
      <c r="F28" s="35">
        <v>5.0519916463288421</v>
      </c>
      <c r="G28" s="232">
        <v>9973.2999999999993</v>
      </c>
      <c r="H28" s="35">
        <v>9.0059751823449403</v>
      </c>
      <c r="I28" s="232">
        <v>11554.32</v>
      </c>
      <c r="J28" s="35">
        <v>7.9686489059633274</v>
      </c>
      <c r="K28" s="232">
        <v>11096.66</v>
      </c>
      <c r="L28" s="35">
        <v>8.5282210705075645</v>
      </c>
      <c r="M28" s="232">
        <v>37016.65</v>
      </c>
      <c r="N28" s="35">
        <v>7.4628593361563897</v>
      </c>
      <c r="P28" s="232">
        <v>-25.08</v>
      </c>
      <c r="Q28" s="35">
        <v>1.2016858030954758E-2</v>
      </c>
      <c r="R28" s="232">
        <v>1581.03</v>
      </c>
      <c r="S28" s="35">
        <v>1.0373262763816129</v>
      </c>
      <c r="T28" s="232">
        <v>25919.99</v>
      </c>
      <c r="U28" s="35">
        <v>1.0653617343511748</v>
      </c>
      <c r="W28" s="35">
        <f t="shared" si="7"/>
        <v>625.92290154773798</v>
      </c>
      <c r="X28" s="35">
        <f t="shared" si="8"/>
        <v>50285.283819080643</v>
      </c>
      <c r="Y28" s="35">
        <f t="shared" si="9"/>
        <v>27348.096717558739</v>
      </c>
      <c r="Z28" s="35">
        <f t="shared" si="10"/>
        <v>0</v>
      </c>
      <c r="AA28" s="35">
        <f t="shared" si="11"/>
        <v>1</v>
      </c>
      <c r="AB28" s="35">
        <f t="shared" si="12"/>
        <v>0</v>
      </c>
      <c r="AD28" s="35">
        <v>5500</v>
      </c>
      <c r="AE28" s="35">
        <v>5.6000000000000001E-2</v>
      </c>
      <c r="AF28" s="35">
        <v>0.94399999999999995</v>
      </c>
      <c r="AG28" s="35">
        <v>0</v>
      </c>
    </row>
    <row r="29" spans="1:33">
      <c r="A29" s="35">
        <v>18</v>
      </c>
      <c r="B29" s="35">
        <v>4.4689481854764956E-4</v>
      </c>
      <c r="C29" s="232">
        <v>69.739999999999995</v>
      </c>
      <c r="D29" s="35">
        <v>5.0603477814456506</v>
      </c>
      <c r="E29" s="232">
        <v>47.51</v>
      </c>
      <c r="F29" s="35">
        <v>5.0520215948305705</v>
      </c>
      <c r="G29" s="232">
        <v>11796.78</v>
      </c>
      <c r="H29" s="35">
        <v>8.5858712751329751</v>
      </c>
      <c r="I29" s="232">
        <v>13004.86</v>
      </c>
      <c r="J29" s="35">
        <v>7.7527912177302793</v>
      </c>
      <c r="K29" s="232">
        <v>15295.26</v>
      </c>
      <c r="L29" s="35">
        <v>8.2368954091826634</v>
      </c>
      <c r="M29" s="232">
        <v>41478.58</v>
      </c>
      <c r="N29" s="35">
        <v>7.0669086205939475</v>
      </c>
      <c r="P29" s="232">
        <v>-22.23</v>
      </c>
      <c r="Q29" s="35">
        <v>8.3261866150801112E-3</v>
      </c>
      <c r="R29" s="232">
        <v>1208.08</v>
      </c>
      <c r="S29" s="35">
        <v>0.83308005740269575</v>
      </c>
      <c r="T29" s="232">
        <v>26183.32</v>
      </c>
      <c r="U29" s="35">
        <v>1.1699867885887159</v>
      </c>
      <c r="W29" s="35">
        <f t="shared" si="7"/>
        <v>438.53933075400556</v>
      </c>
      <c r="X29" s="35">
        <f t="shared" si="8"/>
        <v>40445.922870134789</v>
      </c>
      <c r="Y29" s="35">
        <f t="shared" si="9"/>
        <v>32316.019429435793</v>
      </c>
      <c r="Z29" s="35">
        <f t="shared" si="10"/>
        <v>0</v>
      </c>
      <c r="AA29" s="35">
        <f t="shared" si="11"/>
        <v>1</v>
      </c>
      <c r="AB29" s="35">
        <f t="shared" si="12"/>
        <v>0</v>
      </c>
      <c r="AD29" s="35">
        <v>6000</v>
      </c>
      <c r="AE29" s="35">
        <v>5.3499999999999999E-2</v>
      </c>
      <c r="AF29" s="35">
        <v>0.94650000000000001</v>
      </c>
      <c r="AG29" s="35">
        <v>0</v>
      </c>
    </row>
    <row r="30" spans="1:33">
      <c r="A30" s="35">
        <v>19</v>
      </c>
      <c r="B30" s="35">
        <v>5.0825815688937404E-4</v>
      </c>
      <c r="C30" s="232">
        <v>65.62</v>
      </c>
      <c r="D30" s="35">
        <v>5.0643863852481834</v>
      </c>
      <c r="E30" s="232">
        <v>36.409999999999997</v>
      </c>
      <c r="F30" s="35">
        <v>5.0511272660249125</v>
      </c>
      <c r="G30" s="232">
        <v>10050.61</v>
      </c>
      <c r="H30" s="35">
        <v>8.6973762929650764</v>
      </c>
      <c r="I30" s="232">
        <v>11909.04</v>
      </c>
      <c r="J30" s="35">
        <v>7.967109705894261</v>
      </c>
      <c r="K30" s="232">
        <v>10383.39</v>
      </c>
      <c r="L30" s="35">
        <v>8.8093846935535574</v>
      </c>
      <c r="M30" s="232">
        <v>36314.449999999997</v>
      </c>
      <c r="N30" s="35">
        <v>7.6836580859105421</v>
      </c>
      <c r="P30" s="232">
        <v>-29.21</v>
      </c>
      <c r="Q30" s="35">
        <v>1.3259119223270943E-2</v>
      </c>
      <c r="R30" s="232">
        <v>1858.43</v>
      </c>
      <c r="S30" s="35">
        <v>0.73026658707081538</v>
      </c>
      <c r="T30" s="232">
        <v>25931.06</v>
      </c>
      <c r="U30" s="35">
        <v>1.1257266076430152</v>
      </c>
      <c r="W30" s="35">
        <f t="shared" si="7"/>
        <v>692.16596116354719</v>
      </c>
      <c r="X30" s="35">
        <f t="shared" si="8"/>
        <v>34654.899353540772</v>
      </c>
      <c r="Y30" s="35">
        <f t="shared" si="9"/>
        <v>30355.270382150764</v>
      </c>
      <c r="Z30" s="35">
        <f t="shared" si="10"/>
        <v>0</v>
      </c>
      <c r="AA30" s="35">
        <f t="shared" si="11"/>
        <v>1</v>
      </c>
      <c r="AB30" s="35">
        <f t="shared" si="12"/>
        <v>0</v>
      </c>
      <c r="AD30" s="35">
        <v>6500</v>
      </c>
      <c r="AE30" s="35">
        <v>4.9500000000000002E-2</v>
      </c>
      <c r="AF30" s="35">
        <v>0.95050000000000001</v>
      </c>
      <c r="AG30" s="35">
        <v>0</v>
      </c>
    </row>
    <row r="31" spans="1:33">
      <c r="A31" s="35">
        <v>20</v>
      </c>
      <c r="B31" s="35">
        <v>5.0963138621518134E-4</v>
      </c>
      <c r="C31" s="232">
        <v>65.37</v>
      </c>
      <c r="D31" s="35">
        <v>5.0641678878322978</v>
      </c>
      <c r="E31" s="232">
        <v>37.520000000000003</v>
      </c>
      <c r="F31" s="35">
        <v>5.0515126857072135</v>
      </c>
      <c r="G31" s="232">
        <v>10133.540000000001</v>
      </c>
      <c r="H31" s="35">
        <v>8.6059781259094361</v>
      </c>
      <c r="I31" s="232">
        <v>11905.29</v>
      </c>
      <c r="J31" s="35">
        <v>7.803774431303836</v>
      </c>
      <c r="K31" s="232">
        <v>11695.86</v>
      </c>
      <c r="L31" s="35">
        <v>8.7899815780028554</v>
      </c>
      <c r="M31" s="232">
        <v>37721.18</v>
      </c>
      <c r="N31" s="35">
        <v>7.5935003915514372</v>
      </c>
      <c r="P31" s="232">
        <v>-27.85</v>
      </c>
      <c r="Q31" s="35">
        <v>1.2655202125084308E-2</v>
      </c>
      <c r="R31" s="232">
        <v>1771.75</v>
      </c>
      <c r="S31" s="35">
        <v>0.80220369460560015</v>
      </c>
      <c r="T31" s="232">
        <v>26025.32</v>
      </c>
      <c r="U31" s="35">
        <v>1.1964811864514182</v>
      </c>
      <c r="W31" s="35">
        <f t="shared" si="7"/>
        <v>660.61010625421545</v>
      </c>
      <c r="X31" s="35">
        <f t="shared" si="8"/>
        <v>38338.434730280009</v>
      </c>
      <c r="Y31" s="35">
        <f t="shared" si="9"/>
        <v>33798.739322570909</v>
      </c>
      <c r="Z31" s="35">
        <f t="shared" si="10"/>
        <v>0</v>
      </c>
      <c r="AA31" s="35">
        <f t="shared" si="11"/>
        <v>1</v>
      </c>
      <c r="AB31" s="35">
        <f t="shared" si="12"/>
        <v>0</v>
      </c>
      <c r="AD31" s="35">
        <v>7000</v>
      </c>
      <c r="AE31" s="35">
        <v>4.5999999999999999E-2</v>
      </c>
      <c r="AF31" s="35">
        <v>0.95399999999999996</v>
      </c>
      <c r="AG31" s="35">
        <v>0</v>
      </c>
    </row>
    <row r="32" spans="1:33">
      <c r="A32" s="35">
        <v>21</v>
      </c>
      <c r="B32" s="35">
        <v>3.2888562872943175E-4</v>
      </c>
      <c r="C32" s="232">
        <v>55.81</v>
      </c>
      <c r="D32" s="35">
        <v>5.0541112650077737</v>
      </c>
      <c r="E32" s="232">
        <v>35.46</v>
      </c>
      <c r="F32" s="35">
        <v>5.0471473301176992</v>
      </c>
      <c r="G32" s="232">
        <v>13358.52</v>
      </c>
      <c r="H32" s="35">
        <v>8.3427958257829147</v>
      </c>
      <c r="I32" s="232">
        <v>15059.03</v>
      </c>
      <c r="J32" s="35">
        <v>7.6629454498994605</v>
      </c>
      <c r="K32" s="232">
        <v>15812.44</v>
      </c>
      <c r="L32" s="35">
        <v>8.571190077930444</v>
      </c>
      <c r="M32" s="232">
        <v>41967.48</v>
      </c>
      <c r="N32" s="35">
        <v>7.4635793326671784</v>
      </c>
      <c r="P32" s="232">
        <v>-20.34</v>
      </c>
      <c r="Q32" s="35">
        <v>6.963934890074519E-3</v>
      </c>
      <c r="R32" s="232">
        <v>1700.5</v>
      </c>
      <c r="S32" s="35">
        <v>0.67985037588345421</v>
      </c>
      <c r="T32" s="232">
        <v>26155.040000000001</v>
      </c>
      <c r="U32" s="35">
        <v>1.1076107452632655</v>
      </c>
      <c r="W32" s="35">
        <f t="shared" si="7"/>
        <v>368.53674450372591</v>
      </c>
      <c r="X32" s="35">
        <f t="shared" si="8"/>
        <v>32292.018794172713</v>
      </c>
      <c r="Y32" s="35">
        <f t="shared" si="9"/>
        <v>29225.497263163277</v>
      </c>
      <c r="Z32" s="35">
        <f t="shared" si="10"/>
        <v>0</v>
      </c>
      <c r="AA32" s="35">
        <f t="shared" si="11"/>
        <v>1</v>
      </c>
      <c r="AB32" s="35">
        <f t="shared" si="12"/>
        <v>0</v>
      </c>
      <c r="AD32" s="35">
        <v>7500</v>
      </c>
      <c r="AE32" s="35">
        <v>4.1500000000000002E-2</v>
      </c>
      <c r="AF32" s="35">
        <v>0.95850000000000002</v>
      </c>
      <c r="AG32" s="35">
        <v>0</v>
      </c>
    </row>
    <row r="33" spans="1:33">
      <c r="A33" s="35">
        <v>22</v>
      </c>
      <c r="B33" s="35">
        <v>5.4206340939577657E-4</v>
      </c>
      <c r="C33" s="232">
        <v>77.69</v>
      </c>
      <c r="D33" s="35">
        <v>5.0671308204106014</v>
      </c>
      <c r="E33" s="232">
        <v>42.2</v>
      </c>
      <c r="F33" s="35">
        <v>5.05240934864237</v>
      </c>
      <c r="G33" s="232">
        <v>11401.56</v>
      </c>
      <c r="H33" s="35">
        <v>9.0044365908987007</v>
      </c>
      <c r="I33" s="232">
        <v>12739.38</v>
      </c>
      <c r="J33" s="35">
        <v>7.8838131544929615</v>
      </c>
      <c r="K33" s="232">
        <v>13511.4</v>
      </c>
      <c r="L33" s="35">
        <v>8.706403615269064</v>
      </c>
      <c r="M33" s="232">
        <v>39434.660000000003</v>
      </c>
      <c r="N33" s="35">
        <v>7.5357053970388161</v>
      </c>
      <c r="P33" s="232">
        <v>-35.49</v>
      </c>
      <c r="Q33" s="35">
        <v>1.4721471768231353E-2</v>
      </c>
      <c r="R33" s="232">
        <v>1337.83</v>
      </c>
      <c r="S33" s="35">
        <v>1.1206234364057392</v>
      </c>
      <c r="T33" s="232">
        <v>25923.26</v>
      </c>
      <c r="U33" s="35">
        <v>1.1706982182302479</v>
      </c>
      <c r="W33" s="35">
        <f t="shared" si="7"/>
        <v>771.56358841156771</v>
      </c>
      <c r="X33" s="35">
        <f t="shared" si="8"/>
        <v>54693.341820286958</v>
      </c>
      <c r="Y33" s="35">
        <f t="shared" si="9"/>
        <v>32611.650911512395</v>
      </c>
      <c r="Z33" s="35">
        <f t="shared" si="10"/>
        <v>0</v>
      </c>
      <c r="AA33" s="35">
        <f t="shared" si="11"/>
        <v>1</v>
      </c>
      <c r="AB33" s="35">
        <f t="shared" si="12"/>
        <v>0</v>
      </c>
      <c r="AD33" s="35">
        <v>8000</v>
      </c>
      <c r="AE33" s="35">
        <v>3.7499999999999999E-2</v>
      </c>
      <c r="AF33" s="35">
        <v>0.96250000000000002</v>
      </c>
      <c r="AG33" s="35">
        <v>0</v>
      </c>
    </row>
    <row r="34" spans="1:33">
      <c r="A34" s="35">
        <v>23</v>
      </c>
      <c r="B34" s="35">
        <v>4.8360082534437687E-4</v>
      </c>
      <c r="C34" s="232">
        <v>77.72</v>
      </c>
      <c r="D34" s="35">
        <v>5.0645236514988232</v>
      </c>
      <c r="E34" s="232">
        <v>41.62</v>
      </c>
      <c r="F34" s="35">
        <v>5.0509136577427105</v>
      </c>
      <c r="G34" s="232">
        <v>12550.99</v>
      </c>
      <c r="H34" s="35">
        <v>9.0868383727380095</v>
      </c>
      <c r="I34" s="232">
        <v>14722.24</v>
      </c>
      <c r="J34" s="35">
        <v>9.0465618249039252</v>
      </c>
      <c r="K34" s="232">
        <v>17818.900000000001</v>
      </c>
      <c r="L34" s="35">
        <v>8.8358938062626393</v>
      </c>
      <c r="M34" s="232">
        <v>44092.78</v>
      </c>
      <c r="N34" s="35">
        <v>7.685470363133561</v>
      </c>
      <c r="P34" s="232">
        <v>-36.1</v>
      </c>
      <c r="Q34" s="35">
        <v>1.3609993756112715E-2</v>
      </c>
      <c r="R34" s="232">
        <v>2171.2399999999998</v>
      </c>
      <c r="S34" s="35">
        <v>4.0276547834084298E-2</v>
      </c>
      <c r="T34" s="232">
        <v>26273.88</v>
      </c>
      <c r="U34" s="35">
        <v>1.1504234431290783</v>
      </c>
      <c r="W34" s="35">
        <f t="shared" si="7"/>
        <v>716.59968780563577</v>
      </c>
      <c r="X34" s="35">
        <f t="shared" si="8"/>
        <v>-157.41260829578482</v>
      </c>
      <c r="Y34" s="35">
        <f t="shared" si="9"/>
        <v>31247.29215645391</v>
      </c>
      <c r="Z34" s="35">
        <f t="shared" si="10"/>
        <v>0</v>
      </c>
      <c r="AA34" s="35">
        <f t="shared" si="11"/>
        <v>0</v>
      </c>
      <c r="AB34" s="35">
        <f t="shared" si="12"/>
        <v>1</v>
      </c>
      <c r="AD34" s="35">
        <v>8500</v>
      </c>
      <c r="AE34" s="35">
        <v>3.6999999999999998E-2</v>
      </c>
      <c r="AF34" s="35">
        <v>0.96299999999999997</v>
      </c>
      <c r="AG34" s="35">
        <v>0</v>
      </c>
    </row>
    <row r="35" spans="1:33">
      <c r="A35" s="35">
        <v>24</v>
      </c>
      <c r="B35" s="35">
        <v>3.6239438995129634E-4</v>
      </c>
      <c r="C35" s="232">
        <v>48.67</v>
      </c>
      <c r="D35" s="35">
        <v>5.0579809206628781</v>
      </c>
      <c r="E35" s="232">
        <v>32.61</v>
      </c>
      <c r="F35" s="35">
        <v>5.0498525008582433</v>
      </c>
      <c r="G35" s="232">
        <v>10030.02</v>
      </c>
      <c r="H35" s="35">
        <v>9.1995135664684451</v>
      </c>
      <c r="I35" s="232">
        <v>9973.2000000000007</v>
      </c>
      <c r="J35" s="35">
        <v>7.3998386827854485</v>
      </c>
      <c r="K35" s="232">
        <v>12941.49</v>
      </c>
      <c r="L35" s="35">
        <v>8.6541331205944818</v>
      </c>
      <c r="M35" s="232">
        <v>38948.81</v>
      </c>
      <c r="N35" s="35">
        <v>7.5742630193623368</v>
      </c>
      <c r="P35" s="232">
        <v>-16.059999999999999</v>
      </c>
      <c r="Q35" s="35">
        <v>8.1284198046347456E-3</v>
      </c>
      <c r="R35" s="232">
        <v>-56.81</v>
      </c>
      <c r="S35" s="35">
        <v>1.7996748836829966</v>
      </c>
      <c r="T35" s="232">
        <v>26007.32</v>
      </c>
      <c r="U35" s="35">
        <v>1.079870101232145</v>
      </c>
      <c r="W35" s="35">
        <f t="shared" si="7"/>
        <v>422.48099023173728</v>
      </c>
      <c r="X35" s="35">
        <f t="shared" si="8"/>
        <v>90040.55418414982</v>
      </c>
      <c r="Y35" s="35">
        <f t="shared" si="9"/>
        <v>27986.185061607248</v>
      </c>
      <c r="Z35" s="35">
        <f t="shared" si="10"/>
        <v>0</v>
      </c>
      <c r="AA35" s="35">
        <f t="shared" si="11"/>
        <v>1</v>
      </c>
      <c r="AB35" s="35">
        <f t="shared" si="12"/>
        <v>0</v>
      </c>
      <c r="AD35" s="35">
        <v>9000</v>
      </c>
      <c r="AE35" s="35">
        <v>3.4500000000000003E-2</v>
      </c>
      <c r="AF35" s="35">
        <v>0.96550000000000002</v>
      </c>
      <c r="AG35" s="35">
        <v>0</v>
      </c>
    </row>
    <row r="36" spans="1:33">
      <c r="A36" s="35">
        <v>25</v>
      </c>
      <c r="B36" s="35">
        <v>4.5506081593471581E-4</v>
      </c>
      <c r="C36" s="232">
        <v>61.3</v>
      </c>
      <c r="D36" s="35">
        <v>5.0640130025668073</v>
      </c>
      <c r="E36" s="232">
        <v>41.83</v>
      </c>
      <c r="F36" s="35">
        <v>5.0541698391214744</v>
      </c>
      <c r="G36" s="232">
        <v>10260.16</v>
      </c>
      <c r="H36" s="35">
        <v>9.2585576859166476</v>
      </c>
      <c r="I36" s="232">
        <v>11558.13</v>
      </c>
      <c r="J36" s="35">
        <v>8.0780720504857086</v>
      </c>
      <c r="K36" s="232">
        <v>11833.11</v>
      </c>
      <c r="L36" s="35">
        <v>8.8565086029101234</v>
      </c>
      <c r="M36" s="232">
        <v>37842.230000000003</v>
      </c>
      <c r="N36" s="35">
        <v>7.6696712280839439</v>
      </c>
      <c r="P36" s="232">
        <v>-19.46</v>
      </c>
      <c r="Q36" s="35">
        <v>9.8431634453328698E-3</v>
      </c>
      <c r="R36" s="232">
        <v>1297.97</v>
      </c>
      <c r="S36" s="35">
        <v>1.180485635430939</v>
      </c>
      <c r="T36" s="232">
        <v>26009.13</v>
      </c>
      <c r="U36" s="35">
        <v>1.1868373748261796</v>
      </c>
      <c r="W36" s="35">
        <f t="shared" si="7"/>
        <v>511.61817226664346</v>
      </c>
      <c r="X36" s="35">
        <f t="shared" si="8"/>
        <v>57726.311771546949</v>
      </c>
      <c r="Y36" s="35">
        <f t="shared" si="9"/>
        <v>33332.738741308975</v>
      </c>
      <c r="Z36" s="35">
        <f t="shared" si="10"/>
        <v>0</v>
      </c>
      <c r="AA36" s="35">
        <f t="shared" si="11"/>
        <v>1</v>
      </c>
      <c r="AB36" s="35">
        <f t="shared" si="12"/>
        <v>0</v>
      </c>
      <c r="AD36" s="35">
        <v>9500</v>
      </c>
      <c r="AE36" s="35">
        <v>3.4500000000000003E-2</v>
      </c>
      <c r="AF36" s="35">
        <v>0.96550000000000002</v>
      </c>
      <c r="AG36" s="35">
        <v>0</v>
      </c>
    </row>
    <row r="37" spans="1:33">
      <c r="A37" s="35">
        <v>26</v>
      </c>
      <c r="B37" s="35">
        <v>4.3193322765323547E-4</v>
      </c>
      <c r="C37" s="232">
        <v>58.62</v>
      </c>
      <c r="D37" s="35">
        <v>5.0594731065106355</v>
      </c>
      <c r="E37" s="232">
        <v>38.479999999999997</v>
      </c>
      <c r="F37" s="35">
        <v>5.0507218371096831</v>
      </c>
      <c r="G37" s="232">
        <v>10386.959999999999</v>
      </c>
      <c r="H37" s="35">
        <v>8.564843679592828</v>
      </c>
      <c r="I37" s="232">
        <v>10764.39</v>
      </c>
      <c r="J37" s="35">
        <v>6.9912780703648494</v>
      </c>
      <c r="K37" s="232">
        <v>14315.3</v>
      </c>
      <c r="L37" s="35">
        <v>8.3492325440966209</v>
      </c>
      <c r="M37" s="232">
        <v>40522.82</v>
      </c>
      <c r="N37" s="35">
        <v>7.2558245584562</v>
      </c>
      <c r="P37" s="232">
        <v>-20.14</v>
      </c>
      <c r="Q37" s="35">
        <v>8.7512694009523884E-3</v>
      </c>
      <c r="R37" s="232">
        <v>377.43</v>
      </c>
      <c r="S37" s="35">
        <v>1.5735656092279786</v>
      </c>
      <c r="T37" s="232">
        <v>26207.52</v>
      </c>
      <c r="U37" s="35">
        <v>1.0934079856404209</v>
      </c>
      <c r="W37" s="35">
        <f t="shared" si="7"/>
        <v>457.70347004761942</v>
      </c>
      <c r="X37" s="35">
        <f t="shared" si="8"/>
        <v>78300.850461398935</v>
      </c>
      <c r="Y37" s="35">
        <f t="shared" si="9"/>
        <v>28462.87928202104</v>
      </c>
      <c r="Z37" s="35">
        <f t="shared" si="10"/>
        <v>0</v>
      </c>
      <c r="AA37" s="35">
        <f t="shared" si="11"/>
        <v>1</v>
      </c>
      <c r="AB37" s="35">
        <f t="shared" si="12"/>
        <v>0</v>
      </c>
      <c r="AD37" s="35">
        <v>10000</v>
      </c>
      <c r="AE37" s="35">
        <v>3.2500000000000001E-2</v>
      </c>
      <c r="AF37" s="35">
        <v>0.96750000000000003</v>
      </c>
      <c r="AG37" s="35">
        <v>0</v>
      </c>
    </row>
    <row r="38" spans="1:33">
      <c r="A38" s="35">
        <v>27</v>
      </c>
      <c r="B38" s="35">
        <v>4.0213581093925571E-4</v>
      </c>
      <c r="C38" s="232">
        <v>58.28</v>
      </c>
      <c r="D38" s="35">
        <v>5.0585391939005557</v>
      </c>
      <c r="E38" s="232">
        <v>34.299999999999997</v>
      </c>
      <c r="F38" s="35">
        <v>5.0487617693549094</v>
      </c>
      <c r="G38" s="232">
        <v>10778.04</v>
      </c>
      <c r="H38" s="35">
        <v>8.678838855339114</v>
      </c>
      <c r="I38" s="232">
        <v>10692.04</v>
      </c>
      <c r="J38" s="35">
        <v>6.9358446432855549</v>
      </c>
      <c r="K38" s="232">
        <v>14138.28</v>
      </c>
      <c r="L38" s="35">
        <v>8.4845118974983205</v>
      </c>
      <c r="M38" s="232">
        <v>40245</v>
      </c>
      <c r="N38" s="35">
        <v>7.2855817838447816</v>
      </c>
      <c r="P38" s="232">
        <v>-23.97</v>
      </c>
      <c r="Q38" s="35">
        <v>9.7774245456463404E-3</v>
      </c>
      <c r="R38" s="232">
        <v>-86</v>
      </c>
      <c r="S38" s="35">
        <v>1.7429942120535591</v>
      </c>
      <c r="T38" s="232">
        <v>26106.720000000001</v>
      </c>
      <c r="U38" s="35">
        <v>1.1989301136535389</v>
      </c>
      <c r="W38" s="35">
        <f t="shared" si="7"/>
        <v>512.84122728231705</v>
      </c>
      <c r="X38" s="35">
        <f t="shared" si="8"/>
        <v>87235.710602677951</v>
      </c>
      <c r="Y38" s="35">
        <f t="shared" si="9"/>
        <v>33839.785682676942</v>
      </c>
      <c r="Z38" s="35">
        <f t="shared" si="10"/>
        <v>0</v>
      </c>
      <c r="AA38" s="35">
        <f t="shared" si="11"/>
        <v>1</v>
      </c>
      <c r="AB38" s="35">
        <f t="shared" si="12"/>
        <v>0</v>
      </c>
      <c r="AD38" s="35">
        <v>11000</v>
      </c>
      <c r="AE38" s="35">
        <v>3.1E-2</v>
      </c>
      <c r="AF38" s="35">
        <v>0.96899999999999997</v>
      </c>
      <c r="AG38" s="35">
        <v>0</v>
      </c>
    </row>
    <row r="39" spans="1:33">
      <c r="A39" s="35">
        <v>28</v>
      </c>
      <c r="B39" s="35">
        <v>4.0274113574608746E-4</v>
      </c>
      <c r="C39" s="232">
        <v>52.74</v>
      </c>
      <c r="D39" s="35">
        <v>5.0578864136710315</v>
      </c>
      <c r="E39" s="232">
        <v>31.03</v>
      </c>
      <c r="F39" s="35">
        <v>5.0482809497685004</v>
      </c>
      <c r="G39" s="232">
        <v>9997.4500000000007</v>
      </c>
      <c r="H39" s="35">
        <v>8.5169416177471824</v>
      </c>
      <c r="I39" s="232">
        <v>10445.42</v>
      </c>
      <c r="J39" s="35">
        <v>6.8202049305410819</v>
      </c>
      <c r="K39" s="232">
        <v>12815.93</v>
      </c>
      <c r="L39" s="35">
        <v>8.5474765726070121</v>
      </c>
      <c r="M39" s="232">
        <v>38748.730000000003</v>
      </c>
      <c r="N39" s="35">
        <v>7.4442504831360319</v>
      </c>
      <c r="P39" s="232">
        <v>-21.71</v>
      </c>
      <c r="Q39" s="35">
        <v>9.6054639025311417E-3</v>
      </c>
      <c r="R39" s="232">
        <v>447.98</v>
      </c>
      <c r="S39" s="35">
        <v>1.6967366872061005</v>
      </c>
      <c r="T39" s="232">
        <v>25932.81</v>
      </c>
      <c r="U39" s="35">
        <v>1.1032260894709802</v>
      </c>
      <c r="W39" s="35">
        <f t="shared" si="7"/>
        <v>501.98319512655706</v>
      </c>
      <c r="X39" s="35">
        <f t="shared" si="8"/>
        <v>84388.854360305035</v>
      </c>
      <c r="Y39" s="35">
        <f t="shared" si="9"/>
        <v>29228.49447354901</v>
      </c>
      <c r="Z39" s="35">
        <f t="shared" si="10"/>
        <v>0</v>
      </c>
      <c r="AA39" s="35">
        <f t="shared" si="11"/>
        <v>1</v>
      </c>
      <c r="AB39" s="35">
        <f t="shared" si="12"/>
        <v>0</v>
      </c>
      <c r="AD39" s="35">
        <v>12000</v>
      </c>
      <c r="AE39" s="35">
        <v>2.8500000000000001E-2</v>
      </c>
      <c r="AF39" s="35">
        <v>0.97150000000000003</v>
      </c>
      <c r="AG39" s="35">
        <v>0</v>
      </c>
    </row>
    <row r="40" spans="1:33">
      <c r="A40" s="35">
        <v>29</v>
      </c>
      <c r="B40" s="35">
        <v>4.478490533567081E-4</v>
      </c>
      <c r="C40" s="232">
        <v>86.73</v>
      </c>
      <c r="D40" s="35">
        <v>5.062609644626737</v>
      </c>
      <c r="E40" s="232">
        <v>46.21</v>
      </c>
      <c r="F40" s="35">
        <v>5.0500322816350547</v>
      </c>
      <c r="G40" s="232">
        <v>15610.1</v>
      </c>
      <c r="H40" s="35">
        <v>9.1916682174888908</v>
      </c>
      <c r="I40" s="232">
        <v>17145.830000000002</v>
      </c>
      <c r="J40" s="35">
        <v>8.414711245149368</v>
      </c>
      <c r="K40" s="232">
        <v>18322.009999999998</v>
      </c>
      <c r="L40" s="35">
        <v>8.8187559653251348</v>
      </c>
      <c r="M40" s="232">
        <v>44600.69</v>
      </c>
      <c r="N40" s="35">
        <v>7.7315657211580442</v>
      </c>
      <c r="P40" s="232">
        <v>-40.520000000000003</v>
      </c>
      <c r="Q40" s="35">
        <v>1.2577362991682328E-2</v>
      </c>
      <c r="R40" s="232">
        <v>1535.74</v>
      </c>
      <c r="S40" s="35">
        <v>0.77695697233952288</v>
      </c>
      <c r="T40" s="232">
        <v>26278.68</v>
      </c>
      <c r="U40" s="35">
        <v>1.0871902441670906</v>
      </c>
      <c r="W40" s="35">
        <f t="shared" si="7"/>
        <v>669.38814958411638</v>
      </c>
      <c r="X40" s="35">
        <f t="shared" si="8"/>
        <v>37312.108616976147</v>
      </c>
      <c r="Y40" s="35">
        <f t="shared" si="9"/>
        <v>28080.832208354535</v>
      </c>
      <c r="Z40" s="35">
        <f t="shared" si="10"/>
        <v>0</v>
      </c>
      <c r="AA40" s="35">
        <f t="shared" si="11"/>
        <v>1</v>
      </c>
      <c r="AB40" s="35">
        <f t="shared" si="12"/>
        <v>0</v>
      </c>
      <c r="AD40" s="35">
        <v>13000</v>
      </c>
      <c r="AE40" s="35">
        <v>2.7E-2</v>
      </c>
      <c r="AF40" s="35">
        <v>0.97299999999999998</v>
      </c>
      <c r="AG40" s="35">
        <v>0</v>
      </c>
    </row>
    <row r="41" spans="1:33">
      <c r="A41" s="35">
        <v>30</v>
      </c>
      <c r="B41" s="35">
        <v>3.919365603903749E-4</v>
      </c>
      <c r="C41" s="232">
        <v>60.61</v>
      </c>
      <c r="D41" s="35">
        <v>5.0580125822858042</v>
      </c>
      <c r="E41" s="232">
        <v>34.82</v>
      </c>
      <c r="F41" s="35">
        <v>5.0482479039006742</v>
      </c>
      <c r="G41" s="232">
        <v>11800.52</v>
      </c>
      <c r="H41" s="35">
        <v>8.8058151555383173</v>
      </c>
      <c r="I41" s="232">
        <v>12542.21</v>
      </c>
      <c r="J41" s="35">
        <v>7.5619295872749159</v>
      </c>
      <c r="K41" s="232">
        <v>14451.16</v>
      </c>
      <c r="L41" s="35">
        <v>8.4324823469235568</v>
      </c>
      <c r="M41" s="232">
        <v>40581.01</v>
      </c>
      <c r="N41" s="35">
        <v>7.4116190127783419</v>
      </c>
      <c r="P41" s="232">
        <v>-25.79</v>
      </c>
      <c r="Q41" s="35">
        <v>9.7646783851299546E-3</v>
      </c>
      <c r="R41" s="232">
        <v>741.68</v>
      </c>
      <c r="S41" s="35">
        <v>1.2438855682634014</v>
      </c>
      <c r="T41" s="232">
        <v>26129.85</v>
      </c>
      <c r="U41" s="35">
        <v>1.0208633341452149</v>
      </c>
      <c r="W41" s="35">
        <f t="shared" si="7"/>
        <v>514.02391925649772</v>
      </c>
      <c r="X41" s="35">
        <f t="shared" si="8"/>
        <v>61452.598413170068</v>
      </c>
      <c r="Y41" s="35">
        <f t="shared" si="9"/>
        <v>24913.316707260747</v>
      </c>
      <c r="Z41" s="35">
        <f t="shared" si="10"/>
        <v>0</v>
      </c>
      <c r="AA41" s="35">
        <f t="shared" si="11"/>
        <v>1</v>
      </c>
      <c r="AB41" s="35">
        <f t="shared" si="12"/>
        <v>0</v>
      </c>
      <c r="AD41" s="35">
        <v>14000</v>
      </c>
      <c r="AE41" s="35">
        <v>2.7E-2</v>
      </c>
      <c r="AF41" s="35">
        <v>0.97299999999999998</v>
      </c>
      <c r="AG41" s="35">
        <v>0</v>
      </c>
    </row>
    <row r="42" spans="1:33">
      <c r="A42" s="35">
        <v>31</v>
      </c>
      <c r="B42" s="35">
        <v>4.14413574861637E-4</v>
      </c>
      <c r="C42" s="232">
        <v>71.930000000000007</v>
      </c>
      <c r="D42" s="35">
        <v>5.0613061568672641</v>
      </c>
      <c r="E42" s="232">
        <v>48</v>
      </c>
      <c r="F42" s="35">
        <v>5.0523343617329433</v>
      </c>
      <c r="G42" s="232">
        <v>13331.53</v>
      </c>
      <c r="H42" s="35">
        <v>9.0923649900819612</v>
      </c>
      <c r="I42" s="232">
        <v>14299.73</v>
      </c>
      <c r="J42" s="35">
        <v>8.218403345218956</v>
      </c>
      <c r="K42" s="232">
        <v>19016.12</v>
      </c>
      <c r="L42" s="35">
        <v>8.9668355577968928</v>
      </c>
      <c r="M42" s="232">
        <v>45379.81</v>
      </c>
      <c r="N42" s="35">
        <v>7.8944386704199516</v>
      </c>
      <c r="P42" s="232">
        <v>-23.93</v>
      </c>
      <c r="Q42" s="35">
        <v>8.9717951343208924E-3</v>
      </c>
      <c r="R42" s="232">
        <v>968.2</v>
      </c>
      <c r="S42" s="35">
        <v>0.8739616448630052</v>
      </c>
      <c r="T42" s="232">
        <v>26363.68</v>
      </c>
      <c r="U42" s="35">
        <v>1.0723968873769412</v>
      </c>
      <c r="W42" s="35">
        <f t="shared" si="7"/>
        <v>472.51975671604464</v>
      </c>
      <c r="X42" s="35">
        <f t="shared" si="8"/>
        <v>42729.882243150263</v>
      </c>
      <c r="Y42" s="35">
        <f t="shared" si="9"/>
        <v>27256.164368847058</v>
      </c>
      <c r="Z42" s="35">
        <f t="shared" si="10"/>
        <v>0</v>
      </c>
      <c r="AA42" s="35">
        <f t="shared" si="11"/>
        <v>1</v>
      </c>
      <c r="AB42" s="35">
        <f t="shared" si="12"/>
        <v>0</v>
      </c>
      <c r="AD42" s="35">
        <v>15000</v>
      </c>
      <c r="AE42" s="35">
        <v>2.6499999999999999E-2</v>
      </c>
      <c r="AF42" s="35">
        <v>0.97350000000000003</v>
      </c>
      <c r="AG42" s="35">
        <v>0</v>
      </c>
    </row>
    <row r="43" spans="1:33">
      <c r="A43" s="35">
        <v>32</v>
      </c>
      <c r="B43" s="35">
        <v>4.1329986255156549E-4</v>
      </c>
      <c r="C43" s="232">
        <v>67.650000000000006</v>
      </c>
      <c r="D43" s="35">
        <v>5.0601339182838014</v>
      </c>
      <c r="E43" s="232">
        <v>46.27</v>
      </c>
      <c r="F43" s="35">
        <v>5.0519117369121336</v>
      </c>
      <c r="G43" s="232">
        <v>12543.17</v>
      </c>
      <c r="H43" s="35">
        <v>8.8425032520597036</v>
      </c>
      <c r="I43" s="232">
        <v>13368.03</v>
      </c>
      <c r="J43" s="35">
        <v>7.8236093111189797</v>
      </c>
      <c r="K43" s="232">
        <v>17851.810000000001</v>
      </c>
      <c r="L43" s="35">
        <v>8.7394196947551226</v>
      </c>
      <c r="M43" s="232">
        <v>44233.34</v>
      </c>
      <c r="N43" s="35">
        <v>7.6411392477561444</v>
      </c>
      <c r="P43" s="232">
        <v>-21.38</v>
      </c>
      <c r="Q43" s="35">
        <v>8.2221813716678582E-3</v>
      </c>
      <c r="R43" s="232">
        <v>824.87</v>
      </c>
      <c r="S43" s="35">
        <v>1.0188939409407238</v>
      </c>
      <c r="T43" s="232">
        <v>26381.53</v>
      </c>
      <c r="U43" s="35">
        <v>1.0982804469989782</v>
      </c>
      <c r="W43" s="35">
        <f t="shared" si="7"/>
        <v>432.48906858339291</v>
      </c>
      <c r="X43" s="35">
        <f t="shared" si="8"/>
        <v>50119.827047036189</v>
      </c>
      <c r="Y43" s="35">
        <f t="shared" si="9"/>
        <v>28532.492349948909</v>
      </c>
      <c r="Z43" s="35">
        <f t="shared" si="10"/>
        <v>0</v>
      </c>
      <c r="AA43" s="35">
        <f t="shared" si="11"/>
        <v>1</v>
      </c>
      <c r="AB43" s="35">
        <f t="shared" si="12"/>
        <v>0</v>
      </c>
      <c r="AD43" s="35">
        <v>16000</v>
      </c>
      <c r="AE43" s="35">
        <v>2.5499999999999998E-2</v>
      </c>
      <c r="AF43" s="35">
        <v>0.97450000000000003</v>
      </c>
      <c r="AG43" s="35">
        <v>0</v>
      </c>
    </row>
    <row r="44" spans="1:33">
      <c r="A44" s="35">
        <v>33</v>
      </c>
      <c r="B44" s="35">
        <v>3.5206583911524727E-4</v>
      </c>
      <c r="C44" s="232">
        <v>43.67</v>
      </c>
      <c r="D44" s="35">
        <v>5.056594008425547</v>
      </c>
      <c r="E44" s="232">
        <v>27.38</v>
      </c>
      <c r="F44" s="35">
        <v>5.0480603710425171</v>
      </c>
      <c r="G44" s="232">
        <v>10176.040000000001</v>
      </c>
      <c r="H44" s="35">
        <v>8.7803032008964035</v>
      </c>
      <c r="I44" s="232">
        <v>12087.46</v>
      </c>
      <c r="J44" s="35">
        <v>7.086106520863888</v>
      </c>
      <c r="K44" s="232">
        <v>10303.49</v>
      </c>
      <c r="L44" s="35">
        <v>8.8594662598577809</v>
      </c>
      <c r="M44" s="232">
        <v>36070.019999999997</v>
      </c>
      <c r="N44" s="35">
        <v>7.8613016992798563</v>
      </c>
      <c r="P44" s="232">
        <v>-16.3</v>
      </c>
      <c r="Q44" s="35">
        <v>8.5336373830298129E-3</v>
      </c>
      <c r="R44" s="232">
        <v>1911.42</v>
      </c>
      <c r="S44" s="35">
        <v>1.6941966800325154</v>
      </c>
      <c r="T44" s="232">
        <v>25766.53</v>
      </c>
      <c r="U44" s="35">
        <v>0.99816456057792458</v>
      </c>
      <c r="W44" s="35">
        <f t="shared" si="7"/>
        <v>442.98186915149068</v>
      </c>
      <c r="X44" s="35">
        <f t="shared" si="8"/>
        <v>82798.414001625773</v>
      </c>
      <c r="Y44" s="35">
        <f t="shared" si="9"/>
        <v>24141.69802889623</v>
      </c>
      <c r="Z44" s="35">
        <f t="shared" si="10"/>
        <v>0</v>
      </c>
      <c r="AA44" s="35">
        <f t="shared" si="11"/>
        <v>1</v>
      </c>
      <c r="AB44" s="35">
        <f t="shared" si="12"/>
        <v>0</v>
      </c>
      <c r="AD44" s="35">
        <v>17000</v>
      </c>
      <c r="AE44" s="35">
        <v>2.5000000000000001E-2</v>
      </c>
      <c r="AF44" s="35">
        <v>0.97499999999999998</v>
      </c>
      <c r="AG44" s="35">
        <v>0</v>
      </c>
    </row>
    <row r="45" spans="1:33">
      <c r="A45" s="35">
        <v>34</v>
      </c>
      <c r="B45" s="35">
        <v>3.8990075489349444E-4</v>
      </c>
      <c r="C45" s="232">
        <v>54.47</v>
      </c>
      <c r="D45" s="35">
        <v>5.0583531942044244</v>
      </c>
      <c r="E45" s="232">
        <v>35.6</v>
      </c>
      <c r="F45" s="35">
        <v>5.0498989867025346</v>
      </c>
      <c r="G45" s="232">
        <v>11057.74</v>
      </c>
      <c r="H45" s="35">
        <v>8.4569199468873926</v>
      </c>
      <c r="I45" s="232">
        <v>12844.35</v>
      </c>
      <c r="J45" s="35">
        <v>7.6347457935425256</v>
      </c>
      <c r="K45" s="232">
        <v>12956.64</v>
      </c>
      <c r="L45" s="35">
        <v>9.0204430961377131</v>
      </c>
      <c r="M45" s="232">
        <v>38884.57</v>
      </c>
      <c r="N45" s="35">
        <v>7.8300538900404826</v>
      </c>
      <c r="P45" s="232">
        <v>-18.88</v>
      </c>
      <c r="Q45" s="35">
        <v>8.4542075018898544E-3</v>
      </c>
      <c r="R45" s="232">
        <v>1786.61</v>
      </c>
      <c r="S45" s="35">
        <v>0.82217415334486699</v>
      </c>
      <c r="T45" s="232">
        <v>25927.919999999998</v>
      </c>
      <c r="U45" s="35">
        <v>1.1903892060972305</v>
      </c>
      <c r="W45" s="35">
        <f t="shared" si="7"/>
        <v>441.59037509449274</v>
      </c>
      <c r="X45" s="35">
        <f t="shared" si="8"/>
        <v>39322.097667243346</v>
      </c>
      <c r="Y45" s="35">
        <f t="shared" si="9"/>
        <v>33591.540304861526</v>
      </c>
      <c r="Z45" s="35">
        <f t="shared" si="10"/>
        <v>0</v>
      </c>
      <c r="AA45" s="35">
        <f t="shared" si="11"/>
        <v>1</v>
      </c>
      <c r="AB45" s="35">
        <f t="shared" si="12"/>
        <v>0</v>
      </c>
      <c r="AD45" s="35">
        <v>18000</v>
      </c>
      <c r="AE45" s="35">
        <v>2.4E-2</v>
      </c>
      <c r="AF45" s="35">
        <v>0.97599999999999998</v>
      </c>
      <c r="AG45" s="35">
        <v>0</v>
      </c>
    </row>
    <row r="46" spans="1:33">
      <c r="A46" s="35">
        <v>35</v>
      </c>
      <c r="B46" s="35">
        <v>3.2330511978377006E-4</v>
      </c>
      <c r="C46" s="232">
        <v>71.72</v>
      </c>
      <c r="D46" s="35">
        <v>5.0549156696903124</v>
      </c>
      <c r="E46" s="232">
        <v>41.61</v>
      </c>
      <c r="F46" s="35">
        <v>5.0469136027373462</v>
      </c>
      <c r="G46" s="232">
        <v>16639.689999999999</v>
      </c>
      <c r="H46" s="35">
        <v>8.9475845079139376</v>
      </c>
      <c r="I46" s="232">
        <v>15499.58</v>
      </c>
      <c r="J46" s="35">
        <v>7.7038121715517667</v>
      </c>
      <c r="K46" s="232">
        <v>25327.55</v>
      </c>
      <c r="L46" s="35">
        <v>8.4177805869002409</v>
      </c>
      <c r="M46" s="232">
        <v>52123.06</v>
      </c>
      <c r="N46" s="35">
        <v>7.2956909281872502</v>
      </c>
      <c r="P46" s="232">
        <v>-30.11</v>
      </c>
      <c r="Q46" s="35">
        <v>8.0020669529661248E-3</v>
      </c>
      <c r="R46" s="232">
        <v>-1140.1099999999999</v>
      </c>
      <c r="S46" s="35">
        <v>1.2437723363621709</v>
      </c>
      <c r="T46" s="232">
        <v>26795.51</v>
      </c>
      <c r="U46" s="35">
        <v>1.1220896587129907</v>
      </c>
      <c r="W46" s="35">
        <f t="shared" si="7"/>
        <v>430.21334764830624</v>
      </c>
      <c r="X46" s="35">
        <f t="shared" si="8"/>
        <v>63328.726818108546</v>
      </c>
      <c r="Y46" s="35">
        <f t="shared" si="9"/>
        <v>29308.972935649534</v>
      </c>
      <c r="Z46" s="35">
        <f t="shared" si="10"/>
        <v>0</v>
      </c>
      <c r="AA46" s="35">
        <f t="shared" si="11"/>
        <v>1</v>
      </c>
      <c r="AB46" s="35">
        <f t="shared" si="12"/>
        <v>0</v>
      </c>
      <c r="AD46" s="35">
        <v>19000</v>
      </c>
      <c r="AE46" s="35">
        <v>2.3E-2</v>
      </c>
      <c r="AF46" s="35">
        <v>0.97699999999999998</v>
      </c>
      <c r="AG46" s="35">
        <v>0</v>
      </c>
    </row>
    <row r="47" spans="1:33">
      <c r="A47" s="35">
        <v>36</v>
      </c>
      <c r="B47" s="35">
        <v>4.3609542070082732E-4</v>
      </c>
      <c r="C47" s="232">
        <v>70.52</v>
      </c>
      <c r="D47" s="35">
        <v>5.0595655623375704</v>
      </c>
      <c r="E47" s="232">
        <v>48.46</v>
      </c>
      <c r="F47" s="35">
        <v>5.0516718905167597</v>
      </c>
      <c r="G47" s="232">
        <v>11353.28</v>
      </c>
      <c r="H47" s="35">
        <v>8.2893085111911464</v>
      </c>
      <c r="I47" s="232">
        <v>9929.67</v>
      </c>
      <c r="J47" s="35">
        <v>6.3053924846317368</v>
      </c>
      <c r="K47" s="232">
        <v>17155.150000000001</v>
      </c>
      <c r="L47" s="35">
        <v>8.6603547711197013</v>
      </c>
      <c r="M47" s="232">
        <v>43407.86</v>
      </c>
      <c r="N47" s="35">
        <v>7.5551015799550489</v>
      </c>
      <c r="P47" s="232">
        <v>-22.05</v>
      </c>
      <c r="Q47" s="35">
        <v>7.8936718208106882E-3</v>
      </c>
      <c r="R47" s="232">
        <v>-1423.61</v>
      </c>
      <c r="S47" s="35">
        <v>1.9839160265594096</v>
      </c>
      <c r="T47" s="232">
        <v>26252.720000000001</v>
      </c>
      <c r="U47" s="35">
        <v>1.1052531911646524</v>
      </c>
      <c r="W47" s="35">
        <f t="shared" si="7"/>
        <v>416.73359104053441</v>
      </c>
      <c r="X47" s="35">
        <f t="shared" si="8"/>
        <v>100619.41132797048</v>
      </c>
      <c r="Y47" s="35">
        <f t="shared" si="9"/>
        <v>29009.939558232618</v>
      </c>
      <c r="Z47" s="35">
        <f t="shared" si="10"/>
        <v>0</v>
      </c>
      <c r="AA47" s="35">
        <f t="shared" si="11"/>
        <v>1</v>
      </c>
      <c r="AB47" s="35">
        <f t="shared" si="12"/>
        <v>0</v>
      </c>
      <c r="AD47" s="35">
        <v>20000</v>
      </c>
      <c r="AE47" s="35">
        <v>2.1999999999999999E-2</v>
      </c>
      <c r="AF47" s="35">
        <v>0.97799999999999998</v>
      </c>
      <c r="AG47" s="35">
        <v>0</v>
      </c>
    </row>
    <row r="48" spans="1:33">
      <c r="A48" s="35">
        <v>37</v>
      </c>
      <c r="B48" s="35">
        <v>3.3038857490831901E-4</v>
      </c>
      <c r="C48" s="232">
        <v>66.42</v>
      </c>
      <c r="D48" s="35">
        <v>5.0540892658198393</v>
      </c>
      <c r="E48" s="232">
        <v>37.479999999999997</v>
      </c>
      <c r="F48" s="35">
        <v>5.046152957292338</v>
      </c>
      <c r="G48" s="232">
        <v>14125.9</v>
      </c>
      <c r="H48" s="35">
        <v>8.1621287908348901</v>
      </c>
      <c r="I48" s="232">
        <v>12451.18</v>
      </c>
      <c r="J48" s="35">
        <v>6.4364933245094749</v>
      </c>
      <c r="K48" s="232">
        <v>22298.2</v>
      </c>
      <c r="L48" s="35">
        <v>8.8603634321780991</v>
      </c>
      <c r="M48" s="232">
        <v>48819.64</v>
      </c>
      <c r="N48" s="35">
        <v>7.7478163656323158</v>
      </c>
      <c r="P48" s="232">
        <v>-28.94</v>
      </c>
      <c r="Q48" s="35">
        <v>7.9363085275012679E-3</v>
      </c>
      <c r="R48" s="232">
        <v>-1674.72</v>
      </c>
      <c r="S48" s="35">
        <v>1.7256354663254152</v>
      </c>
      <c r="T48" s="232">
        <v>26521.439999999999</v>
      </c>
      <c r="U48" s="35">
        <v>1.1125470665457833</v>
      </c>
      <c r="W48" s="35">
        <f t="shared" si="7"/>
        <v>425.75542637506339</v>
      </c>
      <c r="X48" s="35">
        <f t="shared" si="8"/>
        <v>87956.49331627076</v>
      </c>
      <c r="Y48" s="35">
        <f t="shared" si="9"/>
        <v>29105.913327289167</v>
      </c>
      <c r="Z48" s="35">
        <f t="shared" si="10"/>
        <v>0</v>
      </c>
      <c r="AA48" s="35">
        <f t="shared" si="11"/>
        <v>1</v>
      </c>
      <c r="AB48" s="35">
        <f t="shared" si="12"/>
        <v>0</v>
      </c>
      <c r="AD48" s="35">
        <v>21000</v>
      </c>
      <c r="AE48" s="35">
        <v>2.1499999999999998E-2</v>
      </c>
      <c r="AF48" s="35">
        <v>0.97850000000000004</v>
      </c>
      <c r="AG48" s="35">
        <v>0</v>
      </c>
    </row>
    <row r="49" spans="1:33">
      <c r="A49" s="35">
        <v>38</v>
      </c>
      <c r="B49" s="35">
        <v>4.7776054952497482E-4</v>
      </c>
      <c r="C49" s="232">
        <v>66.7</v>
      </c>
      <c r="D49" s="35">
        <v>5.0608508285478102</v>
      </c>
      <c r="E49" s="232">
        <v>39.54</v>
      </c>
      <c r="F49" s="35">
        <v>5.0502546250508731</v>
      </c>
      <c r="G49" s="232">
        <v>10947.46</v>
      </c>
      <c r="H49" s="35">
        <v>8.2453122294059451</v>
      </c>
      <c r="I49" s="232">
        <v>12064.41</v>
      </c>
      <c r="J49" s="35">
        <v>7.034664997665077</v>
      </c>
      <c r="K49" s="232">
        <v>14490.03</v>
      </c>
      <c r="L49" s="35">
        <v>8.5708641373540555</v>
      </c>
      <c r="M49" s="232">
        <v>40613.879999999997</v>
      </c>
      <c r="N49" s="35">
        <v>7.5939639901397173</v>
      </c>
      <c r="P49" s="232">
        <v>-27.16</v>
      </c>
      <c r="Q49" s="35">
        <v>1.0596203496937129E-2</v>
      </c>
      <c r="R49" s="232">
        <v>1116.96</v>
      </c>
      <c r="S49" s="35">
        <v>1.2106472317408681</v>
      </c>
      <c r="T49" s="232">
        <v>26123.85</v>
      </c>
      <c r="U49" s="35">
        <v>0.97690014721433815</v>
      </c>
      <c r="W49" s="35">
        <f t="shared" si="7"/>
        <v>556.97017484685637</v>
      </c>
      <c r="X49" s="35">
        <f t="shared" si="8"/>
        <v>59415.401587043401</v>
      </c>
      <c r="Y49" s="35">
        <f t="shared" si="9"/>
        <v>22721.157360716912</v>
      </c>
      <c r="Z49" s="35">
        <f t="shared" si="10"/>
        <v>0</v>
      </c>
      <c r="AA49" s="35">
        <f t="shared" si="11"/>
        <v>1</v>
      </c>
      <c r="AB49" s="35">
        <f t="shared" si="12"/>
        <v>0</v>
      </c>
      <c r="AD49" s="35">
        <v>22000</v>
      </c>
      <c r="AE49" s="35">
        <v>2.1499999999999998E-2</v>
      </c>
      <c r="AF49" s="35">
        <v>0.97850000000000004</v>
      </c>
      <c r="AG49" s="35">
        <v>0</v>
      </c>
    </row>
    <row r="50" spans="1:33">
      <c r="A50" s="35">
        <v>39</v>
      </c>
      <c r="B50" s="35">
        <v>4.9963634020588898E-4</v>
      </c>
      <c r="C50" s="232">
        <v>94</v>
      </c>
      <c r="D50" s="35">
        <v>5.0637381805031403</v>
      </c>
      <c r="E50" s="232">
        <v>60.73</v>
      </c>
      <c r="F50" s="35">
        <v>5.0535938759777421</v>
      </c>
      <c r="G50" s="232">
        <v>14697.77</v>
      </c>
      <c r="H50" s="35">
        <v>8.8640555294863894</v>
      </c>
      <c r="I50" s="232">
        <v>15944.8</v>
      </c>
      <c r="J50" s="35">
        <v>8.1269674174369761</v>
      </c>
      <c r="K50" s="232">
        <v>18750.95</v>
      </c>
      <c r="L50" s="35">
        <v>8.2326781178938937</v>
      </c>
      <c r="M50" s="232">
        <v>44974.29</v>
      </c>
      <c r="N50" s="35">
        <v>7.1919028783849717</v>
      </c>
      <c r="P50" s="232">
        <v>-33.270000000000003</v>
      </c>
      <c r="Q50" s="35">
        <v>1.0144304525398162E-2</v>
      </c>
      <c r="R50" s="232">
        <v>1247.02</v>
      </c>
      <c r="S50" s="35">
        <v>0.73708811204941327</v>
      </c>
      <c r="T50" s="232">
        <v>26223.34</v>
      </c>
      <c r="U50" s="35">
        <v>1.040775239508922</v>
      </c>
      <c r="W50" s="35">
        <f t="shared" si="7"/>
        <v>540.48522626990814</v>
      </c>
      <c r="X50" s="35">
        <f t="shared" si="8"/>
        <v>35607.385602470669</v>
      </c>
      <c r="Y50" s="35">
        <f t="shared" si="9"/>
        <v>25815.421975446105</v>
      </c>
      <c r="Z50" s="35">
        <f t="shared" si="10"/>
        <v>0</v>
      </c>
      <c r="AA50" s="35">
        <f t="shared" si="11"/>
        <v>1</v>
      </c>
      <c r="AB50" s="35">
        <f t="shared" si="12"/>
        <v>0</v>
      </c>
      <c r="AD50" s="35">
        <v>23000</v>
      </c>
      <c r="AE50" s="35">
        <v>1.8499999999999999E-2</v>
      </c>
      <c r="AF50" s="35">
        <v>0.97899999999999998</v>
      </c>
      <c r="AG50" s="35">
        <v>2.5000000000000001E-3</v>
      </c>
    </row>
    <row r="51" spans="1:33">
      <c r="A51" s="35">
        <v>40</v>
      </c>
      <c r="B51" s="35">
        <v>5.8425091344993518E-4</v>
      </c>
      <c r="C51" s="232">
        <v>72.75</v>
      </c>
      <c r="D51" s="35">
        <v>5.0676824522684729</v>
      </c>
      <c r="E51" s="232">
        <v>44.66</v>
      </c>
      <c r="F51" s="35">
        <v>5.0546914196376926</v>
      </c>
      <c r="G51" s="232">
        <v>10221.01</v>
      </c>
      <c r="H51" s="35">
        <v>8.5391721910602882</v>
      </c>
      <c r="I51" s="232">
        <v>12120.22</v>
      </c>
      <c r="J51" s="35">
        <v>7.6383681799696088</v>
      </c>
      <c r="K51" s="232">
        <v>11639.97</v>
      </c>
      <c r="L51" s="35">
        <v>8.6385581194334708</v>
      </c>
      <c r="M51" s="232">
        <v>37413.589999999997</v>
      </c>
      <c r="N51" s="35">
        <v>7.5069843223771509</v>
      </c>
      <c r="P51" s="232">
        <v>-28.09</v>
      </c>
      <c r="Q51" s="35">
        <v>1.2991032630780275E-2</v>
      </c>
      <c r="R51" s="232">
        <v>1899.21</v>
      </c>
      <c r="S51" s="35">
        <v>0.90080401109067942</v>
      </c>
      <c r="T51" s="232">
        <v>25773.62</v>
      </c>
      <c r="U51" s="35">
        <v>1.13157379705632</v>
      </c>
      <c r="W51" s="35">
        <f t="shared" si="7"/>
        <v>677.64163153901382</v>
      </c>
      <c r="X51" s="35">
        <f t="shared" si="8"/>
        <v>43140.990554533972</v>
      </c>
      <c r="Y51" s="35">
        <f t="shared" si="9"/>
        <v>30805.069852816003</v>
      </c>
      <c r="Z51" s="35">
        <f t="shared" si="10"/>
        <v>0</v>
      </c>
      <c r="AA51" s="35">
        <f t="shared" si="11"/>
        <v>1</v>
      </c>
      <c r="AB51" s="35">
        <f t="shared" si="12"/>
        <v>0</v>
      </c>
      <c r="AD51" s="35">
        <v>24000</v>
      </c>
      <c r="AE51" s="35">
        <v>7.4999999999999997E-3</v>
      </c>
      <c r="AF51" s="35">
        <v>0.97750000000000004</v>
      </c>
      <c r="AG51" s="35">
        <v>1.4999999999999999E-2</v>
      </c>
    </row>
    <row r="52" spans="1:33">
      <c r="A52" s="35">
        <v>41</v>
      </c>
      <c r="B52" s="35">
        <v>5.0067973321243908E-4</v>
      </c>
      <c r="C52" s="232">
        <v>76.319999999999993</v>
      </c>
      <c r="D52" s="35">
        <v>5.0663935748985018</v>
      </c>
      <c r="E52" s="232">
        <v>51.09</v>
      </c>
      <c r="F52" s="35">
        <v>5.0556154011318393</v>
      </c>
      <c r="G52" s="232">
        <v>11652.41</v>
      </c>
      <c r="H52" s="35">
        <v>9.306110145733399</v>
      </c>
      <c r="I52" s="232">
        <v>11921.89</v>
      </c>
      <c r="J52" s="35">
        <v>7.8066072529053638</v>
      </c>
      <c r="K52" s="232">
        <v>15683.15</v>
      </c>
      <c r="L52" s="35">
        <v>8.6245246037078847</v>
      </c>
      <c r="M52" s="232">
        <v>41952.41</v>
      </c>
      <c r="N52" s="35">
        <v>7.5121287808545434</v>
      </c>
      <c r="P52" s="232">
        <v>-25.23</v>
      </c>
      <c r="Q52" s="35">
        <v>1.0778173766662569E-2</v>
      </c>
      <c r="R52" s="232">
        <v>269.48</v>
      </c>
      <c r="S52" s="35">
        <v>1.4995028928280352</v>
      </c>
      <c r="T52" s="232">
        <v>26269.26</v>
      </c>
      <c r="U52" s="35">
        <v>1.1123958228533413</v>
      </c>
      <c r="W52" s="35">
        <f t="shared" si="7"/>
        <v>564.13868833312847</v>
      </c>
      <c r="X52" s="35">
        <f t="shared" si="8"/>
        <v>74705.66464140176</v>
      </c>
      <c r="Y52" s="35">
        <f t="shared" si="9"/>
        <v>29350.531142667063</v>
      </c>
      <c r="Z52" s="35">
        <f t="shared" si="10"/>
        <v>0</v>
      </c>
      <c r="AA52" s="35">
        <f t="shared" si="11"/>
        <v>1</v>
      </c>
      <c r="AB52" s="35">
        <f t="shared" si="12"/>
        <v>0</v>
      </c>
      <c r="AD52" s="35">
        <v>25000</v>
      </c>
      <c r="AE52" s="35">
        <v>3.5000000000000001E-3</v>
      </c>
      <c r="AF52" s="35">
        <v>0.97599999999999998</v>
      </c>
      <c r="AG52" s="35">
        <v>2.0500000000000001E-2</v>
      </c>
    </row>
    <row r="53" spans="1:33">
      <c r="A53" s="35">
        <v>42</v>
      </c>
      <c r="B53" s="35">
        <v>3.6429052472214933E-4</v>
      </c>
      <c r="C53" s="232">
        <v>66.239999999999995</v>
      </c>
      <c r="D53" s="35">
        <v>5.0546658167877476</v>
      </c>
      <c r="E53" s="232">
        <v>41.98</v>
      </c>
      <c r="F53" s="35">
        <v>5.0476069556586749</v>
      </c>
      <c r="G53" s="232">
        <v>13797.54</v>
      </c>
      <c r="H53" s="35">
        <v>7.9379789774457379</v>
      </c>
      <c r="I53" s="232">
        <v>14883.73</v>
      </c>
      <c r="J53" s="35">
        <v>7.0539270134164305</v>
      </c>
      <c r="K53" s="232">
        <v>18454.75</v>
      </c>
      <c r="L53" s="35">
        <v>8.4629070562427309</v>
      </c>
      <c r="M53" s="232">
        <v>44700.26</v>
      </c>
      <c r="N53" s="35">
        <v>7.4614804907135506</v>
      </c>
      <c r="P53" s="232">
        <v>-24.26</v>
      </c>
      <c r="Q53" s="35">
        <v>7.0588611290727243E-3</v>
      </c>
      <c r="R53" s="232">
        <v>1086.18</v>
      </c>
      <c r="S53" s="35">
        <v>0.88405196402930741</v>
      </c>
      <c r="T53" s="232">
        <v>26245.51</v>
      </c>
      <c r="U53" s="35">
        <v>1.0014265655291803</v>
      </c>
      <c r="W53" s="35">
        <f t="shared" si="7"/>
        <v>377.20305645363624</v>
      </c>
      <c r="X53" s="35">
        <f t="shared" si="8"/>
        <v>43116.418201465371</v>
      </c>
      <c r="Y53" s="35">
        <f t="shared" si="9"/>
        <v>23825.81827645902</v>
      </c>
      <c r="Z53" s="35">
        <f t="shared" si="10"/>
        <v>0</v>
      </c>
      <c r="AA53" s="35">
        <f t="shared" si="11"/>
        <v>1</v>
      </c>
      <c r="AB53" s="35">
        <f t="shared" si="12"/>
        <v>0</v>
      </c>
      <c r="AD53" s="35">
        <v>30000</v>
      </c>
      <c r="AE53" s="35">
        <v>0</v>
      </c>
      <c r="AF53" s="35">
        <v>0.95650000000000002</v>
      </c>
      <c r="AG53" s="35">
        <v>4.3499999999999997E-2</v>
      </c>
    </row>
    <row r="54" spans="1:33">
      <c r="A54" s="35">
        <v>43</v>
      </c>
      <c r="B54" s="35">
        <v>5.9442041825719105E-4</v>
      </c>
      <c r="C54" s="232">
        <v>102.56</v>
      </c>
      <c r="D54" s="35">
        <v>5.0709373378931986</v>
      </c>
      <c r="E54" s="232">
        <v>56.3</v>
      </c>
      <c r="F54" s="35">
        <v>5.054864254618372</v>
      </c>
      <c r="G54" s="232">
        <v>13685.29</v>
      </c>
      <c r="H54" s="35">
        <v>9.1197434517687448</v>
      </c>
      <c r="I54" s="232">
        <v>14439.65</v>
      </c>
      <c r="J54" s="35">
        <v>7.5995113684770974</v>
      </c>
      <c r="K54" s="232">
        <v>16848.8</v>
      </c>
      <c r="L54" s="35">
        <v>8.9642370716452486</v>
      </c>
      <c r="M54" s="232">
        <v>43077.18</v>
      </c>
      <c r="N54" s="35">
        <v>7.8574028053192491</v>
      </c>
      <c r="P54" s="232">
        <v>-46.26</v>
      </c>
      <c r="Q54" s="35">
        <v>1.6073083274826594E-2</v>
      </c>
      <c r="R54" s="232">
        <v>754.37</v>
      </c>
      <c r="S54" s="35">
        <v>1.5202320832916474</v>
      </c>
      <c r="T54" s="232">
        <v>26228.38</v>
      </c>
      <c r="U54" s="35">
        <v>1.1068342663259996</v>
      </c>
      <c r="W54" s="35">
        <f t="shared" si="7"/>
        <v>849.91416374132973</v>
      </c>
      <c r="X54" s="35">
        <f t="shared" si="8"/>
        <v>75257.234164582376</v>
      </c>
      <c r="Y54" s="35">
        <f t="shared" si="9"/>
        <v>29113.333316299981</v>
      </c>
      <c r="Z54" s="35">
        <f t="shared" si="10"/>
        <v>0</v>
      </c>
      <c r="AA54" s="35">
        <f t="shared" si="11"/>
        <v>1</v>
      </c>
      <c r="AB54" s="35">
        <f t="shared" si="12"/>
        <v>0</v>
      </c>
      <c r="AD54" s="35">
        <v>35000</v>
      </c>
      <c r="AE54" s="35">
        <v>0</v>
      </c>
      <c r="AF54" s="35">
        <v>0.93600000000000005</v>
      </c>
      <c r="AG54" s="35">
        <v>6.4000000000000001E-2</v>
      </c>
    </row>
    <row r="55" spans="1:33">
      <c r="A55" s="35">
        <v>44</v>
      </c>
      <c r="B55" s="35">
        <v>4.7168161831501187E-4</v>
      </c>
      <c r="C55" s="232">
        <v>109.94</v>
      </c>
      <c r="D55" s="35">
        <v>5.0630661094101317</v>
      </c>
      <c r="E55" s="232">
        <v>67.38</v>
      </c>
      <c r="F55" s="35">
        <v>5.0524925782144861</v>
      </c>
      <c r="G55" s="232">
        <v>17697.509999999998</v>
      </c>
      <c r="H55" s="35">
        <v>8.8491699712299372</v>
      </c>
      <c r="I55" s="232">
        <v>17472.47</v>
      </c>
      <c r="J55" s="35">
        <v>7.6338274098325956</v>
      </c>
      <c r="K55" s="232">
        <v>24742.21</v>
      </c>
      <c r="L55" s="35">
        <v>8.6593231069696213</v>
      </c>
      <c r="M55" s="232">
        <v>51481.36</v>
      </c>
      <c r="N55" s="35">
        <v>7.5098942989551407</v>
      </c>
      <c r="P55" s="232">
        <v>-42.56</v>
      </c>
      <c r="Q55" s="35">
        <v>1.0573531195645636E-2</v>
      </c>
      <c r="R55" s="232">
        <v>-225.04</v>
      </c>
      <c r="S55" s="35">
        <v>1.2153425613973416</v>
      </c>
      <c r="T55" s="232">
        <v>26739.15</v>
      </c>
      <c r="U55" s="35">
        <v>1.1494288080144806</v>
      </c>
      <c r="W55" s="35">
        <f t="shared" si="7"/>
        <v>571.2365597822818</v>
      </c>
      <c r="X55" s="35">
        <f t="shared" si="8"/>
        <v>60992.168069867083</v>
      </c>
      <c r="Y55" s="35">
        <f t="shared" si="9"/>
        <v>30732.290400724029</v>
      </c>
      <c r="Z55" s="35">
        <f t="shared" si="10"/>
        <v>0</v>
      </c>
      <c r="AA55" s="35">
        <f t="shared" si="11"/>
        <v>1</v>
      </c>
      <c r="AB55" s="35">
        <f t="shared" si="12"/>
        <v>0</v>
      </c>
      <c r="AD55" s="35">
        <v>40000</v>
      </c>
      <c r="AE55" s="35">
        <v>0</v>
      </c>
      <c r="AF55" s="35">
        <v>0.91649999999999998</v>
      </c>
      <c r="AG55" s="35">
        <v>8.3500000000000005E-2</v>
      </c>
    </row>
    <row r="56" spans="1:33">
      <c r="A56" s="35">
        <v>45</v>
      </c>
      <c r="B56" s="35">
        <v>4.9682548892793221E-4</v>
      </c>
      <c r="C56" s="232">
        <v>82.2</v>
      </c>
      <c r="D56" s="35">
        <v>5.0643656090015643</v>
      </c>
      <c r="E56" s="232">
        <v>43.23</v>
      </c>
      <c r="F56" s="35">
        <v>5.0506491440939305</v>
      </c>
      <c r="G56" s="232">
        <v>12714.16</v>
      </c>
      <c r="H56" s="35">
        <v>9.04289465155572</v>
      </c>
      <c r="I56" s="232">
        <v>13179.29</v>
      </c>
      <c r="J56" s="35">
        <v>7.9932147615742331</v>
      </c>
      <c r="K56" s="232">
        <v>17807.11</v>
      </c>
      <c r="L56" s="35">
        <v>8.6544080208835581</v>
      </c>
      <c r="M56" s="232">
        <v>44022.18</v>
      </c>
      <c r="N56" s="35">
        <v>7.6701277398516847</v>
      </c>
      <c r="P56" s="232">
        <v>-38.97</v>
      </c>
      <c r="Q56" s="35">
        <v>1.3716464907633785E-2</v>
      </c>
      <c r="R56" s="232">
        <v>465.13</v>
      </c>
      <c r="S56" s="35">
        <v>1.049679889981487</v>
      </c>
      <c r="T56" s="232">
        <v>26215.07</v>
      </c>
      <c r="U56" s="35">
        <v>0.98428028103187337</v>
      </c>
      <c r="W56" s="35">
        <f t="shared" si="7"/>
        <v>724.7932453816893</v>
      </c>
      <c r="X56" s="35">
        <f t="shared" si="8"/>
        <v>52018.864499074349</v>
      </c>
      <c r="Y56" s="35">
        <f t="shared" si="9"/>
        <v>22998.944051593666</v>
      </c>
      <c r="Z56" s="35">
        <f t="shared" si="10"/>
        <v>0</v>
      </c>
      <c r="AA56" s="35">
        <f t="shared" si="11"/>
        <v>1</v>
      </c>
      <c r="AB56" s="35">
        <f t="shared" si="12"/>
        <v>0</v>
      </c>
      <c r="AD56" s="35">
        <v>45000</v>
      </c>
      <c r="AE56" s="35">
        <v>0</v>
      </c>
      <c r="AF56" s="35">
        <v>0.89200000000000002</v>
      </c>
      <c r="AG56" s="35">
        <v>0.108</v>
      </c>
    </row>
    <row r="57" spans="1:33">
      <c r="A57" s="35">
        <v>46</v>
      </c>
      <c r="B57" s="35">
        <v>5.2322763538703576E-4</v>
      </c>
      <c r="C57" s="232">
        <v>53.62</v>
      </c>
      <c r="D57" s="35">
        <v>5.0645166463335665</v>
      </c>
      <c r="E57" s="232">
        <v>32.36</v>
      </c>
      <c r="F57" s="35">
        <v>5.0521560048497562</v>
      </c>
      <c r="G57" s="232">
        <v>7760.96</v>
      </c>
      <c r="H57" s="35">
        <v>8.5876769256479459</v>
      </c>
      <c r="I57" s="232">
        <v>8971.1299999999992</v>
      </c>
      <c r="J57" s="35">
        <v>7.0035368258564441</v>
      </c>
      <c r="K57" s="232">
        <v>8686.26</v>
      </c>
      <c r="L57" s="35">
        <v>8.6259090494991284</v>
      </c>
      <c r="M57" s="232">
        <v>34318.19</v>
      </c>
      <c r="N57" s="35">
        <v>7.5370230529263065</v>
      </c>
      <c r="P57" s="232">
        <v>-21.26</v>
      </c>
      <c r="Q57" s="35">
        <v>1.236064148381022E-2</v>
      </c>
      <c r="R57" s="232">
        <v>1210.17</v>
      </c>
      <c r="S57" s="35">
        <v>1.5841400997915018</v>
      </c>
      <c r="T57" s="232">
        <v>25631.94</v>
      </c>
      <c r="U57" s="35">
        <v>1.0888859965728219</v>
      </c>
      <c r="W57" s="35">
        <f t="shared" si="7"/>
        <v>639.29207419051102</v>
      </c>
      <c r="X57" s="35">
        <f t="shared" si="8"/>
        <v>77996.834989575087</v>
      </c>
      <c r="Y57" s="35">
        <f t="shared" si="9"/>
        <v>28812.359828641096</v>
      </c>
      <c r="Z57" s="35">
        <f t="shared" si="10"/>
        <v>0</v>
      </c>
      <c r="AA57" s="35">
        <f t="shared" si="11"/>
        <v>1</v>
      </c>
      <c r="AB57" s="35">
        <f t="shared" si="12"/>
        <v>0</v>
      </c>
      <c r="AD57" s="35">
        <v>50000</v>
      </c>
      <c r="AE57" s="35">
        <v>0</v>
      </c>
      <c r="AF57" s="35">
        <v>0.875</v>
      </c>
      <c r="AG57" s="35">
        <v>0.125</v>
      </c>
    </row>
    <row r="58" spans="1:33">
      <c r="A58" s="35">
        <v>47</v>
      </c>
      <c r="B58" s="35">
        <v>5.9706701075823432E-4</v>
      </c>
      <c r="C58" s="232">
        <v>101.33</v>
      </c>
      <c r="D58" s="35">
        <v>5.0727353638438109</v>
      </c>
      <c r="E58" s="232">
        <v>59.02</v>
      </c>
      <c r="F58" s="35">
        <v>5.0569387700959298</v>
      </c>
      <c r="G58" s="232">
        <v>13597.64</v>
      </c>
      <c r="H58" s="35">
        <v>9.4622290432100691</v>
      </c>
      <c r="I58" s="232">
        <v>14922.8</v>
      </c>
      <c r="J58" s="35">
        <v>8.2244541279143242</v>
      </c>
      <c r="K58" s="232">
        <v>15710.19</v>
      </c>
      <c r="L58" s="35">
        <v>8.9590192460880171</v>
      </c>
      <c r="M58" s="232">
        <v>41904.85</v>
      </c>
      <c r="N58" s="35">
        <v>7.8833424609166372</v>
      </c>
      <c r="P58" s="232">
        <v>-42.31</v>
      </c>
      <c r="Q58" s="35">
        <v>1.5796593747881005E-2</v>
      </c>
      <c r="R58" s="232">
        <v>1325.16</v>
      </c>
      <c r="S58" s="35">
        <v>1.2377749152957449</v>
      </c>
      <c r="T58" s="232">
        <v>26194.66</v>
      </c>
      <c r="U58" s="35">
        <v>1.07567678517138</v>
      </c>
      <c r="W58" s="35">
        <f t="shared" si="7"/>
        <v>832.13968739405027</v>
      </c>
      <c r="X58" s="35">
        <f t="shared" si="8"/>
        <v>60563.58576478724</v>
      </c>
      <c r="Y58" s="35">
        <f t="shared" si="9"/>
        <v>27589.179258569002</v>
      </c>
      <c r="Z58" s="35">
        <f t="shared" si="10"/>
        <v>0</v>
      </c>
      <c r="AA58" s="35">
        <f t="shared" si="11"/>
        <v>1</v>
      </c>
      <c r="AB58" s="35">
        <f t="shared" si="12"/>
        <v>0</v>
      </c>
    </row>
    <row r="59" spans="1:33">
      <c r="A59" s="35">
        <v>48</v>
      </c>
      <c r="B59" s="35">
        <v>4.7605278118378891E-4</v>
      </c>
      <c r="C59" s="232">
        <v>82.26</v>
      </c>
      <c r="D59" s="35">
        <v>5.0639230307549026</v>
      </c>
      <c r="E59" s="232">
        <v>55.64</v>
      </c>
      <c r="F59" s="35">
        <v>5.0543503353419643</v>
      </c>
      <c r="G59" s="232">
        <v>13123.37</v>
      </c>
      <c r="H59" s="35">
        <v>8.8698914431404212</v>
      </c>
      <c r="I59" s="232">
        <v>13441.64</v>
      </c>
      <c r="J59" s="35">
        <v>7.5086780895638361</v>
      </c>
      <c r="K59" s="232">
        <v>18087.66</v>
      </c>
      <c r="L59" s="35">
        <v>8.8777846979836408</v>
      </c>
      <c r="M59" s="232">
        <v>44373.99</v>
      </c>
      <c r="N59" s="35">
        <v>7.7485579647038314</v>
      </c>
      <c r="P59" s="232">
        <v>-26.62</v>
      </c>
      <c r="Q59" s="35">
        <v>9.5726954129382591E-3</v>
      </c>
      <c r="R59" s="232">
        <v>318.27999999999997</v>
      </c>
      <c r="S59" s="35">
        <v>1.3612133535765851</v>
      </c>
      <c r="T59" s="232">
        <v>26286.32</v>
      </c>
      <c r="U59" s="35">
        <v>1.1292267332798094</v>
      </c>
      <c r="W59" s="35">
        <f t="shared" si="7"/>
        <v>505.25477064691296</v>
      </c>
      <c r="X59" s="35">
        <f t="shared" si="8"/>
        <v>67742.387678829255</v>
      </c>
      <c r="Y59" s="35">
        <f t="shared" si="9"/>
        <v>30175.016663990471</v>
      </c>
      <c r="Z59" s="35">
        <f t="shared" si="10"/>
        <v>0</v>
      </c>
      <c r="AA59" s="35">
        <f t="shared" si="11"/>
        <v>1</v>
      </c>
      <c r="AB59" s="35">
        <f t="shared" si="12"/>
        <v>0</v>
      </c>
    </row>
    <row r="60" spans="1:33">
      <c r="A60" s="35">
        <v>49</v>
      </c>
      <c r="B60" s="35">
        <v>3.7274671004312491E-4</v>
      </c>
      <c r="C60" s="232">
        <v>69.22</v>
      </c>
      <c r="D60" s="35">
        <v>5.0564020978081006</v>
      </c>
      <c r="E60" s="232">
        <v>42.68</v>
      </c>
      <c r="F60" s="35">
        <v>5.0483387824397683</v>
      </c>
      <c r="G60" s="232">
        <v>13635.85</v>
      </c>
      <c r="H60" s="35">
        <v>8.5390166401873913</v>
      </c>
      <c r="I60" s="232">
        <v>12287.58</v>
      </c>
      <c r="J60" s="35">
        <v>6.9759834385160113</v>
      </c>
      <c r="K60" s="232">
        <v>21084.58</v>
      </c>
      <c r="L60" s="35">
        <v>8.3065062056902832</v>
      </c>
      <c r="M60" s="232">
        <v>47480.19</v>
      </c>
      <c r="N60" s="35">
        <v>7.1903667992064149</v>
      </c>
      <c r="P60" s="232">
        <v>-26.54</v>
      </c>
      <c r="Q60" s="35">
        <v>8.0633153683322689E-3</v>
      </c>
      <c r="R60" s="232">
        <v>-1348.28</v>
      </c>
      <c r="S60" s="35">
        <v>1.5630332016713799</v>
      </c>
      <c r="T60" s="232">
        <v>26395.599999999999</v>
      </c>
      <c r="U60" s="35">
        <v>1.1161394064838683</v>
      </c>
      <c r="W60" s="35">
        <f t="shared" si="7"/>
        <v>429.70576841661347</v>
      </c>
      <c r="X60" s="35">
        <f t="shared" si="8"/>
        <v>79499.940083568988</v>
      </c>
      <c r="Y60" s="35">
        <f t="shared" si="9"/>
        <v>29411.37032419342</v>
      </c>
      <c r="Z60" s="35">
        <f t="shared" si="10"/>
        <v>0</v>
      </c>
      <c r="AA60" s="35">
        <f t="shared" si="11"/>
        <v>1</v>
      </c>
      <c r="AB60" s="35">
        <f t="shared" si="12"/>
        <v>0</v>
      </c>
    </row>
    <row r="61" spans="1:33">
      <c r="A61" s="35">
        <v>50</v>
      </c>
      <c r="B61" s="35">
        <v>3.7601885506648836E-4</v>
      </c>
      <c r="C61" s="232">
        <v>51.84</v>
      </c>
      <c r="D61" s="35">
        <v>5.0547776951078971</v>
      </c>
      <c r="E61" s="232">
        <v>32.03</v>
      </c>
      <c r="F61" s="35">
        <v>5.0471451837679187</v>
      </c>
      <c r="G61" s="232">
        <v>10077.58</v>
      </c>
      <c r="H61" s="35">
        <v>7.7658200680695844</v>
      </c>
      <c r="I61" s="232">
        <v>10509.94</v>
      </c>
      <c r="J61" s="35">
        <v>6.4620680869944138</v>
      </c>
      <c r="K61" s="232">
        <v>15350.46</v>
      </c>
      <c r="L61" s="35">
        <v>8.4471561508139459</v>
      </c>
      <c r="M61" s="232">
        <v>41349.93</v>
      </c>
      <c r="N61" s="35">
        <v>7.3872582381716256</v>
      </c>
      <c r="P61" s="232">
        <v>-19.809999999999999</v>
      </c>
      <c r="Q61" s="35">
        <v>7.6325113399784428E-3</v>
      </c>
      <c r="R61" s="232">
        <v>432.36</v>
      </c>
      <c r="S61" s="35">
        <v>1.3037519810751705</v>
      </c>
      <c r="T61" s="232">
        <v>25999.47</v>
      </c>
      <c r="U61" s="35">
        <v>1.0598979126423203</v>
      </c>
      <c r="W61" s="35">
        <f t="shared" si="7"/>
        <v>401.43556699892213</v>
      </c>
      <c r="X61" s="35">
        <f t="shared" si="8"/>
        <v>64755.239053758523</v>
      </c>
      <c r="Y61" s="35">
        <f t="shared" si="9"/>
        <v>26995.425632116014</v>
      </c>
      <c r="Z61" s="35">
        <f t="shared" si="10"/>
        <v>0</v>
      </c>
      <c r="AA61" s="35">
        <f t="shared" si="11"/>
        <v>1</v>
      </c>
      <c r="AB61" s="35">
        <f t="shared" si="12"/>
        <v>0</v>
      </c>
    </row>
    <row r="62" spans="1:33">
      <c r="A62" s="35">
        <v>51</v>
      </c>
      <c r="B62" s="35">
        <v>4.3666415493690827E-4</v>
      </c>
      <c r="C62" s="232">
        <v>66.290000000000006</v>
      </c>
      <c r="D62" s="35">
        <v>5.0592101631127147</v>
      </c>
      <c r="E62" s="232">
        <v>42.47</v>
      </c>
      <c r="F62" s="35">
        <v>5.0503826112089447</v>
      </c>
      <c r="G62" s="232">
        <v>11930.89</v>
      </c>
      <c r="H62" s="35">
        <v>8.4578036679424979</v>
      </c>
      <c r="I62" s="232">
        <v>13620.89</v>
      </c>
      <c r="J62" s="35">
        <v>7.8361951691350633</v>
      </c>
      <c r="K62" s="232">
        <v>14532.68</v>
      </c>
      <c r="L62" s="35">
        <v>8.3748546431277529</v>
      </c>
      <c r="M62" s="232">
        <v>40577.26</v>
      </c>
      <c r="N62" s="35">
        <v>7.4074245459089205</v>
      </c>
      <c r="P62" s="232">
        <v>-23.82</v>
      </c>
      <c r="Q62" s="35">
        <v>8.8275519037699368E-3</v>
      </c>
      <c r="R62" s="232">
        <v>1690</v>
      </c>
      <c r="S62" s="35">
        <v>0.62160849880743463</v>
      </c>
      <c r="T62" s="232">
        <v>26044.58</v>
      </c>
      <c r="U62" s="35">
        <v>0.96743009721883233</v>
      </c>
      <c r="W62" s="35">
        <f t="shared" si="7"/>
        <v>465.19759518849685</v>
      </c>
      <c r="X62" s="35">
        <f t="shared" si="8"/>
        <v>29390.424940371733</v>
      </c>
      <c r="Y62" s="35">
        <f t="shared" si="9"/>
        <v>22326.924860941617</v>
      </c>
      <c r="Z62" s="35">
        <f t="shared" si="10"/>
        <v>0</v>
      </c>
      <c r="AA62" s="35">
        <f t="shared" si="11"/>
        <v>1</v>
      </c>
      <c r="AB62" s="35">
        <f t="shared" si="12"/>
        <v>0</v>
      </c>
    </row>
    <row r="63" spans="1:33">
      <c r="A63" s="35">
        <v>52</v>
      </c>
      <c r="B63" s="35">
        <v>3.5577381613756062E-4</v>
      </c>
      <c r="C63" s="232">
        <v>40.69</v>
      </c>
      <c r="D63" s="35">
        <v>5.0563531820177943</v>
      </c>
      <c r="E63" s="232">
        <v>27.39</v>
      </c>
      <c r="F63" s="35">
        <v>5.048668015928536</v>
      </c>
      <c r="G63" s="232">
        <v>8596.9699999999993</v>
      </c>
      <c r="H63" s="35">
        <v>8.7333963511790706</v>
      </c>
      <c r="I63" s="232">
        <v>9794.86</v>
      </c>
      <c r="J63" s="35">
        <v>7.4238855361890019</v>
      </c>
      <c r="K63" s="232">
        <v>9972.42</v>
      </c>
      <c r="L63" s="35">
        <v>8.5470228090802021</v>
      </c>
      <c r="M63" s="232">
        <v>35763.949999999997</v>
      </c>
      <c r="N63" s="35">
        <v>7.4202895162112172</v>
      </c>
      <c r="P63" s="232">
        <v>-13.31</v>
      </c>
      <c r="Q63" s="35">
        <v>7.6851660892582885E-3</v>
      </c>
      <c r="R63" s="232">
        <v>1197.8800000000001</v>
      </c>
      <c r="S63" s="35">
        <v>1.3095108149900687</v>
      </c>
      <c r="T63" s="232">
        <v>25791.53</v>
      </c>
      <c r="U63" s="35">
        <v>1.1267332928689848</v>
      </c>
      <c r="W63" s="35">
        <f t="shared" si="7"/>
        <v>397.56830446291445</v>
      </c>
      <c r="X63" s="35">
        <f t="shared" si="8"/>
        <v>64277.66074950344</v>
      </c>
      <c r="Y63" s="35">
        <f t="shared" si="9"/>
        <v>30545.134643449244</v>
      </c>
      <c r="Z63" s="35">
        <f t="shared" si="10"/>
        <v>0</v>
      </c>
      <c r="AA63" s="35">
        <f t="shared" si="11"/>
        <v>1</v>
      </c>
      <c r="AB63" s="35">
        <f t="shared" si="12"/>
        <v>0</v>
      </c>
    </row>
    <row r="64" spans="1:33">
      <c r="A64" s="35">
        <v>53</v>
      </c>
      <c r="B64" s="35">
        <v>5.3033517775669115E-4</v>
      </c>
      <c r="C64" s="232">
        <v>59.85</v>
      </c>
      <c r="D64" s="35">
        <v>5.063215120993191</v>
      </c>
      <c r="E64" s="232">
        <v>42.35</v>
      </c>
      <c r="F64" s="35">
        <v>5.0542715937131071</v>
      </c>
      <c r="G64" s="232">
        <v>8487.73</v>
      </c>
      <c r="H64" s="35">
        <v>8.2040008226875454</v>
      </c>
      <c r="I64" s="232">
        <v>9461.36</v>
      </c>
      <c r="J64" s="35">
        <v>6.6690935880749773</v>
      </c>
      <c r="K64" s="232">
        <v>10485.84</v>
      </c>
      <c r="L64" s="35">
        <v>8.3230438692099593</v>
      </c>
      <c r="M64" s="232">
        <v>36255.26</v>
      </c>
      <c r="N64" s="35">
        <v>7.2337060283934456</v>
      </c>
      <c r="P64" s="232">
        <v>-17.5</v>
      </c>
      <c r="Q64" s="35">
        <v>8.9435272800839627E-3</v>
      </c>
      <c r="R64" s="232">
        <v>973.64</v>
      </c>
      <c r="S64" s="35">
        <v>1.5349072346125681</v>
      </c>
      <c r="T64" s="232">
        <v>25769.43</v>
      </c>
      <c r="U64" s="35">
        <v>1.0893378408165137</v>
      </c>
      <c r="W64" s="35">
        <f t="shared" si="7"/>
        <v>464.67636400419815</v>
      </c>
      <c r="X64" s="35">
        <f t="shared" si="8"/>
        <v>75771.7217306284</v>
      </c>
      <c r="Y64" s="35">
        <f t="shared" si="9"/>
        <v>28697.462040825689</v>
      </c>
      <c r="Z64" s="35">
        <f t="shared" si="10"/>
        <v>0</v>
      </c>
      <c r="AA64" s="35">
        <f t="shared" si="11"/>
        <v>1</v>
      </c>
      <c r="AB64" s="35">
        <f t="shared" si="12"/>
        <v>0</v>
      </c>
    </row>
    <row r="65" spans="1:28">
      <c r="A65" s="35">
        <v>54</v>
      </c>
      <c r="B65" s="35">
        <v>5.640961914797904E-4</v>
      </c>
      <c r="C65" s="232">
        <v>84.76</v>
      </c>
      <c r="D65" s="35">
        <v>5.0670585641941237</v>
      </c>
      <c r="E65" s="232">
        <v>44.42</v>
      </c>
      <c r="F65" s="35">
        <v>5.0519290845747689</v>
      </c>
      <c r="G65" s="232">
        <v>11142.52</v>
      </c>
      <c r="H65" s="35">
        <v>8.7903492182230138</v>
      </c>
      <c r="I65" s="232">
        <v>11336.51</v>
      </c>
      <c r="J65" s="35">
        <v>7.2657855424203577</v>
      </c>
      <c r="K65" s="232">
        <v>13949.06</v>
      </c>
      <c r="L65" s="35">
        <v>8.5896394625182904</v>
      </c>
      <c r="M65" s="232">
        <v>39992.21</v>
      </c>
      <c r="N65" s="35">
        <v>7.464058652368311</v>
      </c>
      <c r="P65" s="232">
        <v>-40.340000000000003</v>
      </c>
      <c r="Q65" s="35">
        <v>1.5129479619354846E-2</v>
      </c>
      <c r="R65" s="232">
        <v>193.99</v>
      </c>
      <c r="S65" s="35">
        <v>1.5245636758026562</v>
      </c>
      <c r="T65" s="232">
        <v>26043.15</v>
      </c>
      <c r="U65" s="35">
        <v>1.1255808101499793</v>
      </c>
      <c r="W65" s="35">
        <f t="shared" si="7"/>
        <v>796.8139809677424</v>
      </c>
      <c r="X65" s="35">
        <f t="shared" si="8"/>
        <v>76034.193790132806</v>
      </c>
      <c r="Y65" s="35">
        <f t="shared" si="9"/>
        <v>30235.890507498967</v>
      </c>
      <c r="Z65" s="35">
        <f t="shared" si="10"/>
        <v>0</v>
      </c>
      <c r="AA65" s="35">
        <f t="shared" si="11"/>
        <v>1</v>
      </c>
      <c r="AB65" s="35">
        <f t="shared" si="12"/>
        <v>0</v>
      </c>
    </row>
    <row r="66" spans="1:28">
      <c r="A66" s="35">
        <v>55</v>
      </c>
      <c r="B66" s="35">
        <v>4.2771042994918209E-4</v>
      </c>
      <c r="C66" s="232">
        <v>87.27</v>
      </c>
      <c r="D66" s="35">
        <v>5.0613183711757026</v>
      </c>
      <c r="E66" s="232">
        <v>52.68</v>
      </c>
      <c r="F66" s="35">
        <v>5.051061490393093</v>
      </c>
      <c r="G66" s="232">
        <v>15680.08</v>
      </c>
      <c r="H66" s="35">
        <v>8.9298846168164214</v>
      </c>
      <c r="I66" s="232">
        <v>16272.08</v>
      </c>
      <c r="J66" s="35">
        <v>7.7676610820189573</v>
      </c>
      <c r="K66" s="232">
        <v>20167.72</v>
      </c>
      <c r="L66" s="35">
        <v>9.0243118150155262</v>
      </c>
      <c r="M66" s="232">
        <v>46635.69</v>
      </c>
      <c r="N66" s="35">
        <v>7.8865793072039958</v>
      </c>
      <c r="P66" s="232">
        <v>-34.590000000000003</v>
      </c>
      <c r="Q66" s="35">
        <v>1.0256880782609556E-2</v>
      </c>
      <c r="R66" s="232">
        <v>592</v>
      </c>
      <c r="S66" s="35">
        <v>1.1622235347974641</v>
      </c>
      <c r="T66" s="232">
        <v>26467.98</v>
      </c>
      <c r="U66" s="35">
        <v>1.1377325078115303</v>
      </c>
      <c r="W66" s="35">
        <f t="shared" si="7"/>
        <v>547.4340391304778</v>
      </c>
      <c r="X66" s="35">
        <f t="shared" si="8"/>
        <v>57519.176739873204</v>
      </c>
      <c r="Y66" s="35">
        <f t="shared" si="9"/>
        <v>30418.645390576519</v>
      </c>
      <c r="Z66" s="35">
        <f t="shared" si="10"/>
        <v>0</v>
      </c>
      <c r="AA66" s="35">
        <f t="shared" si="11"/>
        <v>1</v>
      </c>
      <c r="AB66" s="35">
        <f t="shared" si="12"/>
        <v>0</v>
      </c>
    </row>
    <row r="67" spans="1:28">
      <c r="A67" s="35">
        <v>56</v>
      </c>
      <c r="B67" s="35">
        <v>5.1199007298219357E-4</v>
      </c>
      <c r="C67" s="232">
        <v>76.349999999999994</v>
      </c>
      <c r="D67" s="35">
        <v>5.0627985860194826</v>
      </c>
      <c r="E67" s="232">
        <v>47.04</v>
      </c>
      <c r="F67" s="35">
        <v>5.0520553027294941</v>
      </c>
      <c r="G67" s="232">
        <v>11319.3</v>
      </c>
      <c r="H67" s="35">
        <v>8.4731273071447983</v>
      </c>
      <c r="I67" s="232">
        <v>12036.86</v>
      </c>
      <c r="J67" s="35">
        <v>7.4436013415507585</v>
      </c>
      <c r="K67" s="232">
        <v>16025.55</v>
      </c>
      <c r="L67" s="35">
        <v>8.2597942331252341</v>
      </c>
      <c r="M67" s="232">
        <v>42176.33</v>
      </c>
      <c r="N67" s="35">
        <v>7.121950053612057</v>
      </c>
      <c r="P67" s="232">
        <v>-29.31</v>
      </c>
      <c r="Q67" s="35">
        <v>1.0743283289988526E-2</v>
      </c>
      <c r="R67" s="232">
        <v>717.56</v>
      </c>
      <c r="S67" s="35">
        <v>1.0295259655940399</v>
      </c>
      <c r="T67" s="232">
        <v>26150.78</v>
      </c>
      <c r="U67" s="35">
        <v>1.1378441795131771</v>
      </c>
      <c r="W67" s="35">
        <f t="shared" si="7"/>
        <v>566.47416449942625</v>
      </c>
      <c r="X67" s="35">
        <f t="shared" si="8"/>
        <v>50758.738279701996</v>
      </c>
      <c r="Y67" s="35">
        <f t="shared" si="9"/>
        <v>30741.428975658855</v>
      </c>
      <c r="Z67" s="35">
        <f t="shared" si="10"/>
        <v>0</v>
      </c>
      <c r="AA67" s="35">
        <f t="shared" si="11"/>
        <v>1</v>
      </c>
      <c r="AB67" s="35">
        <f t="shared" si="12"/>
        <v>0</v>
      </c>
    </row>
    <row r="68" spans="1:28">
      <c r="A68" s="35">
        <v>57</v>
      </c>
      <c r="B68" s="35">
        <v>3.8228623916783345E-4</v>
      </c>
      <c r="C68" s="232">
        <v>49.48</v>
      </c>
      <c r="D68" s="35">
        <v>5.0549627054026205</v>
      </c>
      <c r="E68" s="232">
        <v>30.47</v>
      </c>
      <c r="F68" s="35">
        <v>5.0471532166618855</v>
      </c>
      <c r="G68" s="232">
        <v>9117.82</v>
      </c>
      <c r="H68" s="35">
        <v>7.8920994172955359</v>
      </c>
      <c r="I68" s="232">
        <v>10388.94</v>
      </c>
      <c r="J68" s="35">
        <v>7.220454366366555</v>
      </c>
      <c r="K68" s="232">
        <v>13078.13</v>
      </c>
      <c r="L68" s="35">
        <v>8.2534364154408184</v>
      </c>
      <c r="M68" s="232">
        <v>38945.22</v>
      </c>
      <c r="N68" s="35">
        <v>7.1581676450934335</v>
      </c>
      <c r="P68" s="232">
        <v>-19.010000000000002</v>
      </c>
      <c r="Q68" s="35">
        <v>7.8094887407349489E-3</v>
      </c>
      <c r="R68" s="232">
        <v>1271.1199999999999</v>
      </c>
      <c r="S68" s="35">
        <v>0.67164505092898086</v>
      </c>
      <c r="T68" s="232">
        <v>25867.09</v>
      </c>
      <c r="U68" s="35">
        <v>1.0952687703473849</v>
      </c>
      <c r="W68" s="35">
        <f t="shared" si="7"/>
        <v>409.48443703674741</v>
      </c>
      <c r="X68" s="35">
        <f t="shared" si="8"/>
        <v>32311.132546449047</v>
      </c>
      <c r="Y68" s="35">
        <f t="shared" si="9"/>
        <v>28896.348517369242</v>
      </c>
      <c r="Z68" s="35">
        <f t="shared" si="10"/>
        <v>0</v>
      </c>
      <c r="AA68" s="35">
        <f t="shared" si="11"/>
        <v>1</v>
      </c>
      <c r="AB68" s="35">
        <f t="shared" si="12"/>
        <v>0</v>
      </c>
    </row>
    <row r="69" spans="1:28">
      <c r="A69" s="35">
        <v>58</v>
      </c>
      <c r="B69" s="35">
        <v>5.5942568842992646E-4</v>
      </c>
      <c r="C69" s="232">
        <v>91.88</v>
      </c>
      <c r="D69" s="35">
        <v>5.0666097696400989</v>
      </c>
      <c r="E69" s="232">
        <v>61.59</v>
      </c>
      <c r="F69" s="35">
        <v>5.0560060471952424</v>
      </c>
      <c r="G69" s="232">
        <v>12338.83</v>
      </c>
      <c r="H69" s="35">
        <v>8.7731762365408681</v>
      </c>
      <c r="I69" s="232">
        <v>12870.56</v>
      </c>
      <c r="J69" s="35">
        <v>7.799570419015823</v>
      </c>
      <c r="K69" s="232">
        <v>17439.48</v>
      </c>
      <c r="L69" s="35">
        <v>8.2830650371075123</v>
      </c>
      <c r="M69" s="232">
        <v>43609.760000000002</v>
      </c>
      <c r="N69" s="35">
        <v>7.2364862480767584</v>
      </c>
      <c r="P69" s="232">
        <v>-30.29</v>
      </c>
      <c r="Q69" s="35">
        <v>1.0603722444856523E-2</v>
      </c>
      <c r="R69" s="232">
        <v>531.72</v>
      </c>
      <c r="S69" s="35">
        <v>0.97360581752504505</v>
      </c>
      <c r="T69" s="232">
        <v>26170.27</v>
      </c>
      <c r="U69" s="35">
        <v>1.0465787890307539</v>
      </c>
      <c r="W69" s="35">
        <f t="shared" si="7"/>
        <v>560.47612224282614</v>
      </c>
      <c r="X69" s="35">
        <f t="shared" si="8"/>
        <v>48148.570876252248</v>
      </c>
      <c r="Y69" s="35">
        <f t="shared" si="9"/>
        <v>26158.669451537691</v>
      </c>
      <c r="Z69" s="35">
        <f t="shared" si="10"/>
        <v>0</v>
      </c>
      <c r="AA69" s="35">
        <f t="shared" si="11"/>
        <v>1</v>
      </c>
      <c r="AB69" s="35">
        <f t="shared" si="12"/>
        <v>0</v>
      </c>
    </row>
    <row r="70" spans="1:28">
      <c r="A70" s="35">
        <v>59</v>
      </c>
      <c r="B70" s="35">
        <v>6.2815434168328466E-4</v>
      </c>
      <c r="C70" s="232">
        <v>93.12</v>
      </c>
      <c r="D70" s="35">
        <v>5.0709205015937666</v>
      </c>
      <c r="E70" s="232">
        <v>53.53</v>
      </c>
      <c r="F70" s="35">
        <v>5.0555905824562553</v>
      </c>
      <c r="G70" s="232">
        <v>11176.36</v>
      </c>
      <c r="H70" s="35">
        <v>8.672991103667659</v>
      </c>
      <c r="I70" s="232">
        <v>12635.43</v>
      </c>
      <c r="J70" s="35">
        <v>8.0805811487643382</v>
      </c>
      <c r="K70" s="232">
        <v>15969.43</v>
      </c>
      <c r="L70" s="35">
        <v>8.8618110901037426</v>
      </c>
      <c r="M70" s="232">
        <v>42251.37</v>
      </c>
      <c r="N70" s="35">
        <v>7.6968002566364913</v>
      </c>
      <c r="P70" s="232">
        <v>-39.590000000000003</v>
      </c>
      <c r="Q70" s="35">
        <v>1.5329919137511361E-2</v>
      </c>
      <c r="R70" s="232">
        <v>1459.07</v>
      </c>
      <c r="S70" s="35">
        <v>0.59240995490332082</v>
      </c>
      <c r="T70" s="232">
        <v>26281.94</v>
      </c>
      <c r="U70" s="35">
        <v>1.1650108334672513</v>
      </c>
      <c r="W70" s="35">
        <f t="shared" si="7"/>
        <v>806.08595687556806</v>
      </c>
      <c r="X70" s="35">
        <f t="shared" si="8"/>
        <v>28161.427745166042</v>
      </c>
      <c r="Y70" s="35">
        <f t="shared" si="9"/>
        <v>31968.601673362569</v>
      </c>
      <c r="Z70" s="35">
        <f t="shared" si="10"/>
        <v>0</v>
      </c>
      <c r="AA70" s="35">
        <f t="shared" si="11"/>
        <v>0</v>
      </c>
      <c r="AB70" s="35">
        <f t="shared" si="12"/>
        <v>1</v>
      </c>
    </row>
    <row r="71" spans="1:28">
      <c r="A71" s="35">
        <v>60</v>
      </c>
      <c r="B71" s="35">
        <v>4.2650918333239423E-4</v>
      </c>
      <c r="C71" s="232">
        <v>50.83</v>
      </c>
      <c r="D71" s="35">
        <v>5.0589422288192454</v>
      </c>
      <c r="E71" s="232">
        <v>31.85</v>
      </c>
      <c r="F71" s="35">
        <v>5.0495782080011189</v>
      </c>
      <c r="G71" s="232">
        <v>9606.83</v>
      </c>
      <c r="H71" s="35">
        <v>8.4856070603112954</v>
      </c>
      <c r="I71" s="232">
        <v>11299.85</v>
      </c>
      <c r="J71" s="35">
        <v>7.2003960961238365</v>
      </c>
      <c r="K71" s="232">
        <v>10706.3</v>
      </c>
      <c r="L71" s="35">
        <v>8.3430888997673591</v>
      </c>
      <c r="M71" s="232">
        <v>36673.07</v>
      </c>
      <c r="N71" s="35">
        <v>7.2583210469943289</v>
      </c>
      <c r="P71" s="232">
        <v>-18.98</v>
      </c>
      <c r="Q71" s="35">
        <v>9.3640208181264839E-3</v>
      </c>
      <c r="R71" s="232">
        <v>1693.02</v>
      </c>
      <c r="S71" s="35">
        <v>1.2852109641874589</v>
      </c>
      <c r="T71" s="232">
        <v>25966.77</v>
      </c>
      <c r="U71" s="35">
        <v>1.0847678527730302</v>
      </c>
      <c r="W71" s="35">
        <f t="shared" si="7"/>
        <v>487.1810409063242</v>
      </c>
      <c r="X71" s="35">
        <f t="shared" si="8"/>
        <v>62567.528209372947</v>
      </c>
      <c r="Y71" s="35">
        <f t="shared" si="9"/>
        <v>28271.622638651508</v>
      </c>
      <c r="Z71" s="35">
        <f t="shared" si="10"/>
        <v>0</v>
      </c>
      <c r="AA71" s="35">
        <f t="shared" si="11"/>
        <v>1</v>
      </c>
      <c r="AB71" s="35">
        <f t="shared" si="12"/>
        <v>0</v>
      </c>
    </row>
    <row r="72" spans="1:28">
      <c r="A72" s="35">
        <v>61</v>
      </c>
      <c r="B72" s="35">
        <v>4.1883499404512625E-4</v>
      </c>
      <c r="C72" s="232">
        <v>65.75</v>
      </c>
      <c r="D72" s="35">
        <v>5.0606554206729246</v>
      </c>
      <c r="E72" s="232">
        <v>41.68</v>
      </c>
      <c r="F72" s="35">
        <v>5.0510648155790969</v>
      </c>
      <c r="G72" s="232">
        <v>12337.27</v>
      </c>
      <c r="H72" s="35">
        <v>9.0202694681003521</v>
      </c>
      <c r="I72" s="232">
        <v>13355.76</v>
      </c>
      <c r="J72" s="35">
        <v>7.6058375890424879</v>
      </c>
      <c r="K72" s="232">
        <v>14785.41</v>
      </c>
      <c r="L72" s="35">
        <v>8.5113253059959764</v>
      </c>
      <c r="M72" s="232">
        <v>40891.19</v>
      </c>
      <c r="N72" s="35">
        <v>7.300571009426454</v>
      </c>
      <c r="P72" s="232">
        <v>-24.07</v>
      </c>
      <c r="Q72" s="35">
        <v>9.5906050938276977E-3</v>
      </c>
      <c r="R72" s="232">
        <v>1018.49</v>
      </c>
      <c r="S72" s="35">
        <v>1.4144318790578643</v>
      </c>
      <c r="T72" s="232">
        <v>26105.78</v>
      </c>
      <c r="U72" s="35">
        <v>1.2107542965695224</v>
      </c>
      <c r="W72" s="35">
        <f t="shared" si="7"/>
        <v>503.60025469138486</v>
      </c>
      <c r="X72" s="35">
        <f t="shared" si="8"/>
        <v>69703.103952893201</v>
      </c>
      <c r="Y72" s="35">
        <f t="shared" si="9"/>
        <v>34431.934828476122</v>
      </c>
      <c r="Z72" s="35">
        <f t="shared" si="10"/>
        <v>0</v>
      </c>
      <c r="AA72" s="35">
        <f t="shared" si="11"/>
        <v>1</v>
      </c>
      <c r="AB72" s="35">
        <f t="shared" si="12"/>
        <v>0</v>
      </c>
    </row>
    <row r="73" spans="1:28">
      <c r="A73" s="35">
        <v>62</v>
      </c>
      <c r="B73" s="35">
        <v>4.1443851756025647E-4</v>
      </c>
      <c r="C73" s="232">
        <v>82.33</v>
      </c>
      <c r="D73" s="35">
        <v>5.0582733357962022</v>
      </c>
      <c r="E73" s="232">
        <v>46.5</v>
      </c>
      <c r="F73" s="35">
        <v>5.0485111972427354</v>
      </c>
      <c r="G73" s="232">
        <v>14953.58</v>
      </c>
      <c r="H73" s="35">
        <v>8.4599931867924276</v>
      </c>
      <c r="I73" s="232">
        <v>14728.84</v>
      </c>
      <c r="J73" s="35">
        <v>7.1906405502456066</v>
      </c>
      <c r="K73" s="232">
        <v>21416.61</v>
      </c>
      <c r="L73" s="35">
        <v>8.4384780331244045</v>
      </c>
      <c r="M73" s="232">
        <v>47965.48</v>
      </c>
      <c r="N73" s="35">
        <v>7.3197049671556496</v>
      </c>
      <c r="P73" s="232">
        <v>-35.82</v>
      </c>
      <c r="Q73" s="35">
        <v>9.7621385534667482E-3</v>
      </c>
      <c r="R73" s="232">
        <v>-224.74</v>
      </c>
      <c r="S73" s="35">
        <v>1.2693526365468211</v>
      </c>
      <c r="T73" s="232">
        <v>26548.87</v>
      </c>
      <c r="U73" s="35">
        <v>1.1187730659687549</v>
      </c>
      <c r="W73" s="35">
        <f t="shared" si="7"/>
        <v>523.92692767333745</v>
      </c>
      <c r="X73" s="35">
        <f t="shared" si="8"/>
        <v>63692.371827341049</v>
      </c>
      <c r="Y73" s="35">
        <f t="shared" si="9"/>
        <v>29389.783298437749</v>
      </c>
      <c r="Z73" s="35">
        <f t="shared" si="10"/>
        <v>0</v>
      </c>
      <c r="AA73" s="35">
        <f t="shared" si="11"/>
        <v>1</v>
      </c>
      <c r="AB73" s="35">
        <f t="shared" si="12"/>
        <v>0</v>
      </c>
    </row>
    <row r="74" spans="1:28">
      <c r="A74" s="35">
        <v>63</v>
      </c>
      <c r="B74" s="35">
        <v>4.8389559753114764E-4</v>
      </c>
      <c r="C74" s="232">
        <v>68.209999999999994</v>
      </c>
      <c r="D74" s="35">
        <v>5.0628166629388405</v>
      </c>
      <c r="E74" s="232">
        <v>44.74</v>
      </c>
      <c r="F74" s="35">
        <v>5.0529117965451604</v>
      </c>
      <c r="G74" s="232">
        <v>11527.65</v>
      </c>
      <c r="H74" s="35">
        <v>8.625413672284898</v>
      </c>
      <c r="I74" s="232">
        <v>13340.52</v>
      </c>
      <c r="J74" s="35">
        <v>7.2280298052746668</v>
      </c>
      <c r="K74" s="232">
        <v>12367.37</v>
      </c>
      <c r="L74" s="35">
        <v>8.491673024525781</v>
      </c>
      <c r="M74" s="232">
        <v>38283.410000000003</v>
      </c>
      <c r="N74" s="35">
        <v>7.2697251479311218</v>
      </c>
      <c r="P74" s="232">
        <v>-23.47</v>
      </c>
      <c r="Q74" s="35">
        <v>9.9048663936800452E-3</v>
      </c>
      <c r="R74" s="232">
        <v>1812.87</v>
      </c>
      <c r="S74" s="35">
        <v>1.3973838670102312</v>
      </c>
      <c r="T74" s="232">
        <v>25916.04</v>
      </c>
      <c r="U74" s="35">
        <v>1.2219478765946592</v>
      </c>
      <c r="W74" s="35">
        <f t="shared" si="7"/>
        <v>518.71331968400227</v>
      </c>
      <c r="X74" s="35">
        <f t="shared" si="8"/>
        <v>68056.323350511564</v>
      </c>
      <c r="Y74" s="35">
        <f t="shared" si="9"/>
        <v>35181.353829732958</v>
      </c>
      <c r="Z74" s="35">
        <f t="shared" si="10"/>
        <v>0</v>
      </c>
      <c r="AA74" s="35">
        <f t="shared" si="11"/>
        <v>1</v>
      </c>
      <c r="AB74" s="35">
        <f t="shared" si="12"/>
        <v>0</v>
      </c>
    </row>
    <row r="75" spans="1:28">
      <c r="A75" s="35">
        <v>64</v>
      </c>
      <c r="B75" s="35">
        <v>3.7510918623614694E-4</v>
      </c>
      <c r="C75" s="232">
        <v>66.14</v>
      </c>
      <c r="D75" s="35">
        <v>5.0573817048509051</v>
      </c>
      <c r="E75" s="232">
        <v>44.87</v>
      </c>
      <c r="F75" s="35">
        <v>5.0500459399633701</v>
      </c>
      <c r="G75" s="232">
        <v>13241.55</v>
      </c>
      <c r="H75" s="35">
        <v>8.6840714112099331</v>
      </c>
      <c r="I75" s="232">
        <v>13222.72</v>
      </c>
      <c r="J75" s="35">
        <v>7.3250432250143849</v>
      </c>
      <c r="K75" s="232">
        <v>18724.990000000002</v>
      </c>
      <c r="L75" s="35">
        <v>8.5483880873528069</v>
      </c>
      <c r="M75" s="232">
        <v>45031.32</v>
      </c>
      <c r="N75" s="35">
        <v>7.3775123412099139</v>
      </c>
      <c r="P75" s="232">
        <v>-21.27</v>
      </c>
      <c r="Q75" s="35">
        <v>7.3357648875349568E-3</v>
      </c>
      <c r="R75" s="232">
        <v>-18.829999999999998</v>
      </c>
      <c r="S75" s="35">
        <v>1.3590281861955482</v>
      </c>
      <c r="T75" s="232">
        <v>26306.32</v>
      </c>
      <c r="U75" s="35">
        <v>1.1708757461428929</v>
      </c>
      <c r="W75" s="35">
        <f t="shared" si="7"/>
        <v>388.05824437674784</v>
      </c>
      <c r="X75" s="35">
        <f t="shared" si="8"/>
        <v>67970.239309777418</v>
      </c>
      <c r="Y75" s="35">
        <f t="shared" si="9"/>
        <v>32237.467307144645</v>
      </c>
      <c r="Z75" s="35">
        <f t="shared" si="10"/>
        <v>0</v>
      </c>
      <c r="AA75" s="35">
        <f t="shared" si="11"/>
        <v>1</v>
      </c>
      <c r="AB75" s="35">
        <f t="shared" si="12"/>
        <v>0</v>
      </c>
    </row>
    <row r="76" spans="1:28">
      <c r="A76" s="35">
        <v>65</v>
      </c>
      <c r="B76" s="35">
        <v>5.2724204749854398E-4</v>
      </c>
      <c r="C76" s="232">
        <v>69.989999999999995</v>
      </c>
      <c r="D76" s="35">
        <v>5.0667981014655279</v>
      </c>
      <c r="E76" s="232">
        <v>38.9</v>
      </c>
      <c r="F76" s="35">
        <v>5.052457085269463</v>
      </c>
      <c r="G76" s="232">
        <v>10441.780000000001</v>
      </c>
      <c r="H76" s="35">
        <v>9.1086175956525945</v>
      </c>
      <c r="I76" s="232">
        <v>11098.67</v>
      </c>
      <c r="J76" s="35">
        <v>7.373946637375778</v>
      </c>
      <c r="K76" s="232">
        <v>13043.82</v>
      </c>
      <c r="L76" s="35">
        <v>8.7833654811436794</v>
      </c>
      <c r="M76" s="232">
        <v>39052.42</v>
      </c>
      <c r="N76" s="35">
        <v>7.6972888112026752</v>
      </c>
      <c r="P76" s="232">
        <v>-31.1</v>
      </c>
      <c r="Q76" s="35">
        <v>1.4341016196064871E-2</v>
      </c>
      <c r="R76" s="232">
        <v>656.89</v>
      </c>
      <c r="S76" s="35">
        <v>1.7346709582768165</v>
      </c>
      <c r="T76" s="232">
        <v>26008.6</v>
      </c>
      <c r="U76" s="35">
        <v>1.0860766699410043</v>
      </c>
      <c r="W76" s="35">
        <f t="shared" ref="W76:W139" si="13">$X$2*Q76-P76</f>
        <v>748.15080980324353</v>
      </c>
      <c r="X76" s="35">
        <f t="shared" ref="X76:X139" si="14">$X$2*S76-R76</f>
        <v>86076.657913840827</v>
      </c>
      <c r="Y76" s="35">
        <f t="shared" ref="Y76:Y139" si="15">$X$2*U76-T76</f>
        <v>28295.233497050212</v>
      </c>
      <c r="Z76" s="35">
        <f t="shared" ref="Z76:Z139" si="16">IF(W76=MAX($W76:$Y76), 1, 0)</f>
        <v>0</v>
      </c>
      <c r="AA76" s="35">
        <f t="shared" ref="AA76:AA139" si="17">IF(X76=MAX($W76:$Y76), 1, 0)</f>
        <v>1</v>
      </c>
      <c r="AB76" s="35">
        <f t="shared" ref="AB76:AB139" si="18">IF(Y76=MAX($W76:$Y76), 1, 0)</f>
        <v>0</v>
      </c>
    </row>
    <row r="77" spans="1:28">
      <c r="A77" s="35">
        <v>66</v>
      </c>
      <c r="B77" s="35">
        <v>4.277790012819332E-4</v>
      </c>
      <c r="C77" s="232">
        <v>72.48</v>
      </c>
      <c r="D77" s="35">
        <v>5.0614100940367512</v>
      </c>
      <c r="E77" s="232">
        <v>46.94</v>
      </c>
      <c r="F77" s="35">
        <v>5.0519463348442297</v>
      </c>
      <c r="G77" s="232">
        <v>13377.8</v>
      </c>
      <c r="H77" s="35">
        <v>9.0572418537573132</v>
      </c>
      <c r="I77" s="232">
        <v>15275.45</v>
      </c>
      <c r="J77" s="35">
        <v>8.6262413065379882</v>
      </c>
      <c r="K77" s="232">
        <v>15528.97</v>
      </c>
      <c r="L77" s="35">
        <v>8.8458464722455279</v>
      </c>
      <c r="M77" s="232">
        <v>41609.480000000003</v>
      </c>
      <c r="N77" s="35">
        <v>7.8077101519548</v>
      </c>
      <c r="P77" s="232">
        <v>-25.54</v>
      </c>
      <c r="Q77" s="35">
        <v>9.4637591925215148E-3</v>
      </c>
      <c r="R77" s="232">
        <v>1897.64</v>
      </c>
      <c r="S77" s="35">
        <v>0.43100054721932501</v>
      </c>
      <c r="T77" s="232">
        <v>26080.5</v>
      </c>
      <c r="U77" s="35">
        <v>1.0381363202907279</v>
      </c>
      <c r="W77" s="35">
        <f t="shared" si="13"/>
        <v>498.72795962607574</v>
      </c>
      <c r="X77" s="35">
        <f t="shared" si="14"/>
        <v>19652.387360966251</v>
      </c>
      <c r="Y77" s="35">
        <f t="shared" si="15"/>
        <v>25826.316014536395</v>
      </c>
      <c r="Z77" s="35">
        <f t="shared" si="16"/>
        <v>0</v>
      </c>
      <c r="AA77" s="35">
        <f t="shared" si="17"/>
        <v>0</v>
      </c>
      <c r="AB77" s="35">
        <f t="shared" si="18"/>
        <v>1</v>
      </c>
    </row>
    <row r="78" spans="1:28">
      <c r="A78" s="35">
        <v>67</v>
      </c>
      <c r="B78" s="35">
        <v>3.9079443219141457E-4</v>
      </c>
      <c r="C78" s="232">
        <v>70.67</v>
      </c>
      <c r="D78" s="35">
        <v>5.0584119662652194</v>
      </c>
      <c r="E78" s="232">
        <v>47.81</v>
      </c>
      <c r="F78" s="35">
        <v>5.0507204605675211</v>
      </c>
      <c r="G78" s="232">
        <v>14571.23</v>
      </c>
      <c r="H78" s="35">
        <v>8.8287694856956414</v>
      </c>
      <c r="I78" s="232">
        <v>15186.85</v>
      </c>
      <c r="J78" s="35">
        <v>6.9978449451291187</v>
      </c>
      <c r="K78" s="232">
        <v>17938.36</v>
      </c>
      <c r="L78" s="35">
        <v>8.4846292670229762</v>
      </c>
      <c r="M78" s="232">
        <v>44130.36</v>
      </c>
      <c r="N78" s="35">
        <v>7.4430189714997548</v>
      </c>
      <c r="P78" s="232">
        <v>-22.86</v>
      </c>
      <c r="Q78" s="35">
        <v>7.6915056976982754E-3</v>
      </c>
      <c r="R78" s="232">
        <v>615.62</v>
      </c>
      <c r="S78" s="35">
        <v>1.8309245405665227</v>
      </c>
      <c r="T78" s="232">
        <v>26192.01</v>
      </c>
      <c r="U78" s="35">
        <v>1.0416102955232214</v>
      </c>
      <c r="W78" s="35">
        <f t="shared" si="13"/>
        <v>407.43528488491381</v>
      </c>
      <c r="X78" s="35">
        <f t="shared" si="14"/>
        <v>90930.607028326136</v>
      </c>
      <c r="Y78" s="35">
        <f t="shared" si="15"/>
        <v>25888.504776161073</v>
      </c>
      <c r="Z78" s="35">
        <f t="shared" si="16"/>
        <v>0</v>
      </c>
      <c r="AA78" s="35">
        <f t="shared" si="17"/>
        <v>1</v>
      </c>
      <c r="AB78" s="35">
        <f t="shared" si="18"/>
        <v>0</v>
      </c>
    </row>
    <row r="79" spans="1:28">
      <c r="A79" s="35">
        <v>68</v>
      </c>
      <c r="B79" s="35">
        <v>6.4601895339810866E-4</v>
      </c>
      <c r="C79" s="232">
        <v>89.81</v>
      </c>
      <c r="D79" s="35">
        <v>5.0765265224463993</v>
      </c>
      <c r="E79" s="232">
        <v>57.72</v>
      </c>
      <c r="F79" s="35">
        <v>5.0611554733003139</v>
      </c>
      <c r="G79" s="232">
        <v>10842.6</v>
      </c>
      <c r="H79" s="35">
        <v>9.5616625364037073</v>
      </c>
      <c r="I79" s="232">
        <v>12212.63</v>
      </c>
      <c r="J79" s="35">
        <v>8.2095696087331564</v>
      </c>
      <c r="K79" s="232">
        <v>11942.55</v>
      </c>
      <c r="L79" s="35">
        <v>9.0512007242338335</v>
      </c>
      <c r="M79" s="232">
        <v>37898.67</v>
      </c>
      <c r="N79" s="35">
        <v>8.0048648703910761</v>
      </c>
      <c r="P79" s="232">
        <v>-32.090000000000003</v>
      </c>
      <c r="Q79" s="35">
        <v>1.5371049146085447E-2</v>
      </c>
      <c r="R79" s="232">
        <v>1370.03</v>
      </c>
      <c r="S79" s="35">
        <v>1.3520929276705509</v>
      </c>
      <c r="T79" s="232">
        <v>25956.12</v>
      </c>
      <c r="U79" s="35">
        <v>1.0463358538427574</v>
      </c>
      <c r="W79" s="35">
        <f t="shared" si="13"/>
        <v>800.6424573042724</v>
      </c>
      <c r="X79" s="35">
        <f t="shared" si="14"/>
        <v>66234.616383527551</v>
      </c>
      <c r="Y79" s="35">
        <f t="shared" si="15"/>
        <v>26360.672692137869</v>
      </c>
      <c r="Z79" s="35">
        <f t="shared" si="16"/>
        <v>0</v>
      </c>
      <c r="AA79" s="35">
        <f t="shared" si="17"/>
        <v>1</v>
      </c>
      <c r="AB79" s="35">
        <f t="shared" si="18"/>
        <v>0</v>
      </c>
    </row>
    <row r="80" spans="1:28">
      <c r="A80" s="35">
        <v>69</v>
      </c>
      <c r="B80" s="35">
        <v>4.908526082271214E-4</v>
      </c>
      <c r="C80" s="232">
        <v>81.510000000000005</v>
      </c>
      <c r="D80" s="35">
        <v>5.0642614437812048</v>
      </c>
      <c r="E80" s="232">
        <v>43.77</v>
      </c>
      <c r="F80" s="35">
        <v>5.0508813656489462</v>
      </c>
      <c r="G80" s="232">
        <v>13220.27</v>
      </c>
      <c r="H80" s="35">
        <v>9.031845554457691</v>
      </c>
      <c r="I80" s="232">
        <v>12559.07</v>
      </c>
      <c r="J80" s="35">
        <v>6.7411271597113824</v>
      </c>
      <c r="K80" s="232">
        <v>17605.72</v>
      </c>
      <c r="L80" s="35">
        <v>8.8363635207958087</v>
      </c>
      <c r="M80" s="232">
        <v>43836.11</v>
      </c>
      <c r="N80" s="35">
        <v>7.8749766830152508</v>
      </c>
      <c r="P80" s="232">
        <v>-37.74</v>
      </c>
      <c r="Q80" s="35">
        <v>1.338007813225861E-2</v>
      </c>
      <c r="R80" s="232">
        <v>-661.21</v>
      </c>
      <c r="S80" s="35">
        <v>2.2907183947463086</v>
      </c>
      <c r="T80" s="232">
        <v>26230.39</v>
      </c>
      <c r="U80" s="35">
        <v>0.96138683778055789</v>
      </c>
      <c r="W80" s="35">
        <f t="shared" si="13"/>
        <v>706.74390661293057</v>
      </c>
      <c r="X80" s="35">
        <f t="shared" si="14"/>
        <v>115197.12973731544</v>
      </c>
      <c r="Y80" s="35">
        <f t="shared" si="15"/>
        <v>21838.951889027892</v>
      </c>
      <c r="Z80" s="35">
        <f t="shared" si="16"/>
        <v>0</v>
      </c>
      <c r="AA80" s="35">
        <f t="shared" si="17"/>
        <v>1</v>
      </c>
      <c r="AB80" s="35">
        <f t="shared" si="18"/>
        <v>0</v>
      </c>
    </row>
    <row r="81" spans="1:28">
      <c r="A81" s="35">
        <v>70</v>
      </c>
      <c r="B81" s="35">
        <v>4.2375618574464044E-4</v>
      </c>
      <c r="C81" s="232">
        <v>79.069999999999993</v>
      </c>
      <c r="D81" s="35">
        <v>5.0623101945129356</v>
      </c>
      <c r="E81" s="232">
        <v>58.31</v>
      </c>
      <c r="F81" s="35">
        <v>5.0547769361267747</v>
      </c>
      <c r="G81" s="232">
        <v>14781.61</v>
      </c>
      <c r="H81" s="35">
        <v>9.2560536626847458</v>
      </c>
      <c r="I81" s="232">
        <v>16027.74</v>
      </c>
      <c r="J81" s="35">
        <v>8.1703521134419965</v>
      </c>
      <c r="K81" s="232">
        <v>18221.36</v>
      </c>
      <c r="L81" s="35">
        <v>8.8501969266784322</v>
      </c>
      <c r="M81" s="232">
        <v>44491.81</v>
      </c>
      <c r="N81" s="35">
        <v>7.7459351579025375</v>
      </c>
      <c r="P81" s="232">
        <v>-20.76</v>
      </c>
      <c r="Q81" s="35">
        <v>7.5332583861609237E-3</v>
      </c>
      <c r="R81" s="232">
        <v>1246.1199999999999</v>
      </c>
      <c r="S81" s="35">
        <v>1.0857015492427493</v>
      </c>
      <c r="T81" s="232">
        <v>26270.45</v>
      </c>
      <c r="U81" s="35">
        <v>1.1042617687758947</v>
      </c>
      <c r="W81" s="35">
        <f t="shared" si="13"/>
        <v>397.42291930804618</v>
      </c>
      <c r="X81" s="35">
        <f t="shared" si="14"/>
        <v>53038.957462137463</v>
      </c>
      <c r="Y81" s="35">
        <f t="shared" si="15"/>
        <v>28942.638438794729</v>
      </c>
      <c r="Z81" s="35">
        <f t="shared" si="16"/>
        <v>0</v>
      </c>
      <c r="AA81" s="35">
        <f t="shared" si="17"/>
        <v>1</v>
      </c>
      <c r="AB81" s="35">
        <f t="shared" si="18"/>
        <v>0</v>
      </c>
    </row>
    <row r="82" spans="1:28">
      <c r="A82" s="35">
        <v>71</v>
      </c>
      <c r="B82" s="35">
        <v>6.1304497262082425E-4</v>
      </c>
      <c r="C82" s="232">
        <v>64.069999999999993</v>
      </c>
      <c r="D82" s="35">
        <v>5.0714627014644282</v>
      </c>
      <c r="E82" s="232">
        <v>40.74</v>
      </c>
      <c r="F82" s="35">
        <v>5.0573290231311034</v>
      </c>
      <c r="G82" s="232">
        <v>8499.34</v>
      </c>
      <c r="H82" s="35">
        <v>9.0747801033618138</v>
      </c>
      <c r="I82" s="232">
        <v>10650.83</v>
      </c>
      <c r="J82" s="35">
        <v>8.3331998965975576</v>
      </c>
      <c r="K82" s="232">
        <v>8200.7900000000009</v>
      </c>
      <c r="L82" s="35">
        <v>8.6074250698301729</v>
      </c>
      <c r="M82" s="232">
        <v>34016.15</v>
      </c>
      <c r="N82" s="35">
        <v>7.4574806546937955</v>
      </c>
      <c r="P82" s="232">
        <v>-23.33</v>
      </c>
      <c r="Q82" s="35">
        <v>1.4133678333324795E-2</v>
      </c>
      <c r="R82" s="232">
        <v>2151.4899999999998</v>
      </c>
      <c r="S82" s="35">
        <v>0.74158020676425629</v>
      </c>
      <c r="T82" s="232">
        <v>25815.360000000001</v>
      </c>
      <c r="U82" s="35">
        <v>1.1499444151363774</v>
      </c>
      <c r="W82" s="35">
        <f t="shared" si="13"/>
        <v>730.01391666623977</v>
      </c>
      <c r="X82" s="35">
        <f t="shared" si="14"/>
        <v>34927.520338212817</v>
      </c>
      <c r="Y82" s="35">
        <f t="shared" si="15"/>
        <v>31681.860756818867</v>
      </c>
      <c r="Z82" s="35">
        <f t="shared" si="16"/>
        <v>0</v>
      </c>
      <c r="AA82" s="35">
        <f t="shared" si="17"/>
        <v>1</v>
      </c>
      <c r="AB82" s="35">
        <f t="shared" si="18"/>
        <v>0</v>
      </c>
    </row>
    <row r="83" spans="1:28">
      <c r="A83" s="35">
        <v>72</v>
      </c>
      <c r="B83" s="35">
        <v>3.562752798046627E-4</v>
      </c>
      <c r="C83" s="232">
        <v>57.3</v>
      </c>
      <c r="D83" s="35">
        <v>5.0556310189802547</v>
      </c>
      <c r="E83" s="232">
        <v>36.020000000000003</v>
      </c>
      <c r="F83" s="35">
        <v>5.0479233360728966</v>
      </c>
      <c r="G83" s="232">
        <v>12631.56</v>
      </c>
      <c r="H83" s="35">
        <v>8.5022975387113089</v>
      </c>
      <c r="I83" s="232">
        <v>14419.95</v>
      </c>
      <c r="J83" s="35">
        <v>7.9478326118876863</v>
      </c>
      <c r="K83" s="232">
        <v>14722.53</v>
      </c>
      <c r="L83" s="35">
        <v>8.5814971169366814</v>
      </c>
      <c r="M83" s="232">
        <v>40743.42</v>
      </c>
      <c r="N83" s="35">
        <v>7.544969576465717</v>
      </c>
      <c r="P83" s="232">
        <v>-21.27</v>
      </c>
      <c r="Q83" s="35">
        <v>7.7076829073581266E-3</v>
      </c>
      <c r="R83" s="232">
        <v>1788.39</v>
      </c>
      <c r="S83" s="35">
        <v>0.55446492682362258</v>
      </c>
      <c r="T83" s="232">
        <v>26020.89</v>
      </c>
      <c r="U83" s="35">
        <v>1.0365275404709644</v>
      </c>
      <c r="W83" s="35">
        <f t="shared" si="13"/>
        <v>406.65414536790632</v>
      </c>
      <c r="X83" s="35">
        <f t="shared" si="14"/>
        <v>25934.85634118113</v>
      </c>
      <c r="Y83" s="35">
        <f t="shared" si="15"/>
        <v>25805.487023548223</v>
      </c>
      <c r="Z83" s="35">
        <f t="shared" si="16"/>
        <v>0</v>
      </c>
      <c r="AA83" s="35">
        <f t="shared" si="17"/>
        <v>1</v>
      </c>
      <c r="AB83" s="35">
        <f t="shared" si="18"/>
        <v>0</v>
      </c>
    </row>
    <row r="84" spans="1:28">
      <c r="A84" s="35">
        <v>73</v>
      </c>
      <c r="B84" s="35">
        <v>3.3403697551566441E-4</v>
      </c>
      <c r="C84" s="232">
        <v>53.52</v>
      </c>
      <c r="D84" s="35">
        <v>5.0572364898329702</v>
      </c>
      <c r="E84" s="232">
        <v>32.79</v>
      </c>
      <c r="F84" s="35">
        <v>5.0484341358405409</v>
      </c>
      <c r="G84" s="232">
        <v>12049.75</v>
      </c>
      <c r="H84" s="35">
        <v>9.2415723585669944</v>
      </c>
      <c r="I84" s="232">
        <v>12887.24</v>
      </c>
      <c r="J84" s="35">
        <v>8.1483546504258229</v>
      </c>
      <c r="K84" s="232">
        <v>15758.66</v>
      </c>
      <c r="L84" s="35">
        <v>9.1465504687572121</v>
      </c>
      <c r="M84" s="232">
        <v>41917.800000000003</v>
      </c>
      <c r="N84" s="35">
        <v>8.039022766919981</v>
      </c>
      <c r="P84" s="232">
        <v>-20.73</v>
      </c>
      <c r="Q84" s="35">
        <v>8.8023539924293459E-3</v>
      </c>
      <c r="R84" s="232">
        <v>837.49</v>
      </c>
      <c r="S84" s="35">
        <v>1.0932177081411716</v>
      </c>
      <c r="T84" s="232">
        <v>26159.14</v>
      </c>
      <c r="U84" s="35">
        <v>1.1075277018372311</v>
      </c>
      <c r="W84" s="35">
        <f t="shared" si="13"/>
        <v>460.84769962146731</v>
      </c>
      <c r="X84" s="35">
        <f t="shared" si="14"/>
        <v>53823.395407058582</v>
      </c>
      <c r="Y84" s="35">
        <f t="shared" si="15"/>
        <v>29217.245091861558</v>
      </c>
      <c r="Z84" s="35">
        <f t="shared" si="16"/>
        <v>0</v>
      </c>
      <c r="AA84" s="35">
        <f t="shared" si="17"/>
        <v>1</v>
      </c>
      <c r="AB84" s="35">
        <f t="shared" si="18"/>
        <v>0</v>
      </c>
    </row>
    <row r="85" spans="1:28">
      <c r="A85" s="35">
        <v>74</v>
      </c>
      <c r="B85" s="35">
        <v>5.5731831150962474E-4</v>
      </c>
      <c r="C85" s="232">
        <v>86.86</v>
      </c>
      <c r="D85" s="35">
        <v>5.0673574188660435</v>
      </c>
      <c r="E85" s="232">
        <v>61.02</v>
      </c>
      <c r="F85" s="35">
        <v>5.0573591427470079</v>
      </c>
      <c r="G85" s="232">
        <v>11144.72</v>
      </c>
      <c r="H85" s="35">
        <v>8.5997422756416615</v>
      </c>
      <c r="I85" s="232">
        <v>11286.4</v>
      </c>
      <c r="J85" s="35">
        <v>7.2790389401877169</v>
      </c>
      <c r="K85" s="232">
        <v>15816.51</v>
      </c>
      <c r="L85" s="35">
        <v>8.9162138421696557</v>
      </c>
      <c r="M85" s="232">
        <v>41812.17</v>
      </c>
      <c r="N85" s="35">
        <v>7.8529796930196722</v>
      </c>
      <c r="P85" s="232">
        <v>-25.84</v>
      </c>
      <c r="Q85" s="35">
        <v>9.9982761190355873E-3</v>
      </c>
      <c r="R85" s="232">
        <v>141.68</v>
      </c>
      <c r="S85" s="35">
        <v>1.3207033354539446</v>
      </c>
      <c r="T85" s="232">
        <v>25995.65</v>
      </c>
      <c r="U85" s="35">
        <v>1.0632341491499835</v>
      </c>
      <c r="W85" s="35">
        <f t="shared" si="13"/>
        <v>525.75380595177933</v>
      </c>
      <c r="X85" s="35">
        <f t="shared" si="14"/>
        <v>65893.48677269723</v>
      </c>
      <c r="Y85" s="35">
        <f t="shared" si="15"/>
        <v>27166.05745749917</v>
      </c>
      <c r="Z85" s="35">
        <f t="shared" si="16"/>
        <v>0</v>
      </c>
      <c r="AA85" s="35">
        <f t="shared" si="17"/>
        <v>1</v>
      </c>
      <c r="AB85" s="35">
        <f t="shared" si="18"/>
        <v>0</v>
      </c>
    </row>
    <row r="86" spans="1:28">
      <c r="A86" s="35">
        <v>75</v>
      </c>
      <c r="B86" s="35">
        <v>3.5472779709783782E-4</v>
      </c>
      <c r="C86" s="232">
        <v>71.64</v>
      </c>
      <c r="D86" s="35">
        <v>5.0559526243145161</v>
      </c>
      <c r="E86" s="232">
        <v>41.8</v>
      </c>
      <c r="F86" s="35">
        <v>5.0475205382919945</v>
      </c>
      <c r="G86" s="232">
        <v>16086.49</v>
      </c>
      <c r="H86" s="35">
        <v>8.722002612564733</v>
      </c>
      <c r="I86" s="232">
        <v>17080.91</v>
      </c>
      <c r="J86" s="35">
        <v>7.729645463289331</v>
      </c>
      <c r="K86" s="232">
        <v>20580.740000000002</v>
      </c>
      <c r="L86" s="35">
        <v>8.5309745494476257</v>
      </c>
      <c r="M86" s="232">
        <v>47053.38</v>
      </c>
      <c r="N86" s="35">
        <v>7.499736479326593</v>
      </c>
      <c r="P86" s="232">
        <v>-29.84</v>
      </c>
      <c r="Q86" s="35">
        <v>8.4320860225215455E-3</v>
      </c>
      <c r="R86" s="232">
        <v>994.42</v>
      </c>
      <c r="S86" s="35">
        <v>0.99235714927540197</v>
      </c>
      <c r="T86" s="232">
        <v>26472.639999999999</v>
      </c>
      <c r="U86" s="35">
        <v>1.0312380701210326</v>
      </c>
      <c r="W86" s="35">
        <f t="shared" si="13"/>
        <v>451.44430112607728</v>
      </c>
      <c r="X86" s="35">
        <f t="shared" si="14"/>
        <v>48623.437463770104</v>
      </c>
      <c r="Y86" s="35">
        <f t="shared" si="15"/>
        <v>25089.263506051633</v>
      </c>
      <c r="Z86" s="35">
        <f t="shared" si="16"/>
        <v>0</v>
      </c>
      <c r="AA86" s="35">
        <f t="shared" si="17"/>
        <v>1</v>
      </c>
      <c r="AB86" s="35">
        <f t="shared" si="18"/>
        <v>0</v>
      </c>
    </row>
    <row r="87" spans="1:28">
      <c r="A87" s="35">
        <v>76</v>
      </c>
      <c r="B87" s="35">
        <v>6.0568056329024511E-4</v>
      </c>
      <c r="C87" s="232">
        <v>89.6</v>
      </c>
      <c r="D87" s="35">
        <v>5.0681726455514235</v>
      </c>
      <c r="E87" s="232">
        <v>52.54</v>
      </c>
      <c r="F87" s="35">
        <v>5.0544208777309194</v>
      </c>
      <c r="G87" s="232">
        <v>12219.75</v>
      </c>
      <c r="H87" s="35">
        <v>8.4027430980555771</v>
      </c>
      <c r="I87" s="232">
        <v>14400.37</v>
      </c>
      <c r="J87" s="35">
        <v>7.2839610748463581</v>
      </c>
      <c r="K87" s="232">
        <v>11479.54</v>
      </c>
      <c r="L87" s="35">
        <v>8.7594988057673433</v>
      </c>
      <c r="M87" s="232">
        <v>37428.49</v>
      </c>
      <c r="N87" s="35">
        <v>7.731357883387699</v>
      </c>
      <c r="P87" s="232">
        <v>-37.06</v>
      </c>
      <c r="Q87" s="35">
        <v>1.3751767820504135E-2</v>
      </c>
      <c r="R87" s="232">
        <v>2180.63</v>
      </c>
      <c r="S87" s="35">
        <v>1.1187820232092189</v>
      </c>
      <c r="T87" s="232">
        <v>25948.959999999999</v>
      </c>
      <c r="U87" s="35">
        <v>1.0281409223796443</v>
      </c>
      <c r="W87" s="35">
        <f t="shared" si="13"/>
        <v>724.64839102520682</v>
      </c>
      <c r="X87" s="35">
        <f t="shared" si="14"/>
        <v>53758.471160460947</v>
      </c>
      <c r="Y87" s="35">
        <f t="shared" si="15"/>
        <v>25458.086118982217</v>
      </c>
      <c r="Z87" s="35">
        <f t="shared" si="16"/>
        <v>0</v>
      </c>
      <c r="AA87" s="35">
        <f t="shared" si="17"/>
        <v>1</v>
      </c>
      <c r="AB87" s="35">
        <f t="shared" si="18"/>
        <v>0</v>
      </c>
    </row>
    <row r="88" spans="1:28">
      <c r="A88" s="35">
        <v>77</v>
      </c>
      <c r="B88" s="35">
        <v>3.8420510806958755E-4</v>
      </c>
      <c r="C88" s="232">
        <v>63.54</v>
      </c>
      <c r="D88" s="35">
        <v>5.0584386013548377</v>
      </c>
      <c r="E88" s="232">
        <v>37.78</v>
      </c>
      <c r="F88" s="35">
        <v>5.0489371129931486</v>
      </c>
      <c r="G88" s="232">
        <v>13537.38</v>
      </c>
      <c r="H88" s="35">
        <v>8.7705952417506463</v>
      </c>
      <c r="I88" s="232">
        <v>15492.92</v>
      </c>
      <c r="J88" s="35">
        <v>8.2728092270615239</v>
      </c>
      <c r="K88" s="232">
        <v>16062.19</v>
      </c>
      <c r="L88" s="35">
        <v>8.9385802085887036</v>
      </c>
      <c r="M88" s="232">
        <v>42237.96</v>
      </c>
      <c r="N88" s="35">
        <v>7.8262321092383891</v>
      </c>
      <c r="P88" s="232">
        <v>-25.76</v>
      </c>
      <c r="Q88" s="35">
        <v>9.50148836168907E-3</v>
      </c>
      <c r="R88" s="232">
        <v>1955.54</v>
      </c>
      <c r="S88" s="35">
        <v>0.49778601468912242</v>
      </c>
      <c r="T88" s="232">
        <v>26175.77</v>
      </c>
      <c r="U88" s="35">
        <v>1.1123480993503145</v>
      </c>
      <c r="W88" s="35">
        <f t="shared" si="13"/>
        <v>500.83441808445349</v>
      </c>
      <c r="X88" s="35">
        <f t="shared" si="14"/>
        <v>22933.760734456122</v>
      </c>
      <c r="Y88" s="35">
        <f t="shared" si="15"/>
        <v>29441.634967515729</v>
      </c>
      <c r="Z88" s="35">
        <f t="shared" si="16"/>
        <v>0</v>
      </c>
      <c r="AA88" s="35">
        <f t="shared" si="17"/>
        <v>0</v>
      </c>
      <c r="AB88" s="35">
        <f t="shared" si="18"/>
        <v>1</v>
      </c>
    </row>
    <row r="89" spans="1:28">
      <c r="A89" s="35">
        <v>78</v>
      </c>
      <c r="B89" s="35">
        <v>5.8671360811546336E-4</v>
      </c>
      <c r="C89" s="232">
        <v>80.430000000000007</v>
      </c>
      <c r="D89" s="35">
        <v>5.0690685846419496</v>
      </c>
      <c r="E89" s="232">
        <v>48.3</v>
      </c>
      <c r="F89" s="35">
        <v>5.0552059478998883</v>
      </c>
      <c r="G89" s="232">
        <v>10150.629999999999</v>
      </c>
      <c r="H89" s="35">
        <v>8.8034965531998548</v>
      </c>
      <c r="I89" s="232">
        <v>9935.4699999999993</v>
      </c>
      <c r="J89" s="35">
        <v>6.6027404763551258</v>
      </c>
      <c r="K89" s="232">
        <v>12540.06</v>
      </c>
      <c r="L89" s="35">
        <v>8.6217355621175358</v>
      </c>
      <c r="M89" s="232">
        <v>38600.550000000003</v>
      </c>
      <c r="N89" s="35">
        <v>7.4275940247518379</v>
      </c>
      <c r="P89" s="232">
        <v>-32.130000000000003</v>
      </c>
      <c r="Q89" s="35">
        <v>1.3862636742061341E-2</v>
      </c>
      <c r="R89" s="232">
        <v>-215.16</v>
      </c>
      <c r="S89" s="35">
        <v>2.200756076844729</v>
      </c>
      <c r="T89" s="232">
        <v>26060.49</v>
      </c>
      <c r="U89" s="35">
        <v>1.1941415373656978</v>
      </c>
      <c r="W89" s="35">
        <f t="shared" si="13"/>
        <v>725.26183710306702</v>
      </c>
      <c r="X89" s="35">
        <f t="shared" si="14"/>
        <v>110252.96384223645</v>
      </c>
      <c r="Y89" s="35">
        <f t="shared" si="15"/>
        <v>33646.586868284896</v>
      </c>
      <c r="Z89" s="35">
        <f t="shared" si="16"/>
        <v>0</v>
      </c>
      <c r="AA89" s="35">
        <f t="shared" si="17"/>
        <v>1</v>
      </c>
      <c r="AB89" s="35">
        <f t="shared" si="18"/>
        <v>0</v>
      </c>
    </row>
    <row r="90" spans="1:28">
      <c r="A90" s="35">
        <v>79</v>
      </c>
      <c r="B90" s="35">
        <v>4.9811582564796009E-4</v>
      </c>
      <c r="C90" s="232">
        <v>64.86</v>
      </c>
      <c r="D90" s="35">
        <v>5.063526791017523</v>
      </c>
      <c r="E90" s="232">
        <v>36.380000000000003</v>
      </c>
      <c r="F90" s="35">
        <v>5.0508368156721986</v>
      </c>
      <c r="G90" s="232">
        <v>10162.82</v>
      </c>
      <c r="H90" s="35">
        <v>8.6962670504086397</v>
      </c>
      <c r="I90" s="232">
        <v>11089.03</v>
      </c>
      <c r="J90" s="35">
        <v>7.3194534738635957</v>
      </c>
      <c r="K90" s="232">
        <v>13238.74</v>
      </c>
      <c r="L90" s="35">
        <v>8.8425871798133731</v>
      </c>
      <c r="M90" s="232">
        <v>39265.18</v>
      </c>
      <c r="N90" s="35">
        <v>7.8120632918007322</v>
      </c>
      <c r="P90" s="232">
        <v>-28.48</v>
      </c>
      <c r="Q90" s="35">
        <v>1.2689975345324456E-2</v>
      </c>
      <c r="R90" s="232">
        <v>926.21</v>
      </c>
      <c r="S90" s="35">
        <v>1.376813576545044</v>
      </c>
      <c r="T90" s="232">
        <v>26026.44</v>
      </c>
      <c r="U90" s="35">
        <v>1.0305238880126408</v>
      </c>
      <c r="W90" s="35">
        <f t="shared" si="13"/>
        <v>662.9787672662228</v>
      </c>
      <c r="X90" s="35">
        <f t="shared" si="14"/>
        <v>67914.468827252189</v>
      </c>
      <c r="Y90" s="35">
        <f t="shared" si="15"/>
        <v>25499.754400632042</v>
      </c>
      <c r="Z90" s="35">
        <f t="shared" si="16"/>
        <v>0</v>
      </c>
      <c r="AA90" s="35">
        <f t="shared" si="17"/>
        <v>1</v>
      </c>
      <c r="AB90" s="35">
        <f t="shared" si="18"/>
        <v>0</v>
      </c>
    </row>
    <row r="91" spans="1:28">
      <c r="A91" s="35">
        <v>80</v>
      </c>
      <c r="B91" s="35">
        <v>3.4341791219191694E-4</v>
      </c>
      <c r="C91" s="232">
        <v>58.03</v>
      </c>
      <c r="D91" s="35">
        <v>5.0540538242212243</v>
      </c>
      <c r="E91" s="232">
        <v>32</v>
      </c>
      <c r="F91" s="35">
        <v>5.0458000451395293</v>
      </c>
      <c r="G91" s="232">
        <v>12214.44</v>
      </c>
      <c r="H91" s="35">
        <v>8.3159519185718977</v>
      </c>
      <c r="I91" s="232">
        <v>10607.97</v>
      </c>
      <c r="J91" s="35">
        <v>6.711337026598911</v>
      </c>
      <c r="K91" s="232">
        <v>19662.12</v>
      </c>
      <c r="L91" s="35">
        <v>8.3048750939269045</v>
      </c>
      <c r="M91" s="232">
        <v>45876.68</v>
      </c>
      <c r="N91" s="35">
        <v>7.2989812939831209</v>
      </c>
      <c r="P91" s="232">
        <v>-26.03</v>
      </c>
      <c r="Q91" s="35">
        <v>8.2537790816950007E-3</v>
      </c>
      <c r="R91" s="232">
        <v>-1606.47</v>
      </c>
      <c r="S91" s="35">
        <v>1.6046148919729868</v>
      </c>
      <c r="T91" s="232">
        <v>26214.560000000001</v>
      </c>
      <c r="U91" s="35">
        <v>1.0058937999437836</v>
      </c>
      <c r="W91" s="35">
        <f t="shared" si="13"/>
        <v>438.71895408475007</v>
      </c>
      <c r="X91" s="35">
        <f t="shared" si="14"/>
        <v>81837.214598649341</v>
      </c>
      <c r="Y91" s="35">
        <f t="shared" si="15"/>
        <v>24080.129997189175</v>
      </c>
      <c r="Z91" s="35">
        <f t="shared" si="16"/>
        <v>0</v>
      </c>
      <c r="AA91" s="35">
        <f t="shared" si="17"/>
        <v>1</v>
      </c>
      <c r="AB91" s="35">
        <f t="shared" si="18"/>
        <v>0</v>
      </c>
    </row>
    <row r="92" spans="1:28">
      <c r="A92" s="35">
        <v>81</v>
      </c>
      <c r="B92" s="35">
        <v>4.4651529443695548E-4</v>
      </c>
      <c r="C92" s="232">
        <v>87.15</v>
      </c>
      <c r="D92" s="35">
        <v>5.0605881797958085</v>
      </c>
      <c r="E92" s="232">
        <v>50.35</v>
      </c>
      <c r="F92" s="35">
        <v>5.0500621912866785</v>
      </c>
      <c r="G92" s="232">
        <v>14570.68</v>
      </c>
      <c r="H92" s="35">
        <v>8.423908669237548</v>
      </c>
      <c r="I92" s="232">
        <v>14174.7</v>
      </c>
      <c r="J92" s="35">
        <v>7.0060741161472651</v>
      </c>
      <c r="K92" s="232">
        <v>21936.560000000001</v>
      </c>
      <c r="L92" s="35">
        <v>8.7828462527793878</v>
      </c>
      <c r="M92" s="232">
        <v>48431.43</v>
      </c>
      <c r="N92" s="35">
        <v>7.6290256473746947</v>
      </c>
      <c r="P92" s="232">
        <v>-36.81</v>
      </c>
      <c r="Q92" s="35">
        <v>1.0525988509130002E-2</v>
      </c>
      <c r="R92" s="232">
        <v>-395.97</v>
      </c>
      <c r="S92" s="35">
        <v>1.4178345530902829</v>
      </c>
      <c r="T92" s="232">
        <v>26494.87</v>
      </c>
      <c r="U92" s="35">
        <v>1.1538206054046931</v>
      </c>
      <c r="W92" s="35">
        <f t="shared" si="13"/>
        <v>563.10942545650005</v>
      </c>
      <c r="X92" s="35">
        <f t="shared" si="14"/>
        <v>71287.697654514152</v>
      </c>
      <c r="Y92" s="35">
        <f t="shared" si="15"/>
        <v>31196.160270234654</v>
      </c>
      <c r="Z92" s="35">
        <f t="shared" si="16"/>
        <v>0</v>
      </c>
      <c r="AA92" s="35">
        <f t="shared" si="17"/>
        <v>1</v>
      </c>
      <c r="AB92" s="35">
        <f t="shared" si="18"/>
        <v>0</v>
      </c>
    </row>
    <row r="93" spans="1:28">
      <c r="A93" s="35">
        <v>82</v>
      </c>
      <c r="B93" s="35">
        <v>5.5517325291543074E-4</v>
      </c>
      <c r="C93" s="232">
        <v>80.88</v>
      </c>
      <c r="D93" s="35">
        <v>5.0629901770533898</v>
      </c>
      <c r="E93" s="232">
        <v>45.12</v>
      </c>
      <c r="F93" s="35">
        <v>5.0507694038234403</v>
      </c>
      <c r="G93" s="232">
        <v>10203.35</v>
      </c>
      <c r="H93" s="35">
        <v>7.9447042874761662</v>
      </c>
      <c r="I93" s="232">
        <v>8784.61</v>
      </c>
      <c r="J93" s="35">
        <v>6.1724166108290754</v>
      </c>
      <c r="K93" s="232">
        <v>17599.939999999999</v>
      </c>
      <c r="L93" s="35">
        <v>8.4758904289180812</v>
      </c>
      <c r="M93" s="232">
        <v>43871.95</v>
      </c>
      <c r="N93" s="35">
        <v>7.4928557259974067</v>
      </c>
      <c r="P93" s="232">
        <v>-35.76</v>
      </c>
      <c r="Q93" s="35">
        <v>1.2220773229949522E-2</v>
      </c>
      <c r="R93" s="232">
        <v>-1418.74</v>
      </c>
      <c r="S93" s="35">
        <v>1.7722876766470907</v>
      </c>
      <c r="T93" s="232">
        <v>26272</v>
      </c>
      <c r="U93" s="35">
        <v>0.98303470292067452</v>
      </c>
      <c r="W93" s="35">
        <f t="shared" si="13"/>
        <v>646.79866149747613</v>
      </c>
      <c r="X93" s="35">
        <f t="shared" si="14"/>
        <v>90033.12383235454</v>
      </c>
      <c r="Y93" s="35">
        <f t="shared" si="15"/>
        <v>22879.735146033723</v>
      </c>
      <c r="Z93" s="35">
        <f t="shared" si="16"/>
        <v>0</v>
      </c>
      <c r="AA93" s="35">
        <f t="shared" si="17"/>
        <v>1</v>
      </c>
      <c r="AB93" s="35">
        <f t="shared" si="18"/>
        <v>0</v>
      </c>
    </row>
    <row r="94" spans="1:28">
      <c r="A94" s="35">
        <v>83</v>
      </c>
      <c r="B94" s="35">
        <v>6.0521188961282224E-4</v>
      </c>
      <c r="C94" s="232">
        <v>96.3</v>
      </c>
      <c r="D94" s="35">
        <v>5.069356119248388</v>
      </c>
      <c r="E94" s="232">
        <v>52.64</v>
      </c>
      <c r="F94" s="35">
        <v>5.0539070205083112</v>
      </c>
      <c r="G94" s="232">
        <v>12287.99</v>
      </c>
      <c r="H94" s="35">
        <v>8.8251304439099876</v>
      </c>
      <c r="I94" s="232">
        <v>11562.56</v>
      </c>
      <c r="J94" s="35">
        <v>6.69372328787375</v>
      </c>
      <c r="K94" s="232">
        <v>16455.11</v>
      </c>
      <c r="L94" s="35">
        <v>8.6616842015257554</v>
      </c>
      <c r="M94" s="232">
        <v>42724.46</v>
      </c>
      <c r="N94" s="35">
        <v>7.5781421230196342</v>
      </c>
      <c r="P94" s="232">
        <v>-43.66</v>
      </c>
      <c r="Q94" s="35">
        <v>1.5449098740076828E-2</v>
      </c>
      <c r="R94" s="232">
        <v>-725.42</v>
      </c>
      <c r="S94" s="35">
        <v>2.1314071560362375</v>
      </c>
      <c r="T94" s="232">
        <v>26269.35</v>
      </c>
      <c r="U94" s="35">
        <v>1.0835420785061212</v>
      </c>
      <c r="W94" s="35">
        <f t="shared" si="13"/>
        <v>816.11493700384131</v>
      </c>
      <c r="X94" s="35">
        <f t="shared" si="14"/>
        <v>107295.77780181187</v>
      </c>
      <c r="Y94" s="35">
        <f t="shared" si="15"/>
        <v>27907.75392530606</v>
      </c>
      <c r="Z94" s="35">
        <f t="shared" si="16"/>
        <v>0</v>
      </c>
      <c r="AA94" s="35">
        <f t="shared" si="17"/>
        <v>1</v>
      </c>
      <c r="AB94" s="35">
        <f t="shared" si="18"/>
        <v>0</v>
      </c>
    </row>
    <row r="95" spans="1:28">
      <c r="A95" s="35">
        <v>84</v>
      </c>
      <c r="B95" s="35">
        <v>3.6852947292875408E-4</v>
      </c>
      <c r="C95" s="232">
        <v>52.45</v>
      </c>
      <c r="D95" s="35">
        <v>5.0565494970361087</v>
      </c>
      <c r="E95" s="232">
        <v>33.32</v>
      </c>
      <c r="F95" s="35">
        <v>5.0484526027739784</v>
      </c>
      <c r="G95" s="232">
        <v>10752.81</v>
      </c>
      <c r="H95" s="35">
        <v>8.5092968383979954</v>
      </c>
      <c r="I95" s="232">
        <v>10823.57</v>
      </c>
      <c r="J95" s="35">
        <v>6.5198678791018105</v>
      </c>
      <c r="K95" s="232">
        <v>13834.9</v>
      </c>
      <c r="L95" s="35">
        <v>8.594159668559362</v>
      </c>
      <c r="M95" s="232">
        <v>39872.54</v>
      </c>
      <c r="N95" s="35">
        <v>7.5207134548715571</v>
      </c>
      <c r="P95" s="232">
        <v>-19.14</v>
      </c>
      <c r="Q95" s="35">
        <v>8.0968942621302276E-3</v>
      </c>
      <c r="R95" s="232">
        <v>70.760000000000005</v>
      </c>
      <c r="S95" s="35">
        <v>1.9894289592961849</v>
      </c>
      <c r="T95" s="232">
        <v>26037.64</v>
      </c>
      <c r="U95" s="35">
        <v>1.0734462136878049</v>
      </c>
      <c r="W95" s="35">
        <f t="shared" si="13"/>
        <v>423.98471310651138</v>
      </c>
      <c r="X95" s="35">
        <f t="shared" si="14"/>
        <v>99400.687964809244</v>
      </c>
      <c r="Y95" s="35">
        <f t="shared" si="15"/>
        <v>27634.670684390243</v>
      </c>
      <c r="Z95" s="35">
        <f t="shared" si="16"/>
        <v>0</v>
      </c>
      <c r="AA95" s="35">
        <f t="shared" si="17"/>
        <v>1</v>
      </c>
      <c r="AB95" s="35">
        <f t="shared" si="18"/>
        <v>0</v>
      </c>
    </row>
    <row r="96" spans="1:28">
      <c r="A96" s="35">
        <v>85</v>
      </c>
      <c r="B96" s="35">
        <v>3.6500191907763252E-4</v>
      </c>
      <c r="C96" s="232">
        <v>88.95</v>
      </c>
      <c r="D96" s="35">
        <v>5.0558514181332592</v>
      </c>
      <c r="E96" s="232">
        <v>56.46</v>
      </c>
      <c r="F96" s="35">
        <v>5.0485635183878816</v>
      </c>
      <c r="G96" s="232">
        <v>18128.54</v>
      </c>
      <c r="H96" s="35">
        <v>8.3694298024774874</v>
      </c>
      <c r="I96" s="232">
        <v>15920.49</v>
      </c>
      <c r="J96" s="35">
        <v>6.8020830102757577</v>
      </c>
      <c r="K96" s="232">
        <v>29214.400000000001</v>
      </c>
      <c r="L96" s="35">
        <v>8.4117606694138409</v>
      </c>
      <c r="M96" s="232">
        <v>56139.14</v>
      </c>
      <c r="N96" s="35">
        <v>7.3024422398937316</v>
      </c>
      <c r="P96" s="232">
        <v>-32.49</v>
      </c>
      <c r="Q96" s="35">
        <v>7.2878997453775796E-3</v>
      </c>
      <c r="R96" s="232">
        <v>-2208.04</v>
      </c>
      <c r="S96" s="35">
        <v>1.5673467922017297</v>
      </c>
      <c r="T96" s="232">
        <v>26924.74</v>
      </c>
      <c r="U96" s="35">
        <v>1.1093184295201093</v>
      </c>
      <c r="W96" s="35">
        <f t="shared" si="13"/>
        <v>396.884987268879</v>
      </c>
      <c r="X96" s="35">
        <f t="shared" si="14"/>
        <v>80575.379610086471</v>
      </c>
      <c r="Y96" s="35">
        <f t="shared" si="15"/>
        <v>28541.181476005466</v>
      </c>
      <c r="Z96" s="35">
        <f t="shared" si="16"/>
        <v>0</v>
      </c>
      <c r="AA96" s="35">
        <f t="shared" si="17"/>
        <v>1</v>
      </c>
      <c r="AB96" s="35">
        <f t="shared" si="18"/>
        <v>0</v>
      </c>
    </row>
    <row r="97" spans="1:28">
      <c r="A97" s="35">
        <v>86</v>
      </c>
      <c r="B97" s="35">
        <v>5.4390772142431931E-4</v>
      </c>
      <c r="C97" s="232">
        <v>86.67</v>
      </c>
      <c r="D97" s="35">
        <v>5.0684395884748898</v>
      </c>
      <c r="E97" s="232">
        <v>55.68</v>
      </c>
      <c r="F97" s="35">
        <v>5.0562378641992343</v>
      </c>
      <c r="G97" s="232">
        <v>12270.63</v>
      </c>
      <c r="H97" s="35">
        <v>9.0183203597357586</v>
      </c>
      <c r="I97" s="232">
        <v>14035.53</v>
      </c>
      <c r="J97" s="35">
        <v>8.4584897937935555</v>
      </c>
      <c r="K97" s="232">
        <v>14376.67</v>
      </c>
      <c r="L97" s="35">
        <v>9.0329664057424282</v>
      </c>
      <c r="M97" s="232">
        <v>40425.89</v>
      </c>
      <c r="N97" s="35">
        <v>7.8723229382355902</v>
      </c>
      <c r="P97" s="232">
        <v>-30.99</v>
      </c>
      <c r="Q97" s="35">
        <v>1.2201724275655579E-2</v>
      </c>
      <c r="R97" s="232">
        <v>1764.9</v>
      </c>
      <c r="S97" s="35">
        <v>0.55983056594220315</v>
      </c>
      <c r="T97" s="232">
        <v>26049.23</v>
      </c>
      <c r="U97" s="35">
        <v>1.160643467506838</v>
      </c>
      <c r="W97" s="35">
        <f t="shared" si="13"/>
        <v>641.07621378277895</v>
      </c>
      <c r="X97" s="35">
        <f t="shared" si="14"/>
        <v>26226.628297110157</v>
      </c>
      <c r="Y97" s="35">
        <f t="shared" si="15"/>
        <v>31982.943375341903</v>
      </c>
      <c r="Z97" s="35">
        <f t="shared" si="16"/>
        <v>0</v>
      </c>
      <c r="AA97" s="35">
        <f t="shared" si="17"/>
        <v>0</v>
      </c>
      <c r="AB97" s="35">
        <f t="shared" si="18"/>
        <v>1</v>
      </c>
    </row>
    <row r="98" spans="1:28">
      <c r="A98" s="35">
        <v>87</v>
      </c>
      <c r="B98" s="35">
        <v>4.2888598272765863E-4</v>
      </c>
      <c r="C98" s="232">
        <v>82.69</v>
      </c>
      <c r="D98" s="35">
        <v>5.0624748952184877</v>
      </c>
      <c r="E98" s="232">
        <v>51.31</v>
      </c>
      <c r="F98" s="35">
        <v>5.0520705643680701</v>
      </c>
      <c r="G98" s="232">
        <v>14876.13</v>
      </c>
      <c r="H98" s="35">
        <v>9.3210235150715821</v>
      </c>
      <c r="I98" s="232">
        <v>16185.66</v>
      </c>
      <c r="J98" s="35">
        <v>8.7061049622866431</v>
      </c>
      <c r="K98" s="232">
        <v>19720.47</v>
      </c>
      <c r="L98" s="35">
        <v>8.8872163264212745</v>
      </c>
      <c r="M98" s="232">
        <v>46062.55</v>
      </c>
      <c r="N98" s="35">
        <v>7.8720054576315022</v>
      </c>
      <c r="P98" s="232">
        <v>-31.37</v>
      </c>
      <c r="Q98" s="35">
        <v>1.0404330850417587E-2</v>
      </c>
      <c r="R98" s="232">
        <v>1309.52</v>
      </c>
      <c r="S98" s="35">
        <v>0.61491855278493901</v>
      </c>
      <c r="T98" s="232">
        <v>26342.080000000002</v>
      </c>
      <c r="U98" s="35">
        <v>1.0152108687897723</v>
      </c>
      <c r="W98" s="35">
        <f t="shared" si="13"/>
        <v>551.58654252087933</v>
      </c>
      <c r="X98" s="35">
        <f t="shared" si="14"/>
        <v>29436.407639246951</v>
      </c>
      <c r="Y98" s="35">
        <f t="shared" si="15"/>
        <v>24418.463439488616</v>
      </c>
      <c r="Z98" s="35">
        <f t="shared" si="16"/>
        <v>0</v>
      </c>
      <c r="AA98" s="35">
        <f t="shared" si="17"/>
        <v>1</v>
      </c>
      <c r="AB98" s="35">
        <f t="shared" si="18"/>
        <v>0</v>
      </c>
    </row>
    <row r="99" spans="1:28">
      <c r="A99" s="35">
        <v>88</v>
      </c>
      <c r="B99" s="35">
        <v>3.5219245428701461E-4</v>
      </c>
      <c r="C99" s="232">
        <v>41.18</v>
      </c>
      <c r="D99" s="35">
        <v>5.0583886987365068</v>
      </c>
      <c r="E99" s="232">
        <v>24.47</v>
      </c>
      <c r="F99" s="35">
        <v>5.0482660959561763</v>
      </c>
      <c r="G99" s="232">
        <v>9513.81</v>
      </c>
      <c r="H99" s="35">
        <v>9.3915728462778247</v>
      </c>
      <c r="I99" s="232">
        <v>11195.93</v>
      </c>
      <c r="J99" s="35">
        <v>7.2706182378637516</v>
      </c>
      <c r="K99" s="232">
        <v>9561.33</v>
      </c>
      <c r="L99" s="35">
        <v>9.1983932351913982</v>
      </c>
      <c r="M99" s="232">
        <v>35267.980000000003</v>
      </c>
      <c r="N99" s="35">
        <v>8.1836410401395128</v>
      </c>
      <c r="P99" s="232">
        <v>-16.71</v>
      </c>
      <c r="Q99" s="35">
        <v>1.0122602780330503E-2</v>
      </c>
      <c r="R99" s="232">
        <v>1682.12</v>
      </c>
      <c r="S99" s="35">
        <v>2.1209546084140731</v>
      </c>
      <c r="T99" s="232">
        <v>25706.65</v>
      </c>
      <c r="U99" s="35">
        <v>1.0147521950518854</v>
      </c>
      <c r="W99" s="35">
        <f t="shared" si="13"/>
        <v>522.8401390165252</v>
      </c>
      <c r="X99" s="35">
        <f t="shared" si="14"/>
        <v>104365.61042070366</v>
      </c>
      <c r="Y99" s="35">
        <f t="shared" si="15"/>
        <v>25030.959752594266</v>
      </c>
      <c r="Z99" s="35">
        <f t="shared" si="16"/>
        <v>0</v>
      </c>
      <c r="AA99" s="35">
        <f t="shared" si="17"/>
        <v>1</v>
      </c>
      <c r="AB99" s="35">
        <f t="shared" si="18"/>
        <v>0</v>
      </c>
    </row>
    <row r="100" spans="1:28">
      <c r="A100" s="35">
        <v>89</v>
      </c>
      <c r="B100" s="35">
        <v>3.4921684036933235E-4</v>
      </c>
      <c r="C100" s="232">
        <v>66.47</v>
      </c>
      <c r="D100" s="35">
        <v>5.0572343893014713</v>
      </c>
      <c r="E100" s="232">
        <v>38.159999999999997</v>
      </c>
      <c r="F100" s="35">
        <v>5.0479439025223476</v>
      </c>
      <c r="G100" s="232">
        <v>15086.47</v>
      </c>
      <c r="H100" s="35">
        <v>9.2320674493237416</v>
      </c>
      <c r="I100" s="232">
        <v>14215.91</v>
      </c>
      <c r="J100" s="35">
        <v>7.3039887522176086</v>
      </c>
      <c r="K100" s="232">
        <v>20807.21</v>
      </c>
      <c r="L100" s="35">
        <v>8.6004655042438625</v>
      </c>
      <c r="M100" s="232">
        <v>47314.34</v>
      </c>
      <c r="N100" s="35">
        <v>7.4567609671413591</v>
      </c>
      <c r="P100" s="232">
        <v>-28.31</v>
      </c>
      <c r="Q100" s="35">
        <v>9.2904867791236967E-3</v>
      </c>
      <c r="R100" s="232">
        <v>-870.57</v>
      </c>
      <c r="S100" s="35">
        <v>1.928078697106133</v>
      </c>
      <c r="T100" s="232">
        <v>26507.13</v>
      </c>
      <c r="U100" s="35">
        <v>1.1437045371025034</v>
      </c>
      <c r="W100" s="35">
        <f t="shared" si="13"/>
        <v>492.83433895618481</v>
      </c>
      <c r="X100" s="35">
        <f t="shared" si="14"/>
        <v>97274.504855306659</v>
      </c>
      <c r="Y100" s="35">
        <f t="shared" si="15"/>
        <v>30678.096855125168</v>
      </c>
      <c r="Z100" s="35">
        <f t="shared" si="16"/>
        <v>0</v>
      </c>
      <c r="AA100" s="35">
        <f t="shared" si="17"/>
        <v>1</v>
      </c>
      <c r="AB100" s="35">
        <f t="shared" si="18"/>
        <v>0</v>
      </c>
    </row>
    <row r="101" spans="1:28">
      <c r="A101" s="35">
        <v>90</v>
      </c>
      <c r="B101" s="35">
        <v>3.818685144927983E-4</v>
      </c>
      <c r="C101" s="232">
        <v>57.65</v>
      </c>
      <c r="D101" s="35">
        <v>5.0568558882439314</v>
      </c>
      <c r="E101" s="232">
        <v>35.44</v>
      </c>
      <c r="F101" s="35">
        <v>5.0483575127157634</v>
      </c>
      <c r="G101" s="232">
        <v>11456.17</v>
      </c>
      <c r="H101" s="35">
        <v>8.5327055181847129</v>
      </c>
      <c r="I101" s="232">
        <v>12154.69</v>
      </c>
      <c r="J101" s="35">
        <v>7.4537316444385775</v>
      </c>
      <c r="K101" s="232">
        <v>16247.48</v>
      </c>
      <c r="L101" s="35">
        <v>8.3458682539339062</v>
      </c>
      <c r="M101" s="232">
        <v>42512.55</v>
      </c>
      <c r="N101" s="35">
        <v>7.1809667740796144</v>
      </c>
      <c r="P101" s="232">
        <v>-22.21</v>
      </c>
      <c r="Q101" s="35">
        <v>8.4983755281680118E-3</v>
      </c>
      <c r="R101" s="232">
        <v>698.51</v>
      </c>
      <c r="S101" s="35">
        <v>1.0789738737461354</v>
      </c>
      <c r="T101" s="232">
        <v>26265.07</v>
      </c>
      <c r="U101" s="35">
        <v>1.1649014798542918</v>
      </c>
      <c r="W101" s="35">
        <f t="shared" si="13"/>
        <v>447.1287764084006</v>
      </c>
      <c r="X101" s="35">
        <f t="shared" si="14"/>
        <v>53250.183687306766</v>
      </c>
      <c r="Y101" s="35">
        <f t="shared" si="15"/>
        <v>31980.003992714592</v>
      </c>
      <c r="Z101" s="35">
        <f t="shared" si="16"/>
        <v>0</v>
      </c>
      <c r="AA101" s="35">
        <f t="shared" si="17"/>
        <v>1</v>
      </c>
      <c r="AB101" s="35">
        <f t="shared" si="18"/>
        <v>0</v>
      </c>
    </row>
    <row r="102" spans="1:28">
      <c r="A102" s="35">
        <v>91</v>
      </c>
      <c r="B102" s="35">
        <v>3.7023499314764989E-4</v>
      </c>
      <c r="C102" s="232">
        <v>51.29</v>
      </c>
      <c r="D102" s="35">
        <v>5.0577664948575674</v>
      </c>
      <c r="E102" s="232">
        <v>33.51</v>
      </c>
      <c r="F102" s="35">
        <v>5.0494699052759922</v>
      </c>
      <c r="G102" s="232">
        <v>10547.28</v>
      </c>
      <c r="H102" s="35">
        <v>8.8359838343909516</v>
      </c>
      <c r="I102" s="232">
        <v>11626.75</v>
      </c>
      <c r="J102" s="35">
        <v>7.7599735881825396</v>
      </c>
      <c r="K102" s="232">
        <v>13892.71</v>
      </c>
      <c r="L102" s="35">
        <v>8.8314367574700761</v>
      </c>
      <c r="M102" s="232">
        <v>39958.089999999997</v>
      </c>
      <c r="N102" s="35">
        <v>7.6985028036970213</v>
      </c>
      <c r="P102" s="232">
        <v>-17.78</v>
      </c>
      <c r="Q102" s="35">
        <v>8.2965895815751978E-3</v>
      </c>
      <c r="R102" s="232">
        <v>1079.47</v>
      </c>
      <c r="S102" s="35">
        <v>1.076010246208412</v>
      </c>
      <c r="T102" s="232">
        <v>26065.38</v>
      </c>
      <c r="U102" s="35">
        <v>1.1329339537730547</v>
      </c>
      <c r="W102" s="35">
        <f t="shared" si="13"/>
        <v>432.60947907875993</v>
      </c>
      <c r="X102" s="35">
        <f t="shared" si="14"/>
        <v>52721.042310420598</v>
      </c>
      <c r="Y102" s="35">
        <f t="shared" si="15"/>
        <v>30581.317688652733</v>
      </c>
      <c r="Z102" s="35">
        <f t="shared" si="16"/>
        <v>0</v>
      </c>
      <c r="AA102" s="35">
        <f t="shared" si="17"/>
        <v>1</v>
      </c>
      <c r="AB102" s="35">
        <f t="shared" si="18"/>
        <v>0</v>
      </c>
    </row>
    <row r="103" spans="1:28">
      <c r="A103" s="35">
        <v>92</v>
      </c>
      <c r="B103" s="35">
        <v>5.0541127619752046E-4</v>
      </c>
      <c r="C103" s="232">
        <v>64.63</v>
      </c>
      <c r="D103" s="35">
        <v>5.0667331447424324</v>
      </c>
      <c r="E103" s="232">
        <v>44.23</v>
      </c>
      <c r="F103" s="35">
        <v>5.0560069254942919</v>
      </c>
      <c r="G103" s="232">
        <v>10112.01</v>
      </c>
      <c r="H103" s="35">
        <v>9.019686523926973</v>
      </c>
      <c r="I103" s="232">
        <v>11825.47</v>
      </c>
      <c r="J103" s="35">
        <v>7.4769638421395834</v>
      </c>
      <c r="K103" s="232">
        <v>10506.41</v>
      </c>
      <c r="L103" s="35">
        <v>9.0641328078317116</v>
      </c>
      <c r="M103" s="232">
        <v>36299.449999999997</v>
      </c>
      <c r="N103" s="35">
        <v>7.8464099521880861</v>
      </c>
      <c r="P103" s="232">
        <v>-20.399999999999999</v>
      </c>
      <c r="Q103" s="35">
        <v>1.0726219248140545E-2</v>
      </c>
      <c r="R103" s="232">
        <v>1713.47</v>
      </c>
      <c r="S103" s="35">
        <v>1.5427226817873896</v>
      </c>
      <c r="T103" s="232">
        <v>25793.040000000001</v>
      </c>
      <c r="U103" s="35">
        <v>1.2177228556436255</v>
      </c>
      <c r="W103" s="35">
        <f t="shared" si="13"/>
        <v>556.71096240702718</v>
      </c>
      <c r="X103" s="35">
        <f t="shared" si="14"/>
        <v>75422.664089369471</v>
      </c>
      <c r="Y103" s="35">
        <f t="shared" si="15"/>
        <v>35093.102782181275</v>
      </c>
      <c r="Z103" s="35">
        <f t="shared" si="16"/>
        <v>0</v>
      </c>
      <c r="AA103" s="35">
        <f t="shared" si="17"/>
        <v>1</v>
      </c>
      <c r="AB103" s="35">
        <f t="shared" si="18"/>
        <v>0</v>
      </c>
    </row>
    <row r="104" spans="1:28">
      <c r="A104" s="35">
        <v>93</v>
      </c>
      <c r="B104" s="35">
        <v>3.4598353820626418E-4</v>
      </c>
      <c r="C104" s="232">
        <v>42.82</v>
      </c>
      <c r="D104" s="35">
        <v>5.0535330983824425</v>
      </c>
      <c r="E104" s="232">
        <v>26.29</v>
      </c>
      <c r="F104" s="35">
        <v>5.0461695002474505</v>
      </c>
      <c r="G104" s="232">
        <v>9518.8799999999992</v>
      </c>
      <c r="H104" s="35">
        <v>7.9803363637260212</v>
      </c>
      <c r="I104" s="232">
        <v>10842.83</v>
      </c>
      <c r="J104" s="35">
        <v>7.0315677012130662</v>
      </c>
      <c r="K104" s="232">
        <v>12999.57</v>
      </c>
      <c r="L104" s="35">
        <v>8.3806637547897349</v>
      </c>
      <c r="M104" s="232">
        <v>39064.589999999997</v>
      </c>
      <c r="N104" s="35">
        <v>7.3637139653335124</v>
      </c>
      <c r="P104" s="232">
        <v>-16.54</v>
      </c>
      <c r="Q104" s="35">
        <v>7.3635981349919888E-3</v>
      </c>
      <c r="R104" s="232">
        <v>1323.95</v>
      </c>
      <c r="S104" s="35">
        <v>0.948768662512955</v>
      </c>
      <c r="T104" s="232">
        <v>26065.02</v>
      </c>
      <c r="U104" s="35">
        <v>1.0169497894562225</v>
      </c>
      <c r="W104" s="35">
        <f t="shared" si="13"/>
        <v>384.71990674959949</v>
      </c>
      <c r="X104" s="35">
        <f t="shared" si="14"/>
        <v>46114.483125647756</v>
      </c>
      <c r="Y104" s="35">
        <f t="shared" si="15"/>
        <v>24782.469472811124</v>
      </c>
      <c r="Z104" s="35">
        <f t="shared" si="16"/>
        <v>0</v>
      </c>
      <c r="AA104" s="35">
        <f t="shared" si="17"/>
        <v>1</v>
      </c>
      <c r="AB104" s="35">
        <f t="shared" si="18"/>
        <v>0</v>
      </c>
    </row>
    <row r="105" spans="1:28">
      <c r="A105" s="35">
        <v>94</v>
      </c>
      <c r="B105" s="35">
        <v>4.483640996213456E-4</v>
      </c>
      <c r="C105" s="232">
        <v>70.42</v>
      </c>
      <c r="D105" s="35">
        <v>5.0595967283039531</v>
      </c>
      <c r="E105" s="232">
        <v>42.78</v>
      </c>
      <c r="F105" s="35">
        <v>5.0499603922095151</v>
      </c>
      <c r="G105" s="232">
        <v>12395.34</v>
      </c>
      <c r="H105" s="35">
        <v>8.3158203505290995</v>
      </c>
      <c r="I105" s="232">
        <v>13741.16</v>
      </c>
      <c r="J105" s="35">
        <v>6.916045950868881</v>
      </c>
      <c r="K105" s="232">
        <v>13696.97</v>
      </c>
      <c r="L105" s="35">
        <v>8.4225584414085084</v>
      </c>
      <c r="M105" s="232">
        <v>39745.25</v>
      </c>
      <c r="N105" s="35">
        <v>7.2753088410033451</v>
      </c>
      <c r="P105" s="232">
        <v>-27.64</v>
      </c>
      <c r="Q105" s="35">
        <v>9.6363360944380361E-3</v>
      </c>
      <c r="R105" s="232">
        <v>1345.82</v>
      </c>
      <c r="S105" s="35">
        <v>1.3997743996602185</v>
      </c>
      <c r="T105" s="232">
        <v>26048.29</v>
      </c>
      <c r="U105" s="35">
        <v>1.1472496004051633</v>
      </c>
      <c r="W105" s="35">
        <f t="shared" si="13"/>
        <v>509.45680472190179</v>
      </c>
      <c r="X105" s="35">
        <f t="shared" si="14"/>
        <v>68642.899983010924</v>
      </c>
      <c r="Y105" s="35">
        <f t="shared" si="15"/>
        <v>31314.190020258167</v>
      </c>
      <c r="Z105" s="35">
        <f t="shared" si="16"/>
        <v>0</v>
      </c>
      <c r="AA105" s="35">
        <f t="shared" si="17"/>
        <v>1</v>
      </c>
      <c r="AB105" s="35">
        <f t="shared" si="18"/>
        <v>0</v>
      </c>
    </row>
    <row r="106" spans="1:28">
      <c r="A106" s="35">
        <v>95</v>
      </c>
      <c r="B106" s="35">
        <v>5.1333899493644086E-4</v>
      </c>
      <c r="C106" s="232">
        <v>88.82</v>
      </c>
      <c r="D106" s="35">
        <v>5.0645473099911333</v>
      </c>
      <c r="E106" s="232">
        <v>54.44</v>
      </c>
      <c r="F106" s="35">
        <v>5.0531399822753142</v>
      </c>
      <c r="G106" s="232">
        <v>12715.57</v>
      </c>
      <c r="H106" s="35">
        <v>8.7621071856338109</v>
      </c>
      <c r="I106" s="232">
        <v>14073.63</v>
      </c>
      <c r="J106" s="35">
        <v>8.2519531452023784</v>
      </c>
      <c r="K106" s="232">
        <v>17695.34</v>
      </c>
      <c r="L106" s="35">
        <v>8.4618667466499726</v>
      </c>
      <c r="M106" s="232">
        <v>43997.98</v>
      </c>
      <c r="N106" s="35">
        <v>7.3316698807316074</v>
      </c>
      <c r="P106" s="232">
        <v>-34.39</v>
      </c>
      <c r="Q106" s="35">
        <v>1.1407327715819093E-2</v>
      </c>
      <c r="R106" s="232">
        <v>1358.06</v>
      </c>
      <c r="S106" s="35">
        <v>0.51015404043143242</v>
      </c>
      <c r="T106" s="232">
        <v>26302.639999999999</v>
      </c>
      <c r="U106" s="35">
        <v>1.1301968659183652</v>
      </c>
      <c r="W106" s="35">
        <f t="shared" si="13"/>
        <v>604.7563857909546</v>
      </c>
      <c r="X106" s="35">
        <f t="shared" si="14"/>
        <v>24149.642021571621</v>
      </c>
      <c r="Y106" s="35">
        <f t="shared" si="15"/>
        <v>30207.203295918262</v>
      </c>
      <c r="Z106" s="35">
        <f t="shared" si="16"/>
        <v>0</v>
      </c>
      <c r="AA106" s="35">
        <f t="shared" si="17"/>
        <v>0</v>
      </c>
      <c r="AB106" s="35">
        <f t="shared" si="18"/>
        <v>1</v>
      </c>
    </row>
    <row r="107" spans="1:28">
      <c r="A107" s="35">
        <v>96</v>
      </c>
      <c r="B107" s="35">
        <v>4.2326296042015729E-4</v>
      </c>
      <c r="C107" s="232">
        <v>92.39</v>
      </c>
      <c r="D107" s="35">
        <v>5.0585892458237725</v>
      </c>
      <c r="E107" s="232">
        <v>54.79</v>
      </c>
      <c r="F107" s="35">
        <v>5.0493587614699109</v>
      </c>
      <c r="G107" s="232">
        <v>16411.63</v>
      </c>
      <c r="H107" s="35">
        <v>8.2654402800363833</v>
      </c>
      <c r="I107" s="232">
        <v>15466.37</v>
      </c>
      <c r="J107" s="35">
        <v>6.6739452174235971</v>
      </c>
      <c r="K107" s="232">
        <v>24140.44</v>
      </c>
      <c r="L107" s="35">
        <v>8.6602892869275863</v>
      </c>
      <c r="M107" s="232">
        <v>50842.73</v>
      </c>
      <c r="N107" s="35">
        <v>7.5079929602451978</v>
      </c>
      <c r="P107" s="232">
        <v>-37.6</v>
      </c>
      <c r="Q107" s="35">
        <v>9.2304843538615344E-3</v>
      </c>
      <c r="R107" s="232">
        <v>-945.26</v>
      </c>
      <c r="S107" s="35">
        <v>1.5914950626127862</v>
      </c>
      <c r="T107" s="232">
        <v>26702.29</v>
      </c>
      <c r="U107" s="35">
        <v>1.1522963266823885</v>
      </c>
      <c r="W107" s="35">
        <f t="shared" si="13"/>
        <v>499.12421769307673</v>
      </c>
      <c r="X107" s="35">
        <f t="shared" si="14"/>
        <v>80520.013130639301</v>
      </c>
      <c r="Y107" s="35">
        <f t="shared" si="15"/>
        <v>30912.526334119422</v>
      </c>
      <c r="Z107" s="35">
        <f t="shared" si="16"/>
        <v>0</v>
      </c>
      <c r="AA107" s="35">
        <f t="shared" si="17"/>
        <v>1</v>
      </c>
      <c r="AB107" s="35">
        <f t="shared" si="18"/>
        <v>0</v>
      </c>
    </row>
    <row r="108" spans="1:28">
      <c r="A108" s="35">
        <v>97</v>
      </c>
      <c r="B108" s="35">
        <v>3.8302087760597105E-4</v>
      </c>
      <c r="C108" s="232">
        <v>53.01</v>
      </c>
      <c r="D108" s="35">
        <v>5.0574296552382192</v>
      </c>
      <c r="E108" s="232">
        <v>36.53</v>
      </c>
      <c r="F108" s="35">
        <v>5.050016861415398</v>
      </c>
      <c r="G108" s="232">
        <v>10572.9</v>
      </c>
      <c r="H108" s="35">
        <v>8.5324713721979659</v>
      </c>
      <c r="I108" s="232">
        <v>11493.38</v>
      </c>
      <c r="J108" s="35">
        <v>6.5128774157764644</v>
      </c>
      <c r="K108" s="232">
        <v>11438.96</v>
      </c>
      <c r="L108" s="35">
        <v>8.5921790281608512</v>
      </c>
      <c r="M108" s="232">
        <v>37359.07</v>
      </c>
      <c r="N108" s="35">
        <v>7.5074760380905508</v>
      </c>
      <c r="P108" s="232">
        <v>-16.48</v>
      </c>
      <c r="Q108" s="35">
        <v>7.4127938228212287E-3</v>
      </c>
      <c r="R108" s="232">
        <v>920.48</v>
      </c>
      <c r="S108" s="35">
        <v>2.0195939564215015</v>
      </c>
      <c r="T108" s="232">
        <v>25920.11</v>
      </c>
      <c r="U108" s="35">
        <v>1.0847029900703005</v>
      </c>
      <c r="W108" s="35">
        <f t="shared" si="13"/>
        <v>387.11969114106148</v>
      </c>
      <c r="X108" s="35">
        <f t="shared" si="14"/>
        <v>100059.21782107509</v>
      </c>
      <c r="Y108" s="35">
        <f t="shared" si="15"/>
        <v>28315.039503515021</v>
      </c>
      <c r="Z108" s="35">
        <f t="shared" si="16"/>
        <v>0</v>
      </c>
      <c r="AA108" s="35">
        <f t="shared" si="17"/>
        <v>1</v>
      </c>
      <c r="AB108" s="35">
        <f t="shared" si="18"/>
        <v>0</v>
      </c>
    </row>
    <row r="109" spans="1:28">
      <c r="A109" s="35">
        <v>98</v>
      </c>
      <c r="B109" s="35">
        <v>4.5555315013456887E-4</v>
      </c>
      <c r="C109" s="232">
        <v>63.54</v>
      </c>
      <c r="D109" s="35">
        <v>5.0610838338459896</v>
      </c>
      <c r="E109" s="232">
        <v>39.65</v>
      </c>
      <c r="F109" s="35">
        <v>5.0510398882403358</v>
      </c>
      <c r="G109" s="232">
        <v>10494.85</v>
      </c>
      <c r="H109" s="35">
        <v>8.5997983712078163</v>
      </c>
      <c r="I109" s="232">
        <v>11218.95</v>
      </c>
      <c r="J109" s="35">
        <v>7.347026435588857</v>
      </c>
      <c r="K109" s="232">
        <v>14143.83</v>
      </c>
      <c r="L109" s="35">
        <v>8.6066686858180699</v>
      </c>
      <c r="M109" s="232">
        <v>40207.17</v>
      </c>
      <c r="N109" s="35">
        <v>7.5906916020901471</v>
      </c>
      <c r="P109" s="232">
        <v>-23.89</v>
      </c>
      <c r="Q109" s="35">
        <v>1.0043945605653803E-2</v>
      </c>
      <c r="R109" s="232">
        <v>724.09</v>
      </c>
      <c r="S109" s="35">
        <v>1.2527719356189593</v>
      </c>
      <c r="T109" s="232">
        <v>26063.34</v>
      </c>
      <c r="U109" s="35">
        <v>1.0159770837279227</v>
      </c>
      <c r="W109" s="35">
        <f t="shared" si="13"/>
        <v>526.08728028269013</v>
      </c>
      <c r="X109" s="35">
        <f t="shared" si="14"/>
        <v>61914.506780947966</v>
      </c>
      <c r="Y109" s="35">
        <f t="shared" si="15"/>
        <v>24735.514186396136</v>
      </c>
      <c r="Z109" s="35">
        <f t="shared" si="16"/>
        <v>0</v>
      </c>
      <c r="AA109" s="35">
        <f t="shared" si="17"/>
        <v>1</v>
      </c>
      <c r="AB109" s="35">
        <f t="shared" si="18"/>
        <v>0</v>
      </c>
    </row>
    <row r="110" spans="1:28">
      <c r="A110" s="35">
        <v>99</v>
      </c>
      <c r="B110" s="35">
        <v>4.205869356330286E-4</v>
      </c>
      <c r="C110" s="232">
        <v>78.31</v>
      </c>
      <c r="D110" s="35">
        <v>5.0590802143896392</v>
      </c>
      <c r="E110" s="232">
        <v>52.41</v>
      </c>
      <c r="F110" s="35">
        <v>5.0510930980003081</v>
      </c>
      <c r="G110" s="232">
        <v>13857.62</v>
      </c>
      <c r="H110" s="35">
        <v>8.3415501302941806</v>
      </c>
      <c r="I110" s="232">
        <v>12742.23</v>
      </c>
      <c r="J110" s="35">
        <v>6.55110114393801</v>
      </c>
      <c r="K110" s="232">
        <v>21639.64</v>
      </c>
      <c r="L110" s="35">
        <v>8.6514463269087969</v>
      </c>
      <c r="M110" s="232">
        <v>48090.5</v>
      </c>
      <c r="N110" s="35">
        <v>7.5697397922616094</v>
      </c>
      <c r="P110" s="232">
        <v>-25.9</v>
      </c>
      <c r="Q110" s="35">
        <v>7.9871163893310282E-3</v>
      </c>
      <c r="R110" s="232">
        <v>-1115.3900000000001</v>
      </c>
      <c r="S110" s="35">
        <v>1.7904489863561706</v>
      </c>
      <c r="T110" s="232">
        <v>26450.86</v>
      </c>
      <c r="U110" s="35">
        <v>1.0817065346471875</v>
      </c>
      <c r="W110" s="35">
        <f t="shared" si="13"/>
        <v>425.25581946655137</v>
      </c>
      <c r="X110" s="35">
        <f t="shared" si="14"/>
        <v>90637.839317808524</v>
      </c>
      <c r="Y110" s="35">
        <f t="shared" si="15"/>
        <v>27634.466732359375</v>
      </c>
      <c r="Z110" s="35">
        <f t="shared" si="16"/>
        <v>0</v>
      </c>
      <c r="AA110" s="35">
        <f t="shared" si="17"/>
        <v>1</v>
      </c>
      <c r="AB110" s="35">
        <f t="shared" si="18"/>
        <v>0</v>
      </c>
    </row>
    <row r="111" spans="1:28">
      <c r="A111" s="35">
        <v>100</v>
      </c>
      <c r="B111" s="35">
        <v>3.7298205547817333E-4</v>
      </c>
      <c r="C111" s="232">
        <v>50.42</v>
      </c>
      <c r="D111" s="35">
        <v>5.0578169704815723</v>
      </c>
      <c r="E111" s="232">
        <v>29.76</v>
      </c>
      <c r="F111" s="35">
        <v>5.0482195794342584</v>
      </c>
      <c r="G111" s="232">
        <v>10953.4</v>
      </c>
      <c r="H111" s="35">
        <v>8.86417941283743</v>
      </c>
      <c r="I111" s="232">
        <v>12986.68</v>
      </c>
      <c r="J111" s="35">
        <v>8.5814553212453628</v>
      </c>
      <c r="K111" s="232">
        <v>13577.51</v>
      </c>
      <c r="L111" s="35">
        <v>8.8071683636631164</v>
      </c>
      <c r="M111" s="232">
        <v>39354.35</v>
      </c>
      <c r="N111" s="35">
        <v>7.7066528036632205</v>
      </c>
      <c r="P111" s="232">
        <v>-20.66</v>
      </c>
      <c r="Q111" s="35">
        <v>9.5973910473139412E-3</v>
      </c>
      <c r="R111" s="232">
        <v>2033.28</v>
      </c>
      <c r="S111" s="35">
        <v>0.28272409159206724</v>
      </c>
      <c r="T111" s="232">
        <v>25776.83</v>
      </c>
      <c r="U111" s="35">
        <v>1.1005155599998959</v>
      </c>
      <c r="W111" s="35">
        <f t="shared" si="13"/>
        <v>500.5295523656971</v>
      </c>
      <c r="X111" s="35">
        <f t="shared" si="14"/>
        <v>12102.924579603361</v>
      </c>
      <c r="Y111" s="35">
        <f t="shared" si="15"/>
        <v>29248.947999994794</v>
      </c>
      <c r="Z111" s="35">
        <f t="shared" si="16"/>
        <v>0</v>
      </c>
      <c r="AA111" s="35">
        <f t="shared" si="17"/>
        <v>0</v>
      </c>
      <c r="AB111" s="35">
        <f t="shared" si="18"/>
        <v>1</v>
      </c>
    </row>
    <row r="112" spans="1:28">
      <c r="A112" s="35">
        <v>101</v>
      </c>
      <c r="B112" s="35">
        <v>5.1473487819209129E-4</v>
      </c>
      <c r="C112" s="232">
        <v>103.53</v>
      </c>
      <c r="D112" s="35">
        <v>5.0633671118588994</v>
      </c>
      <c r="E112" s="232">
        <v>69.73</v>
      </c>
      <c r="F112" s="35">
        <v>5.0541572809983819</v>
      </c>
      <c r="G112" s="232">
        <v>14800.44</v>
      </c>
      <c r="H112" s="35">
        <v>8.3613568159471807</v>
      </c>
      <c r="I112" s="232">
        <v>15534.34</v>
      </c>
      <c r="J112" s="35">
        <v>7.5810459032748678</v>
      </c>
      <c r="K112" s="232">
        <v>21411.53</v>
      </c>
      <c r="L112" s="35">
        <v>8.6524502145400319</v>
      </c>
      <c r="M112" s="232">
        <v>47708.76</v>
      </c>
      <c r="N112" s="35">
        <v>7.6333279721702407</v>
      </c>
      <c r="P112" s="232">
        <v>-33.81</v>
      </c>
      <c r="Q112" s="35">
        <v>9.2098308605175205E-3</v>
      </c>
      <c r="R112" s="232">
        <v>733.9</v>
      </c>
      <c r="S112" s="35">
        <v>0.7803109126723129</v>
      </c>
      <c r="T112" s="232">
        <v>26297.23</v>
      </c>
      <c r="U112" s="35">
        <v>1.0191222423697912</v>
      </c>
      <c r="W112" s="35">
        <f t="shared" si="13"/>
        <v>494.30154302587601</v>
      </c>
      <c r="X112" s="35">
        <f t="shared" si="14"/>
        <v>38281.645633615641</v>
      </c>
      <c r="Y112" s="35">
        <f t="shared" si="15"/>
        <v>24658.882118489561</v>
      </c>
      <c r="Z112" s="35">
        <f t="shared" si="16"/>
        <v>0</v>
      </c>
      <c r="AA112" s="35">
        <f t="shared" si="17"/>
        <v>1</v>
      </c>
      <c r="AB112" s="35">
        <f t="shared" si="18"/>
        <v>0</v>
      </c>
    </row>
    <row r="113" spans="1:28">
      <c r="A113" s="35">
        <v>102</v>
      </c>
      <c r="B113" s="35">
        <v>4.3581501963231833E-4</v>
      </c>
      <c r="C113" s="232">
        <v>56.96</v>
      </c>
      <c r="D113" s="35">
        <v>5.0626662551059871</v>
      </c>
      <c r="E113" s="232">
        <v>33.909999999999997</v>
      </c>
      <c r="F113" s="35">
        <v>5.0510623794825209</v>
      </c>
      <c r="G113" s="232">
        <v>10508.65</v>
      </c>
      <c r="H113" s="35">
        <v>9.2477274412194959</v>
      </c>
      <c r="I113" s="232">
        <v>12511.43</v>
      </c>
      <c r="J113" s="35">
        <v>8.5956876555006616</v>
      </c>
      <c r="K113" s="232">
        <v>10738.03</v>
      </c>
      <c r="L113" s="35">
        <v>8.8326585978042456</v>
      </c>
      <c r="M113" s="232">
        <v>36511.99</v>
      </c>
      <c r="N113" s="35">
        <v>7.6895752206514567</v>
      </c>
      <c r="P113" s="232">
        <v>-23.05</v>
      </c>
      <c r="Q113" s="35">
        <v>1.1603875623466209E-2</v>
      </c>
      <c r="R113" s="232">
        <v>2002.77</v>
      </c>
      <c r="S113" s="35">
        <v>0.65203978571883425</v>
      </c>
      <c r="T113" s="232">
        <v>25773.96</v>
      </c>
      <c r="U113" s="35">
        <v>1.1430833771527888</v>
      </c>
      <c r="W113" s="35">
        <f t="shared" si="13"/>
        <v>603.24378117331037</v>
      </c>
      <c r="X113" s="35">
        <f t="shared" si="14"/>
        <v>30599.219285941712</v>
      </c>
      <c r="Y113" s="35">
        <f t="shared" si="15"/>
        <v>31380.208857639445</v>
      </c>
      <c r="Z113" s="35">
        <f t="shared" si="16"/>
        <v>0</v>
      </c>
      <c r="AA113" s="35">
        <f t="shared" si="17"/>
        <v>0</v>
      </c>
      <c r="AB113" s="35">
        <f t="shared" si="18"/>
        <v>1</v>
      </c>
    </row>
    <row r="114" spans="1:28">
      <c r="A114" s="35">
        <v>103</v>
      </c>
      <c r="B114" s="35">
        <v>5.0973254023545245E-4</v>
      </c>
      <c r="C114" s="232">
        <v>96.04</v>
      </c>
      <c r="D114" s="35">
        <v>5.0650270840064691</v>
      </c>
      <c r="E114" s="232">
        <v>61.13</v>
      </c>
      <c r="F114" s="35">
        <v>5.0541375971873936</v>
      </c>
      <c r="G114" s="232">
        <v>14326.54</v>
      </c>
      <c r="H114" s="35">
        <v>8.9576144415202261</v>
      </c>
      <c r="I114" s="232">
        <v>14819.43</v>
      </c>
      <c r="J114" s="35">
        <v>7.8082330804208091</v>
      </c>
      <c r="K114" s="232">
        <v>18211.34</v>
      </c>
      <c r="L114" s="35">
        <v>8.5775674279451621</v>
      </c>
      <c r="M114" s="232">
        <v>44558.73</v>
      </c>
      <c r="N114" s="35">
        <v>7.4645056314634077</v>
      </c>
      <c r="P114" s="232">
        <v>-34.92</v>
      </c>
      <c r="Q114" s="35">
        <v>1.0889486819075422E-2</v>
      </c>
      <c r="R114" s="232">
        <v>492.89</v>
      </c>
      <c r="S114" s="35">
        <v>1.149381361099417</v>
      </c>
      <c r="T114" s="232">
        <v>26347.39</v>
      </c>
      <c r="U114" s="35">
        <v>1.1130617964817544</v>
      </c>
      <c r="W114" s="35">
        <f t="shared" si="13"/>
        <v>579.39434095377112</v>
      </c>
      <c r="X114" s="35">
        <f t="shared" si="14"/>
        <v>56976.178054970849</v>
      </c>
      <c r="Y114" s="35">
        <f t="shared" si="15"/>
        <v>29305.699824087722</v>
      </c>
      <c r="Z114" s="35">
        <f t="shared" si="16"/>
        <v>0</v>
      </c>
      <c r="AA114" s="35">
        <f t="shared" si="17"/>
        <v>1</v>
      </c>
      <c r="AB114" s="35">
        <f t="shared" si="18"/>
        <v>0</v>
      </c>
    </row>
    <row r="115" spans="1:28">
      <c r="A115" s="35">
        <v>104</v>
      </c>
      <c r="B115" s="35">
        <v>4.8787064285560344E-4</v>
      </c>
      <c r="C115" s="232">
        <v>59.39</v>
      </c>
      <c r="D115" s="35">
        <v>5.0628948289906699</v>
      </c>
      <c r="E115" s="232">
        <v>38.47</v>
      </c>
      <c r="F115" s="35">
        <v>5.0525573649457876</v>
      </c>
      <c r="G115" s="232">
        <v>8585.77</v>
      </c>
      <c r="H115" s="35">
        <v>8.4788021346063225</v>
      </c>
      <c r="I115" s="232">
        <v>9227.43</v>
      </c>
      <c r="J115" s="35">
        <v>7.3596609214294029</v>
      </c>
      <c r="K115" s="232">
        <v>13130.32</v>
      </c>
      <c r="L115" s="35">
        <v>8.8526753482981366</v>
      </c>
      <c r="M115" s="232">
        <v>39204.06</v>
      </c>
      <c r="N115" s="35">
        <v>7.7835717618222047</v>
      </c>
      <c r="P115" s="232">
        <v>-20.92</v>
      </c>
      <c r="Q115" s="35">
        <v>1.0337464044882338E-2</v>
      </c>
      <c r="R115" s="232">
        <v>641.66</v>
      </c>
      <c r="S115" s="35">
        <v>1.1191412131769196</v>
      </c>
      <c r="T115" s="232">
        <v>26073.75</v>
      </c>
      <c r="U115" s="35">
        <v>1.069103586475932</v>
      </c>
      <c r="W115" s="35">
        <f t="shared" si="13"/>
        <v>537.79320224411686</v>
      </c>
      <c r="X115" s="35">
        <f t="shared" si="14"/>
        <v>55315.400658845974</v>
      </c>
      <c r="Y115" s="35">
        <f t="shared" si="15"/>
        <v>27381.429323796598</v>
      </c>
      <c r="Z115" s="35">
        <f t="shared" si="16"/>
        <v>0</v>
      </c>
      <c r="AA115" s="35">
        <f t="shared" si="17"/>
        <v>1</v>
      </c>
      <c r="AB115" s="35">
        <f t="shared" si="18"/>
        <v>0</v>
      </c>
    </row>
    <row r="116" spans="1:28">
      <c r="A116" s="35">
        <v>105</v>
      </c>
      <c r="B116" s="35">
        <v>4.0411095093524781E-4</v>
      </c>
      <c r="C116" s="232">
        <v>53.24</v>
      </c>
      <c r="D116" s="35">
        <v>5.0600193687611741</v>
      </c>
      <c r="E116" s="232">
        <v>34.42</v>
      </c>
      <c r="F116" s="35">
        <v>5.0506888801126602</v>
      </c>
      <c r="G116" s="232">
        <v>10715.46</v>
      </c>
      <c r="H116" s="35">
        <v>9.118509287127635</v>
      </c>
      <c r="I116" s="232">
        <v>12751.21</v>
      </c>
      <c r="J116" s="35">
        <v>8.5563437425573241</v>
      </c>
      <c r="K116" s="232">
        <v>11667.65</v>
      </c>
      <c r="L116" s="35">
        <v>8.5138680653941101</v>
      </c>
      <c r="M116" s="232">
        <v>37639.46</v>
      </c>
      <c r="N116" s="35">
        <v>7.3938699103475534</v>
      </c>
      <c r="P116" s="232">
        <v>-18.82</v>
      </c>
      <c r="Q116" s="35">
        <v>9.3304886485139349E-3</v>
      </c>
      <c r="R116" s="232">
        <v>2035.76</v>
      </c>
      <c r="S116" s="35">
        <v>0.56216554457031087</v>
      </c>
      <c r="T116" s="232">
        <v>25971.81</v>
      </c>
      <c r="U116" s="35">
        <v>1.1199981550465568</v>
      </c>
      <c r="W116" s="35">
        <f t="shared" si="13"/>
        <v>485.34443242569677</v>
      </c>
      <c r="X116" s="35">
        <f t="shared" si="14"/>
        <v>26072.517228515546</v>
      </c>
      <c r="Y116" s="35">
        <f t="shared" si="15"/>
        <v>30028.097752327838</v>
      </c>
      <c r="Z116" s="35">
        <f t="shared" si="16"/>
        <v>0</v>
      </c>
      <c r="AA116" s="35">
        <f t="shared" si="17"/>
        <v>0</v>
      </c>
      <c r="AB116" s="35">
        <f t="shared" si="18"/>
        <v>1</v>
      </c>
    </row>
    <row r="117" spans="1:28">
      <c r="A117" s="35">
        <v>106</v>
      </c>
      <c r="B117" s="35">
        <v>4.6891988285535646E-4</v>
      </c>
      <c r="C117" s="232">
        <v>89.8</v>
      </c>
      <c r="D117" s="35">
        <v>5.0617052498765336</v>
      </c>
      <c r="E117" s="232">
        <v>49.74</v>
      </c>
      <c r="F117" s="35">
        <v>5.0501238642104536</v>
      </c>
      <c r="G117" s="232">
        <v>16643.29</v>
      </c>
      <c r="H117" s="35">
        <v>8.6627186487611656</v>
      </c>
      <c r="I117" s="232">
        <v>18952.55</v>
      </c>
      <c r="J117" s="35">
        <v>8.4566825115547495</v>
      </c>
      <c r="K117" s="232">
        <v>15556.34</v>
      </c>
      <c r="L117" s="35">
        <v>8.5026164078111961</v>
      </c>
      <c r="M117" s="232">
        <v>41707.599999999999</v>
      </c>
      <c r="N117" s="35">
        <v>7.4025516578440893</v>
      </c>
      <c r="P117" s="232">
        <v>-40.06</v>
      </c>
      <c r="Q117" s="35">
        <v>1.1581385666080024E-2</v>
      </c>
      <c r="R117" s="232">
        <v>2309.2600000000002</v>
      </c>
      <c r="S117" s="35">
        <v>0.20603613720641611</v>
      </c>
      <c r="T117" s="232">
        <v>26151.26</v>
      </c>
      <c r="U117" s="35">
        <v>1.1000647499671068</v>
      </c>
      <c r="W117" s="35">
        <f t="shared" si="13"/>
        <v>619.12928330400109</v>
      </c>
      <c r="X117" s="35">
        <f t="shared" si="14"/>
        <v>7992.5468603208046</v>
      </c>
      <c r="Y117" s="35">
        <f t="shared" si="15"/>
        <v>28851.97749835534</v>
      </c>
      <c r="Z117" s="35">
        <f t="shared" si="16"/>
        <v>0</v>
      </c>
      <c r="AA117" s="35">
        <f t="shared" si="17"/>
        <v>0</v>
      </c>
      <c r="AB117" s="35">
        <f t="shared" si="18"/>
        <v>1</v>
      </c>
    </row>
    <row r="118" spans="1:28">
      <c r="A118" s="35">
        <v>107</v>
      </c>
      <c r="B118" s="35">
        <v>4.4710935986846945E-4</v>
      </c>
      <c r="C118" s="232">
        <v>71.69</v>
      </c>
      <c r="D118" s="35">
        <v>5.0618393047716737</v>
      </c>
      <c r="E118" s="232">
        <v>41.85</v>
      </c>
      <c r="F118" s="35">
        <v>5.0506603584736922</v>
      </c>
      <c r="G118" s="232">
        <v>13628.61</v>
      </c>
      <c r="H118" s="35">
        <v>8.9494918744045648</v>
      </c>
      <c r="I118" s="232">
        <v>15608.01</v>
      </c>
      <c r="J118" s="35">
        <v>7.3532554764063303</v>
      </c>
      <c r="K118" s="232">
        <v>14958.31</v>
      </c>
      <c r="L118" s="35">
        <v>8.6564428473004487</v>
      </c>
      <c r="M118" s="232">
        <v>41133.94</v>
      </c>
      <c r="N118" s="35">
        <v>7.508783518360957</v>
      </c>
      <c r="P118" s="232">
        <v>-29.84</v>
      </c>
      <c r="Q118" s="35">
        <v>1.117894629798144E-2</v>
      </c>
      <c r="R118" s="232">
        <v>1979.4</v>
      </c>
      <c r="S118" s="35">
        <v>1.5962363979982346</v>
      </c>
      <c r="T118" s="232">
        <v>26175.63</v>
      </c>
      <c r="U118" s="35">
        <v>1.1476593289394916</v>
      </c>
      <c r="W118" s="35">
        <f t="shared" si="13"/>
        <v>588.78731489907204</v>
      </c>
      <c r="X118" s="35">
        <f t="shared" si="14"/>
        <v>77832.419899911736</v>
      </c>
      <c r="Y118" s="35">
        <f t="shared" si="15"/>
        <v>31207.336446974583</v>
      </c>
      <c r="Z118" s="35">
        <f t="shared" si="16"/>
        <v>0</v>
      </c>
      <c r="AA118" s="35">
        <f t="shared" si="17"/>
        <v>1</v>
      </c>
      <c r="AB118" s="35">
        <f t="shared" si="18"/>
        <v>0</v>
      </c>
    </row>
    <row r="119" spans="1:28">
      <c r="A119" s="35">
        <v>108</v>
      </c>
      <c r="B119" s="35">
        <v>4.1094682652449347E-4</v>
      </c>
      <c r="C119" s="232">
        <v>45.65</v>
      </c>
      <c r="D119" s="35">
        <v>5.0582007852267274</v>
      </c>
      <c r="E119" s="232">
        <v>26.17</v>
      </c>
      <c r="F119" s="35">
        <v>5.0479194817774946</v>
      </c>
      <c r="G119" s="232">
        <v>8366.24</v>
      </c>
      <c r="H119" s="35">
        <v>8.4761007823473964</v>
      </c>
      <c r="I119" s="232">
        <v>9421.9699999999993</v>
      </c>
      <c r="J119" s="35">
        <v>7.107140540640942</v>
      </c>
      <c r="K119" s="232">
        <v>10240.31</v>
      </c>
      <c r="L119" s="35">
        <v>8.5789234347008669</v>
      </c>
      <c r="M119" s="232">
        <v>36105.370000000003</v>
      </c>
      <c r="N119" s="35">
        <v>7.5242933184925409</v>
      </c>
      <c r="P119" s="232">
        <v>-19.48</v>
      </c>
      <c r="Q119" s="35">
        <v>1.0281303449232837E-2</v>
      </c>
      <c r="R119" s="232">
        <v>1055.73</v>
      </c>
      <c r="S119" s="35">
        <v>1.3689602417064544</v>
      </c>
      <c r="T119" s="232">
        <v>25865.05</v>
      </c>
      <c r="U119" s="35">
        <v>1.054630116208326</v>
      </c>
      <c r="W119" s="35">
        <f t="shared" si="13"/>
        <v>533.54517246164187</v>
      </c>
      <c r="X119" s="35">
        <f t="shared" si="14"/>
        <v>67392.282085322717</v>
      </c>
      <c r="Y119" s="35">
        <f t="shared" si="15"/>
        <v>26866.455810416304</v>
      </c>
      <c r="Z119" s="35">
        <f t="shared" si="16"/>
        <v>0</v>
      </c>
      <c r="AA119" s="35">
        <f t="shared" si="17"/>
        <v>1</v>
      </c>
      <c r="AB119" s="35">
        <f t="shared" si="18"/>
        <v>0</v>
      </c>
    </row>
    <row r="120" spans="1:28">
      <c r="A120" s="35">
        <v>109</v>
      </c>
      <c r="B120" s="35">
        <v>4.9156678491912853E-4</v>
      </c>
      <c r="C120" s="232">
        <v>45.82</v>
      </c>
      <c r="D120" s="35">
        <v>5.063858821414974</v>
      </c>
      <c r="E120" s="232">
        <v>30.86</v>
      </c>
      <c r="F120" s="35">
        <v>5.0533163220242576</v>
      </c>
      <c r="G120" s="232">
        <v>7019.17</v>
      </c>
      <c r="H120" s="35">
        <v>8.7742277250960345</v>
      </c>
      <c r="I120" s="232">
        <v>8443.16</v>
      </c>
      <c r="J120" s="35">
        <v>7.5074022760839663</v>
      </c>
      <c r="K120" s="232">
        <v>8362.6</v>
      </c>
      <c r="L120" s="35">
        <v>8.651223359286961</v>
      </c>
      <c r="M120" s="232">
        <v>34146.79</v>
      </c>
      <c r="N120" s="35">
        <v>7.5939463579518049</v>
      </c>
      <c r="P120" s="232">
        <v>-14.96</v>
      </c>
      <c r="Q120" s="35">
        <v>1.0542499390716387E-2</v>
      </c>
      <c r="R120" s="232">
        <v>1423.98</v>
      </c>
      <c r="S120" s="35">
        <v>1.2668254490120683</v>
      </c>
      <c r="T120" s="232">
        <v>25784.19</v>
      </c>
      <c r="U120" s="35">
        <v>1.057277001335156</v>
      </c>
      <c r="W120" s="35">
        <f t="shared" si="13"/>
        <v>542.08496953581937</v>
      </c>
      <c r="X120" s="35">
        <f t="shared" si="14"/>
        <v>61917.292450603411</v>
      </c>
      <c r="Y120" s="35">
        <f t="shared" si="15"/>
        <v>27079.660066757799</v>
      </c>
      <c r="Z120" s="35">
        <f t="shared" si="16"/>
        <v>0</v>
      </c>
      <c r="AA120" s="35">
        <f t="shared" si="17"/>
        <v>1</v>
      </c>
      <c r="AB120" s="35">
        <f t="shared" si="18"/>
        <v>0</v>
      </c>
    </row>
    <row r="121" spans="1:28">
      <c r="A121" s="35">
        <v>110</v>
      </c>
      <c r="B121" s="35">
        <v>4.2589614307428472E-4</v>
      </c>
      <c r="C121" s="232">
        <v>82.25</v>
      </c>
      <c r="D121" s="35">
        <v>5.0607962650337894</v>
      </c>
      <c r="E121" s="232">
        <v>48.3</v>
      </c>
      <c r="F121" s="35">
        <v>5.0503358307005293</v>
      </c>
      <c r="G121" s="232">
        <v>14815.14</v>
      </c>
      <c r="H121" s="35">
        <v>9.0337808440683016</v>
      </c>
      <c r="I121" s="232">
        <v>16260.98</v>
      </c>
      <c r="J121" s="35">
        <v>8.5858713209310622</v>
      </c>
      <c r="K121" s="232">
        <v>20182.830000000002</v>
      </c>
      <c r="L121" s="35">
        <v>8.6232635010096814</v>
      </c>
      <c r="M121" s="232">
        <v>46442.86</v>
      </c>
      <c r="N121" s="35">
        <v>7.5448099561979021</v>
      </c>
      <c r="P121" s="232">
        <v>-33.950000000000003</v>
      </c>
      <c r="Q121" s="35">
        <v>1.046043433326016E-2</v>
      </c>
      <c r="R121" s="232">
        <v>1445.84</v>
      </c>
      <c r="S121" s="35">
        <v>0.44790952313723942</v>
      </c>
      <c r="T121" s="232">
        <v>26260.03</v>
      </c>
      <c r="U121" s="35">
        <v>1.0784535448117794</v>
      </c>
      <c r="W121" s="35">
        <f t="shared" si="13"/>
        <v>556.97171666300801</v>
      </c>
      <c r="X121" s="35">
        <f t="shared" si="14"/>
        <v>20949.636156861972</v>
      </c>
      <c r="Y121" s="35">
        <f t="shared" si="15"/>
        <v>27662.647240588965</v>
      </c>
      <c r="Z121" s="35">
        <f t="shared" si="16"/>
        <v>0</v>
      </c>
      <c r="AA121" s="35">
        <f t="shared" si="17"/>
        <v>0</v>
      </c>
      <c r="AB121" s="35">
        <f t="shared" si="18"/>
        <v>1</v>
      </c>
    </row>
    <row r="122" spans="1:28">
      <c r="A122" s="35">
        <v>111</v>
      </c>
      <c r="B122" s="35">
        <v>4.7850898701473632E-4</v>
      </c>
      <c r="C122" s="232">
        <v>63.45</v>
      </c>
      <c r="D122" s="35">
        <v>5.062670858776313</v>
      </c>
      <c r="E122" s="232">
        <v>32.869999999999997</v>
      </c>
      <c r="F122" s="35">
        <v>5.0493132789281141</v>
      </c>
      <c r="G122" s="232">
        <v>10936.78</v>
      </c>
      <c r="H122" s="35">
        <v>8.8974925190849223</v>
      </c>
      <c r="I122" s="232">
        <v>12812.7</v>
      </c>
      <c r="J122" s="35">
        <v>8.0575110896499123</v>
      </c>
      <c r="K122" s="232">
        <v>12088.99</v>
      </c>
      <c r="L122" s="35">
        <v>8.4170828075410231</v>
      </c>
      <c r="M122" s="232">
        <v>37997.910000000003</v>
      </c>
      <c r="N122" s="35">
        <v>7.2693594367372842</v>
      </c>
      <c r="P122" s="232">
        <v>-30.58</v>
      </c>
      <c r="Q122" s="35">
        <v>1.3357579848198853E-2</v>
      </c>
      <c r="R122" s="232">
        <v>1875.92</v>
      </c>
      <c r="S122" s="35">
        <v>0.83998142943501009</v>
      </c>
      <c r="T122" s="232">
        <v>25908.93</v>
      </c>
      <c r="U122" s="35">
        <v>1.1477233708037389</v>
      </c>
      <c r="W122" s="35">
        <f t="shared" si="13"/>
        <v>698.45899240994265</v>
      </c>
      <c r="X122" s="35">
        <f t="shared" si="14"/>
        <v>40123.151471750505</v>
      </c>
      <c r="Y122" s="35">
        <f t="shared" si="15"/>
        <v>31477.238540186947</v>
      </c>
      <c r="Z122" s="35">
        <f t="shared" si="16"/>
        <v>0</v>
      </c>
      <c r="AA122" s="35">
        <f t="shared" si="17"/>
        <v>1</v>
      </c>
      <c r="AB122" s="35">
        <f t="shared" si="18"/>
        <v>0</v>
      </c>
    </row>
    <row r="123" spans="1:28">
      <c r="A123" s="35">
        <v>112</v>
      </c>
      <c r="B123" s="35">
        <v>3.7650331824867008E-4</v>
      </c>
      <c r="C123" s="232">
        <v>70.290000000000006</v>
      </c>
      <c r="D123" s="35">
        <v>5.0581165563922683</v>
      </c>
      <c r="E123" s="232">
        <v>42.63</v>
      </c>
      <c r="F123" s="35">
        <v>5.0491170001676053</v>
      </c>
      <c r="G123" s="232">
        <v>13917.07</v>
      </c>
      <c r="H123" s="35">
        <v>8.7764432346205492</v>
      </c>
      <c r="I123" s="232">
        <v>15499.61</v>
      </c>
      <c r="J123" s="35">
        <v>8.4358027781362743</v>
      </c>
      <c r="K123" s="232">
        <v>21257.040000000001</v>
      </c>
      <c r="L123" s="35">
        <v>8.9152997406965984</v>
      </c>
      <c r="M123" s="232">
        <v>47617.94</v>
      </c>
      <c r="N123" s="35">
        <v>7.8276834135237205</v>
      </c>
      <c r="P123" s="232">
        <v>-27.66</v>
      </c>
      <c r="Q123" s="35">
        <v>8.9995562246629746E-3</v>
      </c>
      <c r="R123" s="232">
        <v>1582.54</v>
      </c>
      <c r="S123" s="35">
        <v>0.34064045648427488</v>
      </c>
      <c r="T123" s="232">
        <v>26360.9</v>
      </c>
      <c r="U123" s="35">
        <v>1.0876163271728778</v>
      </c>
      <c r="W123" s="35">
        <f t="shared" si="13"/>
        <v>477.63781123314874</v>
      </c>
      <c r="X123" s="35">
        <f t="shared" si="14"/>
        <v>15449.482824213745</v>
      </c>
      <c r="Y123" s="35">
        <f t="shared" si="15"/>
        <v>28019.916358643888</v>
      </c>
      <c r="Z123" s="35">
        <f t="shared" si="16"/>
        <v>0</v>
      </c>
      <c r="AA123" s="35">
        <f t="shared" si="17"/>
        <v>0</v>
      </c>
      <c r="AB123" s="35">
        <f t="shared" si="18"/>
        <v>1</v>
      </c>
    </row>
    <row r="124" spans="1:28">
      <c r="A124" s="35">
        <v>113</v>
      </c>
      <c r="B124" s="35">
        <v>4.7300122721338766E-4</v>
      </c>
      <c r="C124" s="232">
        <v>70.33</v>
      </c>
      <c r="D124" s="35">
        <v>5.061026146272023</v>
      </c>
      <c r="E124" s="232">
        <v>41.02</v>
      </c>
      <c r="F124" s="35">
        <v>5.0501936670400092</v>
      </c>
      <c r="G124" s="232">
        <v>11728.55</v>
      </c>
      <c r="H124" s="35">
        <v>8.6183596754804306</v>
      </c>
      <c r="I124" s="232">
        <v>12890.37</v>
      </c>
      <c r="J124" s="35">
        <v>7.7517313590455341</v>
      </c>
      <c r="K124" s="232">
        <v>15886.85</v>
      </c>
      <c r="L124" s="35">
        <v>8.1922171866523925</v>
      </c>
      <c r="M124" s="232">
        <v>42075.59</v>
      </c>
      <c r="N124" s="35">
        <v>7.1129020741605489</v>
      </c>
      <c r="P124" s="232">
        <v>-29.31</v>
      </c>
      <c r="Q124" s="35">
        <v>1.0832479232013803E-2</v>
      </c>
      <c r="R124" s="232">
        <v>1161.82</v>
      </c>
      <c r="S124" s="35">
        <v>0.86662831643489646</v>
      </c>
      <c r="T124" s="232">
        <v>26188.74</v>
      </c>
      <c r="U124" s="35">
        <v>1.0793151124918436</v>
      </c>
      <c r="W124" s="35">
        <f t="shared" si="13"/>
        <v>570.93396160069005</v>
      </c>
      <c r="X124" s="35">
        <f t="shared" si="14"/>
        <v>42169.595821744821</v>
      </c>
      <c r="Y124" s="35">
        <f t="shared" si="15"/>
        <v>27777.015624592179</v>
      </c>
      <c r="Z124" s="35">
        <f t="shared" si="16"/>
        <v>0</v>
      </c>
      <c r="AA124" s="35">
        <f t="shared" si="17"/>
        <v>1</v>
      </c>
      <c r="AB124" s="35">
        <f t="shared" si="18"/>
        <v>0</v>
      </c>
    </row>
    <row r="125" spans="1:28">
      <c r="A125" s="35">
        <v>114</v>
      </c>
      <c r="B125" s="35">
        <v>5.389168542915268E-4</v>
      </c>
      <c r="C125" s="232">
        <v>101.36</v>
      </c>
      <c r="D125" s="35">
        <v>5.0681149279479332</v>
      </c>
      <c r="E125" s="232">
        <v>61.98</v>
      </c>
      <c r="F125" s="35">
        <v>5.0552917620597979</v>
      </c>
      <c r="G125" s="232">
        <v>14890.92</v>
      </c>
      <c r="H125" s="35">
        <v>9.2311710353095258</v>
      </c>
      <c r="I125" s="232">
        <v>15676.84</v>
      </c>
      <c r="J125" s="35">
        <v>8.0135152629303086</v>
      </c>
      <c r="K125" s="232">
        <v>18924.89</v>
      </c>
      <c r="L125" s="35">
        <v>8.7175232778546317</v>
      </c>
      <c r="M125" s="232">
        <v>45180.31</v>
      </c>
      <c r="N125" s="35">
        <v>7.6620358944116331</v>
      </c>
      <c r="P125" s="232">
        <v>-39.380000000000003</v>
      </c>
      <c r="Q125" s="35">
        <v>1.2823165888135257E-2</v>
      </c>
      <c r="R125" s="232">
        <v>785.92</v>
      </c>
      <c r="S125" s="35">
        <v>1.2176557723792172</v>
      </c>
      <c r="T125" s="232">
        <v>26255.42</v>
      </c>
      <c r="U125" s="35">
        <v>1.0554873834429985</v>
      </c>
      <c r="W125" s="35">
        <f t="shared" si="13"/>
        <v>680.53829440676282</v>
      </c>
      <c r="X125" s="35">
        <f t="shared" si="14"/>
        <v>60096.868618960863</v>
      </c>
      <c r="Y125" s="35">
        <f t="shared" si="15"/>
        <v>26518.949172149929</v>
      </c>
      <c r="Z125" s="35">
        <f t="shared" si="16"/>
        <v>0</v>
      </c>
      <c r="AA125" s="35">
        <f t="shared" si="17"/>
        <v>1</v>
      </c>
      <c r="AB125" s="35">
        <f t="shared" si="18"/>
        <v>0</v>
      </c>
    </row>
    <row r="126" spans="1:28">
      <c r="A126" s="35">
        <v>115</v>
      </c>
      <c r="B126" s="35">
        <v>3.7339573250517202E-4</v>
      </c>
      <c r="C126" s="232">
        <v>47.29</v>
      </c>
      <c r="D126" s="35">
        <v>5.0563308891340837</v>
      </c>
      <c r="E126" s="232">
        <v>29.84</v>
      </c>
      <c r="F126" s="35">
        <v>5.0481127636612797</v>
      </c>
      <c r="G126" s="232">
        <v>9461.49</v>
      </c>
      <c r="H126" s="35">
        <v>8.5203173519237545</v>
      </c>
      <c r="I126" s="232">
        <v>10258.09</v>
      </c>
      <c r="J126" s="35">
        <v>6.6396687006827193</v>
      </c>
      <c r="K126" s="232">
        <v>9926.19</v>
      </c>
      <c r="L126" s="35">
        <v>8.4953669562226342</v>
      </c>
      <c r="M126" s="232">
        <v>35655.83</v>
      </c>
      <c r="N126" s="35">
        <v>7.5066731676872918</v>
      </c>
      <c r="P126" s="232">
        <v>-17.45</v>
      </c>
      <c r="Q126" s="35">
        <v>8.2181254728039832E-3</v>
      </c>
      <c r="R126" s="232">
        <v>796.6</v>
      </c>
      <c r="S126" s="35">
        <v>1.8806486512410352</v>
      </c>
      <c r="T126" s="232">
        <v>25729.63</v>
      </c>
      <c r="U126" s="35">
        <v>0.9886937885353424</v>
      </c>
      <c r="W126" s="35">
        <f t="shared" si="13"/>
        <v>428.35627364019916</v>
      </c>
      <c r="X126" s="35">
        <f t="shared" si="14"/>
        <v>93235.832562051757</v>
      </c>
      <c r="Y126" s="35">
        <f t="shared" si="15"/>
        <v>23705.059426767122</v>
      </c>
      <c r="Z126" s="35">
        <f t="shared" si="16"/>
        <v>0</v>
      </c>
      <c r="AA126" s="35">
        <f t="shared" si="17"/>
        <v>1</v>
      </c>
      <c r="AB126" s="35">
        <f t="shared" si="18"/>
        <v>0</v>
      </c>
    </row>
    <row r="127" spans="1:28">
      <c r="A127" s="35">
        <v>116</v>
      </c>
      <c r="B127" s="35">
        <v>4.2651775719566967E-4</v>
      </c>
      <c r="C127" s="232">
        <v>57.62</v>
      </c>
      <c r="D127" s="35">
        <v>5.0602437317698232</v>
      </c>
      <c r="E127" s="232">
        <v>39.409999999999997</v>
      </c>
      <c r="F127" s="35">
        <v>5.0517704371125394</v>
      </c>
      <c r="G127" s="232">
        <v>10401.52</v>
      </c>
      <c r="H127" s="35">
        <v>8.5988084557020663</v>
      </c>
      <c r="I127" s="232">
        <v>11205.25</v>
      </c>
      <c r="J127" s="35">
        <v>7.1010190683969272</v>
      </c>
      <c r="K127" s="232">
        <v>13880.34</v>
      </c>
      <c r="L127" s="35">
        <v>8.7634555377007128</v>
      </c>
      <c r="M127" s="232">
        <v>39932.639999999999</v>
      </c>
      <c r="N127" s="35">
        <v>7.5886793774578454</v>
      </c>
      <c r="P127" s="232">
        <v>-18.21</v>
      </c>
      <c r="Q127" s="35">
        <v>8.4732946572838586E-3</v>
      </c>
      <c r="R127" s="232">
        <v>803.73</v>
      </c>
      <c r="S127" s="35">
        <v>1.4977893873051391</v>
      </c>
      <c r="T127" s="232">
        <v>26052.3</v>
      </c>
      <c r="U127" s="35">
        <v>1.1747761602428675</v>
      </c>
      <c r="W127" s="35">
        <f t="shared" si="13"/>
        <v>441.87473286419294</v>
      </c>
      <c r="X127" s="35">
        <f t="shared" si="14"/>
        <v>74085.739365256959</v>
      </c>
      <c r="Y127" s="35">
        <f t="shared" si="15"/>
        <v>32686.508012143375</v>
      </c>
      <c r="Z127" s="35">
        <f t="shared" si="16"/>
        <v>0</v>
      </c>
      <c r="AA127" s="35">
        <f t="shared" si="17"/>
        <v>1</v>
      </c>
      <c r="AB127" s="35">
        <f t="shared" si="18"/>
        <v>0</v>
      </c>
    </row>
    <row r="128" spans="1:28">
      <c r="A128" s="35">
        <v>117</v>
      </c>
      <c r="B128" s="35">
        <v>4.0242516440321796E-4</v>
      </c>
      <c r="C128" s="232">
        <v>73</v>
      </c>
      <c r="D128" s="35">
        <v>5.0584085928849341</v>
      </c>
      <c r="E128" s="232">
        <v>49.74</v>
      </c>
      <c r="F128" s="35">
        <v>5.0508535803653167</v>
      </c>
      <c r="G128" s="232">
        <v>13745.74</v>
      </c>
      <c r="H128" s="35">
        <v>8.5844224907302564</v>
      </c>
      <c r="I128" s="232">
        <v>14361.44</v>
      </c>
      <c r="J128" s="35">
        <v>7.4086965888347018</v>
      </c>
      <c r="K128" s="232">
        <v>17797.560000000001</v>
      </c>
      <c r="L128" s="35">
        <v>8.4590510565844941</v>
      </c>
      <c r="M128" s="232">
        <v>44095.33</v>
      </c>
      <c r="N128" s="35">
        <v>7.2916845854209855</v>
      </c>
      <c r="P128" s="232">
        <v>-23.26</v>
      </c>
      <c r="Q128" s="35">
        <v>7.5550125196173212E-3</v>
      </c>
      <c r="R128" s="232">
        <v>615.70000000000005</v>
      </c>
      <c r="S128" s="35">
        <v>1.1757259018955546</v>
      </c>
      <c r="T128" s="232">
        <v>26297.759999999998</v>
      </c>
      <c r="U128" s="35">
        <v>1.1673664711635086</v>
      </c>
      <c r="W128" s="35">
        <f t="shared" si="13"/>
        <v>401.01062598086605</v>
      </c>
      <c r="X128" s="35">
        <f t="shared" si="14"/>
        <v>58170.595094777731</v>
      </c>
      <c r="Y128" s="35">
        <f t="shared" si="15"/>
        <v>32070.563558175429</v>
      </c>
      <c r="Z128" s="35">
        <f t="shared" si="16"/>
        <v>0</v>
      </c>
      <c r="AA128" s="35">
        <f t="shared" si="17"/>
        <v>1</v>
      </c>
      <c r="AB128" s="35">
        <f t="shared" si="18"/>
        <v>0</v>
      </c>
    </row>
    <row r="129" spans="1:28">
      <c r="A129" s="35">
        <v>118</v>
      </c>
      <c r="B129" s="35">
        <v>3.5693651148585641E-4</v>
      </c>
      <c r="C129" s="232">
        <v>66.790000000000006</v>
      </c>
      <c r="D129" s="35">
        <v>5.0584961947529354</v>
      </c>
      <c r="E129" s="232">
        <v>43.02</v>
      </c>
      <c r="F129" s="35">
        <v>5.0500438371112484</v>
      </c>
      <c r="G129" s="232">
        <v>14751.49</v>
      </c>
      <c r="H129" s="35">
        <v>9.1329445521105104</v>
      </c>
      <c r="I129" s="232">
        <v>16836.12</v>
      </c>
      <c r="J129" s="35">
        <v>8.9895659698248576</v>
      </c>
      <c r="K129" s="232">
        <v>19183.18</v>
      </c>
      <c r="L129" s="35">
        <v>9.1549536780473861</v>
      </c>
      <c r="M129" s="232">
        <v>45645.3</v>
      </c>
      <c r="N129" s="35">
        <v>7.9788259856731516</v>
      </c>
      <c r="P129" s="232">
        <v>-23.78</v>
      </c>
      <c r="Q129" s="35">
        <v>8.4523576416870583E-3</v>
      </c>
      <c r="R129" s="232">
        <v>2084.63</v>
      </c>
      <c r="S129" s="35">
        <v>0.14337858228565281</v>
      </c>
      <c r="T129" s="232">
        <v>26462.12</v>
      </c>
      <c r="U129" s="35">
        <v>1.1761276923742345</v>
      </c>
      <c r="W129" s="35">
        <f t="shared" si="13"/>
        <v>446.39788208435289</v>
      </c>
      <c r="X129" s="35">
        <f t="shared" si="14"/>
        <v>5084.2991142826404</v>
      </c>
      <c r="Y129" s="35">
        <f t="shared" si="15"/>
        <v>32344.264618711724</v>
      </c>
      <c r="Z129" s="35">
        <f t="shared" si="16"/>
        <v>0</v>
      </c>
      <c r="AA129" s="35">
        <f t="shared" si="17"/>
        <v>0</v>
      </c>
      <c r="AB129" s="35">
        <f t="shared" si="18"/>
        <v>1</v>
      </c>
    </row>
    <row r="130" spans="1:28">
      <c r="A130" s="35">
        <v>119</v>
      </c>
      <c r="B130" s="35">
        <v>5.065047771329878E-4</v>
      </c>
      <c r="C130" s="232">
        <v>47.6</v>
      </c>
      <c r="D130" s="35">
        <v>5.0632937514654879</v>
      </c>
      <c r="E130" s="232">
        <v>28.1</v>
      </c>
      <c r="F130" s="35">
        <v>5.0509496167595849</v>
      </c>
      <c r="G130" s="232">
        <v>7652.85</v>
      </c>
      <c r="H130" s="35">
        <v>8.5304755755544672</v>
      </c>
      <c r="I130" s="232">
        <v>9996.35</v>
      </c>
      <c r="J130" s="35">
        <v>8.9687602493542169</v>
      </c>
      <c r="K130" s="232">
        <v>8274.07</v>
      </c>
      <c r="L130" s="35">
        <v>8.700976531050765</v>
      </c>
      <c r="M130" s="232">
        <v>34025.9</v>
      </c>
      <c r="N130" s="35">
        <v>7.6396527520329922</v>
      </c>
      <c r="P130" s="232">
        <v>-19.489999999999998</v>
      </c>
      <c r="Q130" s="35">
        <v>1.2344134705903009E-2</v>
      </c>
      <c r="R130" s="232">
        <v>2343.5</v>
      </c>
      <c r="S130" s="35">
        <v>-0.43828467379974967</v>
      </c>
      <c r="T130" s="232">
        <v>25751.83</v>
      </c>
      <c r="U130" s="35">
        <v>1.0613237790177728</v>
      </c>
      <c r="W130" s="35">
        <f t="shared" si="13"/>
        <v>636.69673529515046</v>
      </c>
      <c r="X130" s="35">
        <f t="shared" si="14"/>
        <v>-24257.733689987483</v>
      </c>
      <c r="Y130" s="35">
        <f t="shared" si="15"/>
        <v>27314.358950888636</v>
      </c>
      <c r="Z130" s="35">
        <f t="shared" si="16"/>
        <v>0</v>
      </c>
      <c r="AA130" s="35">
        <f t="shared" si="17"/>
        <v>0</v>
      </c>
      <c r="AB130" s="35">
        <f t="shared" si="18"/>
        <v>1</v>
      </c>
    </row>
    <row r="131" spans="1:28">
      <c r="A131" s="35">
        <v>120</v>
      </c>
      <c r="B131" s="35">
        <v>4.1209893744629541E-4</v>
      </c>
      <c r="C131" s="232">
        <v>73.989999999999995</v>
      </c>
      <c r="D131" s="35">
        <v>5.0615114497617055</v>
      </c>
      <c r="E131" s="232">
        <v>43.4</v>
      </c>
      <c r="F131" s="35">
        <v>5.0505906710425794</v>
      </c>
      <c r="G131" s="232">
        <v>13685.19</v>
      </c>
      <c r="H131" s="35">
        <v>9.2766570955111192</v>
      </c>
      <c r="I131" s="232">
        <v>12450.5</v>
      </c>
      <c r="J131" s="35">
        <v>7.1265627778204452</v>
      </c>
      <c r="K131" s="232">
        <v>18683.060000000001</v>
      </c>
      <c r="L131" s="35">
        <v>8.9738930960904675</v>
      </c>
      <c r="M131" s="232">
        <v>45074.77</v>
      </c>
      <c r="N131" s="35">
        <v>7.8561329574525391</v>
      </c>
      <c r="P131" s="232">
        <v>-30.59</v>
      </c>
      <c r="Q131" s="35">
        <v>1.0920778719126112E-2</v>
      </c>
      <c r="R131" s="232">
        <v>-1234.68</v>
      </c>
      <c r="S131" s="35">
        <v>2.1500943176906739</v>
      </c>
      <c r="T131" s="232">
        <v>26391.7</v>
      </c>
      <c r="U131" s="35">
        <v>1.1177601386379283</v>
      </c>
      <c r="W131" s="35">
        <f t="shared" si="13"/>
        <v>576.62893595630567</v>
      </c>
      <c r="X131" s="35">
        <f t="shared" si="14"/>
        <v>108739.39588453369</v>
      </c>
      <c r="Y131" s="35">
        <f t="shared" si="15"/>
        <v>29496.306931896415</v>
      </c>
      <c r="Z131" s="35">
        <f t="shared" si="16"/>
        <v>0</v>
      </c>
      <c r="AA131" s="35">
        <f t="shared" si="17"/>
        <v>1</v>
      </c>
      <c r="AB131" s="35">
        <f t="shared" si="18"/>
        <v>0</v>
      </c>
    </row>
    <row r="132" spans="1:28">
      <c r="A132" s="35">
        <v>121</v>
      </c>
      <c r="B132" s="35">
        <v>3.7715098480969785E-4</v>
      </c>
      <c r="C132" s="232">
        <v>76.33</v>
      </c>
      <c r="D132" s="35">
        <v>5.0579947068612583</v>
      </c>
      <c r="E132" s="232">
        <v>47.47</v>
      </c>
      <c r="F132" s="35">
        <v>5.0494413605365631</v>
      </c>
      <c r="G132" s="232">
        <v>15760.93</v>
      </c>
      <c r="H132" s="35">
        <v>8.8083650839657643</v>
      </c>
      <c r="I132" s="232">
        <v>16986.02</v>
      </c>
      <c r="J132" s="35">
        <v>8.1534951541185254</v>
      </c>
      <c r="K132" s="232">
        <v>21651.09</v>
      </c>
      <c r="L132" s="35">
        <v>8.8602191527049108</v>
      </c>
      <c r="M132" s="232">
        <v>48069.53</v>
      </c>
      <c r="N132" s="35">
        <v>7.8235764522171181</v>
      </c>
      <c r="P132" s="232">
        <v>-28.86</v>
      </c>
      <c r="Q132" s="35">
        <v>8.5533463246951769E-3</v>
      </c>
      <c r="R132" s="232">
        <v>1225.0899999999999</v>
      </c>
      <c r="S132" s="35">
        <v>0.65486992984723891</v>
      </c>
      <c r="T132" s="232">
        <v>26418.43</v>
      </c>
      <c r="U132" s="35">
        <v>1.0366427004877927</v>
      </c>
      <c r="W132" s="35">
        <f t="shared" si="13"/>
        <v>456.52731623475887</v>
      </c>
      <c r="X132" s="35">
        <f t="shared" si="14"/>
        <v>31518.406492361944</v>
      </c>
      <c r="Y132" s="35">
        <f t="shared" si="15"/>
        <v>25413.705024389637</v>
      </c>
      <c r="Z132" s="35">
        <f t="shared" si="16"/>
        <v>0</v>
      </c>
      <c r="AA132" s="35">
        <f t="shared" si="17"/>
        <v>1</v>
      </c>
      <c r="AB132" s="35">
        <f t="shared" si="18"/>
        <v>0</v>
      </c>
    </row>
    <row r="133" spans="1:28">
      <c r="A133" s="35">
        <v>122</v>
      </c>
      <c r="B133" s="35">
        <v>5.1407726678454058E-4</v>
      </c>
      <c r="C133" s="232">
        <v>79.2</v>
      </c>
      <c r="D133" s="35">
        <v>5.0643035271651939</v>
      </c>
      <c r="E133" s="232">
        <v>47.2</v>
      </c>
      <c r="F133" s="35">
        <v>5.0524243810407912</v>
      </c>
      <c r="G133" s="232">
        <v>12558.82</v>
      </c>
      <c r="H133" s="35">
        <v>8.8140192578645724</v>
      </c>
      <c r="I133" s="232">
        <v>14557.31</v>
      </c>
      <c r="J133" s="35">
        <v>8.1633044982205405</v>
      </c>
      <c r="K133" s="232">
        <v>13100.28</v>
      </c>
      <c r="L133" s="35">
        <v>8.5590662224355682</v>
      </c>
      <c r="M133" s="232">
        <v>39061.89</v>
      </c>
      <c r="N133" s="35">
        <v>7.5850279637706377</v>
      </c>
      <c r="P133" s="232">
        <v>-31.99</v>
      </c>
      <c r="Q133" s="35">
        <v>1.1879146124402773E-2</v>
      </c>
      <c r="R133" s="232">
        <v>1998.49</v>
      </c>
      <c r="S133" s="35">
        <v>0.65071475964403191</v>
      </c>
      <c r="T133" s="232">
        <v>25961.61</v>
      </c>
      <c r="U133" s="35">
        <v>0.97403825866493055</v>
      </c>
      <c r="W133" s="35">
        <f t="shared" si="13"/>
        <v>625.94730622013867</v>
      </c>
      <c r="X133" s="35">
        <f t="shared" si="14"/>
        <v>30537.247982201596</v>
      </c>
      <c r="Y133" s="35">
        <f t="shared" si="15"/>
        <v>22740.30293324653</v>
      </c>
      <c r="Z133" s="35">
        <f t="shared" si="16"/>
        <v>0</v>
      </c>
      <c r="AA133" s="35">
        <f t="shared" si="17"/>
        <v>1</v>
      </c>
      <c r="AB133" s="35">
        <f t="shared" si="18"/>
        <v>0</v>
      </c>
    </row>
    <row r="134" spans="1:28">
      <c r="A134" s="35">
        <v>123</v>
      </c>
      <c r="B134" s="35">
        <v>4.885468487498823E-4</v>
      </c>
      <c r="C134" s="232">
        <v>95.68</v>
      </c>
      <c r="D134" s="35">
        <v>5.0661453322977676</v>
      </c>
      <c r="E134" s="232">
        <v>54.17</v>
      </c>
      <c r="F134" s="35">
        <v>5.0528185964638306</v>
      </c>
      <c r="G134" s="232">
        <v>15105.22</v>
      </c>
      <c r="H134" s="35">
        <v>9.4089354120780069</v>
      </c>
      <c r="I134" s="232">
        <v>15667.64</v>
      </c>
      <c r="J134" s="35">
        <v>8.2787403366715981</v>
      </c>
      <c r="K134" s="232">
        <v>19563.38</v>
      </c>
      <c r="L134" s="35">
        <v>8.7536772180212399</v>
      </c>
      <c r="M134" s="232">
        <v>46122</v>
      </c>
      <c r="N134" s="35">
        <v>7.5023579178807189</v>
      </c>
      <c r="P134" s="232">
        <v>-41.51</v>
      </c>
      <c r="Q134" s="35">
        <v>1.3326735833937065E-2</v>
      </c>
      <c r="R134" s="232">
        <v>562.42999999999995</v>
      </c>
      <c r="S134" s="35">
        <v>1.1301950754064087</v>
      </c>
      <c r="T134" s="232">
        <v>26558.62</v>
      </c>
      <c r="U134" s="35">
        <v>1.251319300140521</v>
      </c>
      <c r="W134" s="35">
        <f t="shared" si="13"/>
        <v>707.84679169685319</v>
      </c>
      <c r="X134" s="35">
        <f t="shared" si="14"/>
        <v>55947.323770320436</v>
      </c>
      <c r="Y134" s="35">
        <f t="shared" si="15"/>
        <v>36007.345007026044</v>
      </c>
      <c r="Z134" s="35">
        <f t="shared" si="16"/>
        <v>0</v>
      </c>
      <c r="AA134" s="35">
        <f t="shared" si="17"/>
        <v>1</v>
      </c>
      <c r="AB134" s="35">
        <f t="shared" si="18"/>
        <v>0</v>
      </c>
    </row>
    <row r="135" spans="1:28">
      <c r="A135" s="35">
        <v>124</v>
      </c>
      <c r="B135" s="35">
        <v>4.1294365704562259E-4</v>
      </c>
      <c r="C135" s="232">
        <v>66.14</v>
      </c>
      <c r="D135" s="35">
        <v>5.0614396460093447</v>
      </c>
      <c r="E135" s="232">
        <v>45.1</v>
      </c>
      <c r="F135" s="35">
        <v>5.0526545358830495</v>
      </c>
      <c r="G135" s="232">
        <v>11964.61</v>
      </c>
      <c r="H135" s="35">
        <v>9.2425257251288908</v>
      </c>
      <c r="I135" s="232">
        <v>12714.54</v>
      </c>
      <c r="J135" s="35">
        <v>8.3471514105792632</v>
      </c>
      <c r="K135" s="232">
        <v>17251.939999999999</v>
      </c>
      <c r="L135" s="35">
        <v>8.9053463927156979</v>
      </c>
      <c r="M135" s="232">
        <v>43310.78</v>
      </c>
      <c r="N135" s="35">
        <v>7.7835387001224774</v>
      </c>
      <c r="P135" s="232">
        <v>-21.04</v>
      </c>
      <c r="Q135" s="35">
        <v>8.7851101262952369E-3</v>
      </c>
      <c r="R135" s="232">
        <v>749.93</v>
      </c>
      <c r="S135" s="35">
        <v>0.89537431454962757</v>
      </c>
      <c r="T135" s="232">
        <v>26058.85</v>
      </c>
      <c r="U135" s="35">
        <v>1.1218076925932206</v>
      </c>
      <c r="W135" s="35">
        <f t="shared" si="13"/>
        <v>460.29550631476189</v>
      </c>
      <c r="X135" s="35">
        <f t="shared" si="14"/>
        <v>44018.78572748138</v>
      </c>
      <c r="Y135" s="35">
        <f t="shared" si="15"/>
        <v>30031.53462966103</v>
      </c>
      <c r="Z135" s="35">
        <f t="shared" si="16"/>
        <v>0</v>
      </c>
      <c r="AA135" s="35">
        <f t="shared" si="17"/>
        <v>1</v>
      </c>
      <c r="AB135" s="35">
        <f t="shared" si="18"/>
        <v>0</v>
      </c>
    </row>
    <row r="136" spans="1:28">
      <c r="A136" s="35">
        <v>125</v>
      </c>
      <c r="B136" s="35">
        <v>4.478942598414859E-4</v>
      </c>
      <c r="C136" s="232">
        <v>69.430000000000007</v>
      </c>
      <c r="D136" s="35">
        <v>5.0625421404389392</v>
      </c>
      <c r="E136" s="232">
        <v>49.83</v>
      </c>
      <c r="F136" s="35">
        <v>5.0542934071562176</v>
      </c>
      <c r="G136" s="232">
        <v>11835.36</v>
      </c>
      <c r="H136" s="35">
        <v>8.8235146584296018</v>
      </c>
      <c r="I136" s="232">
        <v>12592.67</v>
      </c>
      <c r="J136" s="35">
        <v>7.6067414333078345</v>
      </c>
      <c r="K136" s="232">
        <v>16727.099999999999</v>
      </c>
      <c r="L136" s="35">
        <v>8.9575985546982295</v>
      </c>
      <c r="M136" s="232">
        <v>42815.4</v>
      </c>
      <c r="N136" s="35">
        <v>7.825177645011264</v>
      </c>
      <c r="P136" s="232">
        <v>-19.600000000000001</v>
      </c>
      <c r="Q136" s="35">
        <v>8.2487332827216875E-3</v>
      </c>
      <c r="R136" s="232">
        <v>757.31</v>
      </c>
      <c r="S136" s="35">
        <v>1.2167732251217673</v>
      </c>
      <c r="T136" s="232">
        <v>26088.3</v>
      </c>
      <c r="U136" s="35">
        <v>1.1324209096869655</v>
      </c>
      <c r="W136" s="35">
        <f t="shared" si="13"/>
        <v>432.03666413608437</v>
      </c>
      <c r="X136" s="35">
        <f t="shared" si="14"/>
        <v>60081.351256088368</v>
      </c>
      <c r="Y136" s="35">
        <f t="shared" si="15"/>
        <v>30532.745484348274</v>
      </c>
      <c r="Z136" s="35">
        <f t="shared" si="16"/>
        <v>0</v>
      </c>
      <c r="AA136" s="35">
        <f t="shared" si="17"/>
        <v>1</v>
      </c>
      <c r="AB136" s="35">
        <f t="shared" si="18"/>
        <v>0</v>
      </c>
    </row>
    <row r="137" spans="1:28">
      <c r="A137" s="35">
        <v>126</v>
      </c>
      <c r="B137" s="35">
        <v>5.3832201309045313E-4</v>
      </c>
      <c r="C137" s="232">
        <v>82.46</v>
      </c>
      <c r="D137" s="35">
        <v>5.0677907327876177</v>
      </c>
      <c r="E137" s="232">
        <v>50.27</v>
      </c>
      <c r="F137" s="35">
        <v>5.054800905793142</v>
      </c>
      <c r="G137" s="232">
        <v>11196.89</v>
      </c>
      <c r="H137" s="35">
        <v>9.0922754575568909</v>
      </c>
      <c r="I137" s="232">
        <v>11315.49</v>
      </c>
      <c r="J137" s="35">
        <v>7.7458387684384515</v>
      </c>
      <c r="K137" s="232">
        <v>15197.34</v>
      </c>
      <c r="L137" s="35">
        <v>8.8811071310493048</v>
      </c>
      <c r="M137" s="232">
        <v>41228.050000000003</v>
      </c>
      <c r="N137" s="35">
        <v>7.7999976588371354</v>
      </c>
      <c r="P137" s="232">
        <v>-32.200000000000003</v>
      </c>
      <c r="Q137" s="35">
        <v>1.2989826994475706E-2</v>
      </c>
      <c r="R137" s="232">
        <v>118.6</v>
      </c>
      <c r="S137" s="35">
        <v>1.3464366891184394</v>
      </c>
      <c r="T137" s="232">
        <v>26030.71</v>
      </c>
      <c r="U137" s="35">
        <v>1.0811094722121695</v>
      </c>
      <c r="W137" s="35">
        <f t="shared" si="13"/>
        <v>681.69134972378538</v>
      </c>
      <c r="X137" s="35">
        <f t="shared" si="14"/>
        <v>67203.234455921964</v>
      </c>
      <c r="Y137" s="35">
        <f t="shared" si="15"/>
        <v>28024.763610608476</v>
      </c>
      <c r="Z137" s="35">
        <f t="shared" si="16"/>
        <v>0</v>
      </c>
      <c r="AA137" s="35">
        <f t="shared" si="17"/>
        <v>1</v>
      </c>
      <c r="AB137" s="35">
        <f t="shared" si="18"/>
        <v>0</v>
      </c>
    </row>
    <row r="138" spans="1:28">
      <c r="A138" s="35">
        <v>127</v>
      </c>
      <c r="B138" s="35">
        <v>5.5077999978980774E-4</v>
      </c>
      <c r="C138" s="232">
        <v>106.39</v>
      </c>
      <c r="D138" s="35">
        <v>5.0663111110568426</v>
      </c>
      <c r="E138" s="232">
        <v>57.75</v>
      </c>
      <c r="F138" s="35">
        <v>5.0523522537716525</v>
      </c>
      <c r="G138" s="232">
        <v>14812.82</v>
      </c>
      <c r="H138" s="35">
        <v>8.613286343512133</v>
      </c>
      <c r="I138" s="232">
        <v>13746.98</v>
      </c>
      <c r="J138" s="35">
        <v>6.6938213124411252</v>
      </c>
      <c r="K138" s="232">
        <v>21163.759999999998</v>
      </c>
      <c r="L138" s="35">
        <v>8.8125032661482976</v>
      </c>
      <c r="M138" s="232">
        <v>47468.56</v>
      </c>
      <c r="N138" s="35">
        <v>7.6686694925978127</v>
      </c>
      <c r="P138" s="232">
        <v>-48.64</v>
      </c>
      <c r="Q138" s="35">
        <v>1.3958857285190085E-2</v>
      </c>
      <c r="R138" s="232">
        <v>-1065.8399999999999</v>
      </c>
      <c r="S138" s="35">
        <v>1.9194650310710077</v>
      </c>
      <c r="T138" s="232">
        <v>26304.799999999999</v>
      </c>
      <c r="U138" s="35">
        <v>1.1438337735504849</v>
      </c>
      <c r="W138" s="35">
        <f t="shared" si="13"/>
        <v>746.58286425950428</v>
      </c>
      <c r="X138" s="35">
        <f t="shared" si="14"/>
        <v>97039.091553550388</v>
      </c>
      <c r="Y138" s="35">
        <f t="shared" si="15"/>
        <v>30886.888677524246</v>
      </c>
      <c r="Z138" s="35">
        <f t="shared" si="16"/>
        <v>0</v>
      </c>
      <c r="AA138" s="35">
        <f t="shared" si="17"/>
        <v>1</v>
      </c>
      <c r="AB138" s="35">
        <f t="shared" si="18"/>
        <v>0</v>
      </c>
    </row>
    <row r="139" spans="1:28">
      <c r="A139" s="35">
        <v>128</v>
      </c>
      <c r="B139" s="35">
        <v>4.6188692181092783E-4</v>
      </c>
      <c r="C139" s="232">
        <v>74.97</v>
      </c>
      <c r="D139" s="35">
        <v>5.064577932291404</v>
      </c>
      <c r="E139" s="232">
        <v>44.47</v>
      </c>
      <c r="F139" s="35">
        <v>5.0524310904747178</v>
      </c>
      <c r="G139" s="232">
        <v>12369.57</v>
      </c>
      <c r="H139" s="35">
        <v>9.3814134883043181</v>
      </c>
      <c r="I139" s="232">
        <v>12204.25</v>
      </c>
      <c r="J139" s="35">
        <v>7.7099188107298717</v>
      </c>
      <c r="K139" s="232">
        <v>16563.84</v>
      </c>
      <c r="L139" s="35">
        <v>8.9446044793603807</v>
      </c>
      <c r="M139" s="232">
        <v>42835.65</v>
      </c>
      <c r="N139" s="35">
        <v>7.7886799176430213</v>
      </c>
      <c r="P139" s="232">
        <v>-30.5</v>
      </c>
      <c r="Q139" s="35">
        <v>1.2146841816686127E-2</v>
      </c>
      <c r="R139" s="232">
        <v>-165.32</v>
      </c>
      <c r="S139" s="35">
        <v>1.6714946775744464</v>
      </c>
      <c r="T139" s="232">
        <v>26271.82</v>
      </c>
      <c r="U139" s="35">
        <v>1.1559245617173595</v>
      </c>
      <c r="W139" s="35">
        <f t="shared" si="13"/>
        <v>637.8420908343063</v>
      </c>
      <c r="X139" s="35">
        <f t="shared" si="14"/>
        <v>83740.053878722319</v>
      </c>
      <c r="Y139" s="35">
        <f t="shared" si="15"/>
        <v>31524.408085867974</v>
      </c>
      <c r="Z139" s="35">
        <f t="shared" si="16"/>
        <v>0</v>
      </c>
      <c r="AA139" s="35">
        <f t="shared" si="17"/>
        <v>1</v>
      </c>
      <c r="AB139" s="35">
        <f t="shared" si="18"/>
        <v>0</v>
      </c>
    </row>
    <row r="140" spans="1:28">
      <c r="A140" s="35">
        <v>129</v>
      </c>
      <c r="B140" s="35">
        <v>3.9030344571666344E-4</v>
      </c>
      <c r="C140" s="232">
        <v>46.37</v>
      </c>
      <c r="D140" s="35">
        <v>5.0600318953151433</v>
      </c>
      <c r="E140" s="232">
        <v>29.45</v>
      </c>
      <c r="F140" s="35">
        <v>5.050218187980879</v>
      </c>
      <c r="G140" s="232">
        <v>8956.84</v>
      </c>
      <c r="H140" s="35">
        <v>9.0859430129775376</v>
      </c>
      <c r="I140" s="232">
        <v>9159.15</v>
      </c>
      <c r="J140" s="35">
        <v>7.1950436854615454</v>
      </c>
      <c r="K140" s="232">
        <v>12706.11</v>
      </c>
      <c r="L140" s="35">
        <v>9.1788631127072158</v>
      </c>
      <c r="M140" s="232">
        <v>38706.42</v>
      </c>
      <c r="N140" s="35">
        <v>8.1160988326189809</v>
      </c>
      <c r="P140" s="232">
        <v>-16.920000000000002</v>
      </c>
      <c r="Q140" s="35">
        <v>9.8137073342643433E-3</v>
      </c>
      <c r="R140" s="232">
        <v>202.31</v>
      </c>
      <c r="S140" s="35">
        <v>1.8908993275159922</v>
      </c>
      <c r="T140" s="232">
        <v>26000.31</v>
      </c>
      <c r="U140" s="35">
        <v>1.0627642800882349</v>
      </c>
      <c r="W140" s="35">
        <f t="shared" ref="W140:W203" si="19">$X$2*Q140-P140</f>
        <v>507.60536671321717</v>
      </c>
      <c r="X140" s="35">
        <f t="shared" ref="X140:X203" si="20">$X$2*S140-R140</f>
        <v>94342.656375799619</v>
      </c>
      <c r="Y140" s="35">
        <f t="shared" ref="Y140:Y203" si="21">$X$2*U140-T140</f>
        <v>27137.904004411739</v>
      </c>
      <c r="Z140" s="35">
        <f t="shared" ref="Z140:Z203" si="22">IF(W140=MAX($W140:$Y140), 1, 0)</f>
        <v>0</v>
      </c>
      <c r="AA140" s="35">
        <f t="shared" ref="AA140:AA203" si="23">IF(X140=MAX($W140:$Y140), 1, 0)</f>
        <v>1</v>
      </c>
      <c r="AB140" s="35">
        <f t="shared" ref="AB140:AB203" si="24">IF(Y140=MAX($W140:$Y140), 1, 0)</f>
        <v>0</v>
      </c>
    </row>
    <row r="141" spans="1:28">
      <c r="A141" s="35">
        <v>130</v>
      </c>
      <c r="B141" s="35">
        <v>5.1474655836103445E-4</v>
      </c>
      <c r="C141" s="232">
        <v>93.51</v>
      </c>
      <c r="D141" s="35">
        <v>5.0635238827089379</v>
      </c>
      <c r="E141" s="232">
        <v>55.28</v>
      </c>
      <c r="F141" s="35">
        <v>5.0520515837062474</v>
      </c>
      <c r="G141" s="232">
        <v>13689.58</v>
      </c>
      <c r="H141" s="35">
        <v>8.5553391095987568</v>
      </c>
      <c r="I141" s="232">
        <v>14694.98</v>
      </c>
      <c r="J141" s="35">
        <v>7.9157707397741541</v>
      </c>
      <c r="K141" s="232">
        <v>20364.23</v>
      </c>
      <c r="L141" s="35">
        <v>8.4974096902886274</v>
      </c>
      <c r="M141" s="232">
        <v>46708.51</v>
      </c>
      <c r="N141" s="35">
        <v>7.5163895952010202</v>
      </c>
      <c r="P141" s="232">
        <v>-38.229999999999997</v>
      </c>
      <c r="Q141" s="35">
        <v>1.1472299002690534E-2</v>
      </c>
      <c r="R141" s="232">
        <v>1005.4</v>
      </c>
      <c r="S141" s="35">
        <v>0.63956836982460263</v>
      </c>
      <c r="T141" s="232">
        <v>26344.28</v>
      </c>
      <c r="U141" s="35">
        <v>0.98102009508760712</v>
      </c>
      <c r="W141" s="35">
        <f t="shared" si="19"/>
        <v>611.8449501345267</v>
      </c>
      <c r="X141" s="35">
        <f t="shared" si="20"/>
        <v>30973.01849123013</v>
      </c>
      <c r="Y141" s="35">
        <f t="shared" si="21"/>
        <v>22706.724754380361</v>
      </c>
      <c r="Z141" s="35">
        <f t="shared" si="22"/>
        <v>0</v>
      </c>
      <c r="AA141" s="35">
        <f t="shared" si="23"/>
        <v>1</v>
      </c>
      <c r="AB141" s="35">
        <f t="shared" si="24"/>
        <v>0</v>
      </c>
    </row>
    <row r="142" spans="1:28">
      <c r="A142" s="35">
        <v>131</v>
      </c>
      <c r="B142" s="35">
        <v>5.1513651192847121E-4</v>
      </c>
      <c r="C142" s="232">
        <v>77.13</v>
      </c>
      <c r="D142" s="35">
        <v>5.0650892264975456</v>
      </c>
      <c r="E142" s="232">
        <v>51.03</v>
      </c>
      <c r="F142" s="35">
        <v>5.0546074931093834</v>
      </c>
      <c r="G142" s="232">
        <v>10821.23</v>
      </c>
      <c r="H142" s="35">
        <v>8.8313620189225865</v>
      </c>
      <c r="I142" s="232">
        <v>10263.4</v>
      </c>
      <c r="J142" s="35">
        <v>7.2252181819107024</v>
      </c>
      <c r="K142" s="232">
        <v>15486.27</v>
      </c>
      <c r="L142" s="35">
        <v>8.5291034977878795</v>
      </c>
      <c r="M142" s="232">
        <v>41614.76</v>
      </c>
      <c r="N142" s="35">
        <v>7.4241686310873574</v>
      </c>
      <c r="P142" s="232">
        <v>-26.09</v>
      </c>
      <c r="Q142" s="35">
        <v>1.0481733388162162E-2</v>
      </c>
      <c r="R142" s="232">
        <v>-557.83000000000004</v>
      </c>
      <c r="S142" s="35">
        <v>1.6061438370118841</v>
      </c>
      <c r="T142" s="232">
        <v>26128.49</v>
      </c>
      <c r="U142" s="35">
        <v>1.1049348667005221</v>
      </c>
      <c r="W142" s="35">
        <f t="shared" si="19"/>
        <v>550.17666940810818</v>
      </c>
      <c r="X142" s="35">
        <f t="shared" si="20"/>
        <v>80865.021850594203</v>
      </c>
      <c r="Y142" s="35">
        <f t="shared" si="21"/>
        <v>29118.253335026104</v>
      </c>
      <c r="Z142" s="35">
        <f t="shared" si="22"/>
        <v>0</v>
      </c>
      <c r="AA142" s="35">
        <f t="shared" si="23"/>
        <v>1</v>
      </c>
      <c r="AB142" s="35">
        <f t="shared" si="24"/>
        <v>0</v>
      </c>
    </row>
    <row r="143" spans="1:28">
      <c r="A143" s="35">
        <v>132</v>
      </c>
      <c r="B143" s="35">
        <v>3.3632168876130872E-4</v>
      </c>
      <c r="C143" s="232">
        <v>43.12</v>
      </c>
      <c r="D143" s="35">
        <v>5.0544929505785623</v>
      </c>
      <c r="E143" s="232">
        <v>26.49</v>
      </c>
      <c r="F143" s="35">
        <v>5.0466929718671834</v>
      </c>
      <c r="G143" s="232">
        <v>9916.5</v>
      </c>
      <c r="H143" s="35">
        <v>8.4651732884336255</v>
      </c>
      <c r="I143" s="232">
        <v>10689.23</v>
      </c>
      <c r="J143" s="35">
        <v>7.0319582001284244</v>
      </c>
      <c r="K143" s="232">
        <v>13131.93</v>
      </c>
      <c r="L143" s="35">
        <v>8.4621016147855954</v>
      </c>
      <c r="M143" s="232">
        <v>39065.379999999997</v>
      </c>
      <c r="N143" s="35">
        <v>7.3232275641595139</v>
      </c>
      <c r="P143" s="232">
        <v>-16.63</v>
      </c>
      <c r="Q143" s="35">
        <v>7.7999787113789409E-3</v>
      </c>
      <c r="R143" s="232">
        <v>772.73</v>
      </c>
      <c r="S143" s="35">
        <v>1.4332150883052011</v>
      </c>
      <c r="T143" s="232">
        <v>25933.45</v>
      </c>
      <c r="U143" s="35">
        <v>1.1388740506260815</v>
      </c>
      <c r="W143" s="35">
        <f t="shared" si="19"/>
        <v>406.62893556894704</v>
      </c>
      <c r="X143" s="35">
        <f t="shared" si="20"/>
        <v>70888.02441526005</v>
      </c>
      <c r="Y143" s="35">
        <f t="shared" si="21"/>
        <v>31010.252531304071</v>
      </c>
      <c r="Z143" s="35">
        <f t="shared" si="22"/>
        <v>0</v>
      </c>
      <c r="AA143" s="35">
        <f t="shared" si="23"/>
        <v>1</v>
      </c>
      <c r="AB143" s="35">
        <f t="shared" si="24"/>
        <v>0</v>
      </c>
    </row>
    <row r="144" spans="1:28">
      <c r="A144" s="35">
        <v>133</v>
      </c>
      <c r="B144" s="35">
        <v>5.6840683094783184E-4</v>
      </c>
      <c r="C144" s="232">
        <v>75.77</v>
      </c>
      <c r="D144" s="35">
        <v>5.0625745107056304</v>
      </c>
      <c r="E144" s="232">
        <v>48.18</v>
      </c>
      <c r="F144" s="35">
        <v>5.0524034082338947</v>
      </c>
      <c r="G144" s="232">
        <v>10177.709999999999</v>
      </c>
      <c r="H144" s="35">
        <v>7.6545509804031164</v>
      </c>
      <c r="I144" s="232">
        <v>11470.22</v>
      </c>
      <c r="J144" s="35">
        <v>6.5379259015961564</v>
      </c>
      <c r="K144" s="232">
        <v>12691.5</v>
      </c>
      <c r="L144" s="35">
        <v>8.2128580445873904</v>
      </c>
      <c r="M144" s="232">
        <v>38545.22</v>
      </c>
      <c r="N144" s="35">
        <v>7.1262320062192543</v>
      </c>
      <c r="P144" s="232">
        <v>-27.6</v>
      </c>
      <c r="Q144" s="35">
        <v>1.0171102471735693E-2</v>
      </c>
      <c r="R144" s="232">
        <v>1292.51</v>
      </c>
      <c r="S144" s="35">
        <v>1.11662507880696</v>
      </c>
      <c r="T144" s="232">
        <v>25853.72</v>
      </c>
      <c r="U144" s="35">
        <v>1.0866260383681361</v>
      </c>
      <c r="W144" s="35">
        <f t="shared" si="19"/>
        <v>536.15512358678473</v>
      </c>
      <c r="X144" s="35">
        <f t="shared" si="20"/>
        <v>54538.743940348002</v>
      </c>
      <c r="Y144" s="35">
        <f t="shared" si="21"/>
        <v>28477.581918406802</v>
      </c>
      <c r="Z144" s="35">
        <f t="shared" si="22"/>
        <v>0</v>
      </c>
      <c r="AA144" s="35">
        <f t="shared" si="23"/>
        <v>1</v>
      </c>
      <c r="AB144" s="35">
        <f t="shared" si="24"/>
        <v>0</v>
      </c>
    </row>
    <row r="145" spans="1:28">
      <c r="A145" s="35">
        <v>134</v>
      </c>
      <c r="B145" s="35">
        <v>4.9175382733790407E-4</v>
      </c>
      <c r="C145" s="232">
        <v>92.62</v>
      </c>
      <c r="D145" s="35">
        <v>5.0652564861987619</v>
      </c>
      <c r="E145" s="232">
        <v>59.25</v>
      </c>
      <c r="F145" s="35">
        <v>5.0543252554708991</v>
      </c>
      <c r="G145" s="232">
        <v>14869.45</v>
      </c>
      <c r="H145" s="35">
        <v>9.2194580077232189</v>
      </c>
      <c r="I145" s="232">
        <v>14492.85</v>
      </c>
      <c r="J145" s="35">
        <v>7.1631303896367191</v>
      </c>
      <c r="K145" s="232">
        <v>18946.560000000001</v>
      </c>
      <c r="L145" s="35">
        <v>8.4694250522137313</v>
      </c>
      <c r="M145" s="232">
        <v>45388.49</v>
      </c>
      <c r="N145" s="35">
        <v>7.2370752434696408</v>
      </c>
      <c r="P145" s="232">
        <v>-33.369999999999997</v>
      </c>
      <c r="Q145" s="35">
        <v>1.093123072786284E-2</v>
      </c>
      <c r="R145" s="232">
        <v>-376.6</v>
      </c>
      <c r="S145" s="35">
        <v>2.0563276180864998</v>
      </c>
      <c r="T145" s="232">
        <v>26441.919999999998</v>
      </c>
      <c r="U145" s="35">
        <v>1.2323498087440905</v>
      </c>
      <c r="W145" s="35">
        <f t="shared" si="19"/>
        <v>579.93153639314198</v>
      </c>
      <c r="X145" s="35">
        <f t="shared" si="20"/>
        <v>103192.980904325</v>
      </c>
      <c r="Y145" s="35">
        <f t="shared" si="21"/>
        <v>35175.570437204529</v>
      </c>
      <c r="Z145" s="35">
        <f t="shared" si="22"/>
        <v>0</v>
      </c>
      <c r="AA145" s="35">
        <f t="shared" si="23"/>
        <v>1</v>
      </c>
      <c r="AB145" s="35">
        <f t="shared" si="24"/>
        <v>0</v>
      </c>
    </row>
    <row r="146" spans="1:28">
      <c r="A146" s="35">
        <v>135</v>
      </c>
      <c r="B146" s="35">
        <v>4.5147071496776103E-4</v>
      </c>
      <c r="C146" s="232">
        <v>65.78</v>
      </c>
      <c r="D146" s="35">
        <v>5.059367360896502</v>
      </c>
      <c r="E146" s="232">
        <v>42.82</v>
      </c>
      <c r="F146" s="35">
        <v>5.0506859121697349</v>
      </c>
      <c r="G146" s="232">
        <v>10908.89</v>
      </c>
      <c r="H146" s="35">
        <v>8.0694555315448309</v>
      </c>
      <c r="I146" s="232">
        <v>11714.89</v>
      </c>
      <c r="J146" s="35">
        <v>6.9517922933088236</v>
      </c>
      <c r="K146" s="232">
        <v>15850.4</v>
      </c>
      <c r="L146" s="35">
        <v>8.5109609227819654</v>
      </c>
      <c r="M146" s="232">
        <v>42063.89</v>
      </c>
      <c r="N146" s="35">
        <v>7.3429077327097199</v>
      </c>
      <c r="P146" s="232">
        <v>-22.97</v>
      </c>
      <c r="Q146" s="35">
        <v>8.681448726767016E-3</v>
      </c>
      <c r="R146" s="232">
        <v>806</v>
      </c>
      <c r="S146" s="35">
        <v>1.1176632382360072</v>
      </c>
      <c r="T146" s="232">
        <v>26213.49</v>
      </c>
      <c r="U146" s="35">
        <v>1.1680531900722455</v>
      </c>
      <c r="W146" s="35">
        <f t="shared" si="19"/>
        <v>457.04243633835085</v>
      </c>
      <c r="X146" s="35">
        <f t="shared" si="20"/>
        <v>55077.161911800358</v>
      </c>
      <c r="Y146" s="35">
        <f t="shared" si="21"/>
        <v>32189.169503612273</v>
      </c>
      <c r="Z146" s="35">
        <f t="shared" si="22"/>
        <v>0</v>
      </c>
      <c r="AA146" s="35">
        <f t="shared" si="23"/>
        <v>1</v>
      </c>
      <c r="AB146" s="35">
        <f t="shared" si="24"/>
        <v>0</v>
      </c>
    </row>
    <row r="147" spans="1:28">
      <c r="A147" s="35">
        <v>136</v>
      </c>
      <c r="B147" s="35">
        <v>4.2436613796303013E-4</v>
      </c>
      <c r="C147" s="232">
        <v>84.92</v>
      </c>
      <c r="D147" s="35">
        <v>5.0606383503954335</v>
      </c>
      <c r="E147" s="232">
        <v>48.9</v>
      </c>
      <c r="F147" s="35">
        <v>5.0500207209191732</v>
      </c>
      <c r="G147" s="232">
        <v>16193.59</v>
      </c>
      <c r="H147" s="35">
        <v>9.1471850715323129</v>
      </c>
      <c r="I147" s="232">
        <v>17633.439999999999</v>
      </c>
      <c r="J147" s="35">
        <v>8.4739104033687731</v>
      </c>
      <c r="K147" s="232">
        <v>20187.97</v>
      </c>
      <c r="L147" s="35">
        <v>8.3786535585376214</v>
      </c>
      <c r="M147" s="232">
        <v>46426.5</v>
      </c>
      <c r="N147" s="35">
        <v>7.3372832983202647</v>
      </c>
      <c r="P147" s="232">
        <v>-36.03</v>
      </c>
      <c r="Q147" s="35">
        <v>1.0617629476260326E-2</v>
      </c>
      <c r="R147" s="232">
        <v>1439.85</v>
      </c>
      <c r="S147" s="35">
        <v>0.67327466816353976</v>
      </c>
      <c r="T147" s="232">
        <v>26238.52</v>
      </c>
      <c r="U147" s="35">
        <v>1.0413702602173567</v>
      </c>
      <c r="W147" s="35">
        <f t="shared" si="19"/>
        <v>566.9114738130163</v>
      </c>
      <c r="X147" s="35">
        <f t="shared" si="20"/>
        <v>32223.883408176989</v>
      </c>
      <c r="Y147" s="35">
        <f t="shared" si="21"/>
        <v>25829.993010867835</v>
      </c>
      <c r="Z147" s="35">
        <f t="shared" si="22"/>
        <v>0</v>
      </c>
      <c r="AA147" s="35">
        <f t="shared" si="23"/>
        <v>1</v>
      </c>
      <c r="AB147" s="35">
        <f t="shared" si="24"/>
        <v>0</v>
      </c>
    </row>
    <row r="148" spans="1:28">
      <c r="A148" s="35">
        <v>137</v>
      </c>
      <c r="B148" s="35">
        <v>4.2941367735166067E-4</v>
      </c>
      <c r="C148" s="232">
        <v>69.58</v>
      </c>
      <c r="D148" s="35">
        <v>5.0605395963575255</v>
      </c>
      <c r="E148" s="232">
        <v>42.34</v>
      </c>
      <c r="F148" s="35">
        <v>5.0504931856721376</v>
      </c>
      <c r="G148" s="232">
        <v>12437.04</v>
      </c>
      <c r="H148" s="35">
        <v>8.8360585687882658</v>
      </c>
      <c r="I148" s="232">
        <v>12328.15</v>
      </c>
      <c r="J148" s="35">
        <v>6.8863849805221342</v>
      </c>
      <c r="K148" s="232">
        <v>15581.72</v>
      </c>
      <c r="L148" s="35">
        <v>8.5924648050394818</v>
      </c>
      <c r="M148" s="232">
        <v>41656.75</v>
      </c>
      <c r="N148" s="35">
        <v>7.4213509732878471</v>
      </c>
      <c r="P148" s="232">
        <v>-27.24</v>
      </c>
      <c r="Q148" s="35">
        <v>1.0046410685387919E-2</v>
      </c>
      <c r="R148" s="232">
        <v>-108.89</v>
      </c>
      <c r="S148" s="35">
        <v>1.9496735882661316</v>
      </c>
      <c r="T148" s="232">
        <v>26075.03</v>
      </c>
      <c r="U148" s="35">
        <v>1.1711138317516347</v>
      </c>
      <c r="W148" s="35">
        <f t="shared" si="19"/>
        <v>529.56053426939593</v>
      </c>
      <c r="X148" s="35">
        <f t="shared" si="20"/>
        <v>97592.569413306584</v>
      </c>
      <c r="Y148" s="35">
        <f t="shared" si="21"/>
        <v>32480.661587581737</v>
      </c>
      <c r="Z148" s="35">
        <f t="shared" si="22"/>
        <v>0</v>
      </c>
      <c r="AA148" s="35">
        <f t="shared" si="23"/>
        <v>1</v>
      </c>
      <c r="AB148" s="35">
        <f t="shared" si="24"/>
        <v>0</v>
      </c>
    </row>
    <row r="149" spans="1:28">
      <c r="A149" s="35">
        <v>138</v>
      </c>
      <c r="B149" s="35">
        <v>4.0163996539246705E-4</v>
      </c>
      <c r="C149" s="232">
        <v>56.84</v>
      </c>
      <c r="D149" s="35">
        <v>5.0573023186861077</v>
      </c>
      <c r="E149" s="232">
        <v>31.69</v>
      </c>
      <c r="F149" s="35">
        <v>5.0474783497170357</v>
      </c>
      <c r="G149" s="232">
        <v>10401.35</v>
      </c>
      <c r="H149" s="35">
        <v>8.3959079284125409</v>
      </c>
      <c r="I149" s="232">
        <v>12226.66</v>
      </c>
      <c r="J149" s="35">
        <v>8.128182536255002</v>
      </c>
      <c r="K149" s="232">
        <v>14993.85</v>
      </c>
      <c r="L149" s="35">
        <v>8.4240643920375007</v>
      </c>
      <c r="M149" s="232">
        <v>41051.47</v>
      </c>
      <c r="N149" s="35">
        <v>7.3266207224274016</v>
      </c>
      <c r="P149" s="232">
        <v>-25.15</v>
      </c>
      <c r="Q149" s="35">
        <v>9.8239689690720056E-3</v>
      </c>
      <c r="R149" s="232">
        <v>1825.31</v>
      </c>
      <c r="S149" s="35">
        <v>0.26772539215753888</v>
      </c>
      <c r="T149" s="232">
        <v>26057.62</v>
      </c>
      <c r="U149" s="35">
        <v>1.0974436696100991</v>
      </c>
      <c r="W149" s="35">
        <f t="shared" si="19"/>
        <v>516.34844845360033</v>
      </c>
      <c r="X149" s="35">
        <f t="shared" si="20"/>
        <v>11560.959607876945</v>
      </c>
      <c r="Y149" s="35">
        <f t="shared" si="21"/>
        <v>28814.563480504952</v>
      </c>
      <c r="Z149" s="35">
        <f t="shared" si="22"/>
        <v>0</v>
      </c>
      <c r="AA149" s="35">
        <f t="shared" si="23"/>
        <v>0</v>
      </c>
      <c r="AB149" s="35">
        <f t="shared" si="24"/>
        <v>1</v>
      </c>
    </row>
    <row r="150" spans="1:28">
      <c r="A150" s="35">
        <v>139</v>
      </c>
      <c r="B150" s="35">
        <v>4.0868175905038774E-4</v>
      </c>
      <c r="C150" s="232">
        <v>47.22</v>
      </c>
      <c r="D150" s="35">
        <v>5.0599789874899912</v>
      </c>
      <c r="E150" s="232">
        <v>25.41</v>
      </c>
      <c r="F150" s="35">
        <v>5.0480826274590314</v>
      </c>
      <c r="G150" s="232">
        <v>8883.5</v>
      </c>
      <c r="H150" s="35">
        <v>8.9794330021882018</v>
      </c>
      <c r="I150" s="232">
        <v>8815.6</v>
      </c>
      <c r="J150" s="35">
        <v>6.9331490229714126</v>
      </c>
      <c r="K150" s="232">
        <v>12665.25</v>
      </c>
      <c r="L150" s="35">
        <v>8.9368750470165352</v>
      </c>
      <c r="M150" s="232">
        <v>38787.49</v>
      </c>
      <c r="N150" s="35">
        <v>7.8737074652921608</v>
      </c>
      <c r="P150" s="232">
        <v>-21.81</v>
      </c>
      <c r="Q150" s="35">
        <v>1.1896360030959841E-2</v>
      </c>
      <c r="R150" s="232">
        <v>-67.900000000000006</v>
      </c>
      <c r="S150" s="35">
        <v>2.0462839792167893</v>
      </c>
      <c r="T150" s="232">
        <v>26122.23</v>
      </c>
      <c r="U150" s="35">
        <v>1.0631675817243744</v>
      </c>
      <c r="W150" s="35">
        <f t="shared" si="19"/>
        <v>616.62800154799197</v>
      </c>
      <c r="X150" s="35">
        <f t="shared" si="20"/>
        <v>102382.09896083946</v>
      </c>
      <c r="Y150" s="35">
        <f t="shared" si="21"/>
        <v>27036.149086218724</v>
      </c>
      <c r="Z150" s="35">
        <f t="shared" si="22"/>
        <v>0</v>
      </c>
      <c r="AA150" s="35">
        <f t="shared" si="23"/>
        <v>1</v>
      </c>
      <c r="AB150" s="35">
        <f t="shared" si="24"/>
        <v>0</v>
      </c>
    </row>
    <row r="151" spans="1:28">
      <c r="A151" s="35">
        <v>140</v>
      </c>
      <c r="B151" s="35">
        <v>4.4109064360993704E-4</v>
      </c>
      <c r="C151" s="232">
        <v>52.82</v>
      </c>
      <c r="D151" s="35">
        <v>5.0596187477265069</v>
      </c>
      <c r="E151" s="232">
        <v>30.35</v>
      </c>
      <c r="F151" s="35">
        <v>5.0488860626394807</v>
      </c>
      <c r="G151" s="232">
        <v>9826.61</v>
      </c>
      <c r="H151" s="35">
        <v>8.4037361396587809</v>
      </c>
      <c r="I151" s="232">
        <v>11894.38</v>
      </c>
      <c r="J151" s="35">
        <v>7.404279050903205</v>
      </c>
      <c r="K151" s="232">
        <v>9656.64</v>
      </c>
      <c r="L151" s="35">
        <v>8.5510786372071639</v>
      </c>
      <c r="M151" s="232">
        <v>35392.92</v>
      </c>
      <c r="N151" s="35">
        <v>7.4404381404436766</v>
      </c>
      <c r="P151" s="232">
        <v>-22.46</v>
      </c>
      <c r="Q151" s="35">
        <v>1.0732685087026184E-2</v>
      </c>
      <c r="R151" s="232">
        <v>2067.7800000000002</v>
      </c>
      <c r="S151" s="35">
        <v>0.99945708875557582</v>
      </c>
      <c r="T151" s="232">
        <v>25736.28</v>
      </c>
      <c r="U151" s="35">
        <v>1.1106404967634873</v>
      </c>
      <c r="W151" s="35">
        <f t="shared" si="19"/>
        <v>559.09425435130925</v>
      </c>
      <c r="X151" s="35">
        <f t="shared" si="20"/>
        <v>47905.074437778792</v>
      </c>
      <c r="Y151" s="35">
        <f t="shared" si="21"/>
        <v>29795.744838174367</v>
      </c>
      <c r="Z151" s="35">
        <f t="shared" si="22"/>
        <v>0</v>
      </c>
      <c r="AA151" s="35">
        <f t="shared" si="23"/>
        <v>1</v>
      </c>
      <c r="AB151" s="35">
        <f t="shared" si="24"/>
        <v>0</v>
      </c>
    </row>
    <row r="152" spans="1:28">
      <c r="A152" s="35">
        <v>141</v>
      </c>
      <c r="B152" s="35">
        <v>3.8112653521117347E-4</v>
      </c>
      <c r="C152" s="232">
        <v>61.37</v>
      </c>
      <c r="D152" s="35">
        <v>5.0577512035781806</v>
      </c>
      <c r="E152" s="232">
        <v>35.81</v>
      </c>
      <c r="F152" s="35">
        <v>5.0483080136762908</v>
      </c>
      <c r="G152" s="232">
        <v>12697.47</v>
      </c>
      <c r="H152" s="35">
        <v>8.8299949521497272</v>
      </c>
      <c r="I152" s="232">
        <v>13865.08</v>
      </c>
      <c r="J152" s="35">
        <v>7.9491061647638155</v>
      </c>
      <c r="K152" s="232">
        <v>16918.64</v>
      </c>
      <c r="L152" s="35">
        <v>8.6353150225731472</v>
      </c>
      <c r="M152" s="232">
        <v>42956.6</v>
      </c>
      <c r="N152" s="35">
        <v>7.6397915187727259</v>
      </c>
      <c r="P152" s="232">
        <v>-25.56</v>
      </c>
      <c r="Q152" s="35">
        <v>9.4431899018898591E-3</v>
      </c>
      <c r="R152" s="232">
        <v>1167.6099999999999</v>
      </c>
      <c r="S152" s="35">
        <v>0.8808887873859117</v>
      </c>
      <c r="T152" s="232">
        <v>26037.97</v>
      </c>
      <c r="U152" s="35">
        <v>0.99552350380042132</v>
      </c>
      <c r="W152" s="35">
        <f t="shared" si="19"/>
        <v>497.71949509449297</v>
      </c>
      <c r="X152" s="35">
        <f t="shared" si="20"/>
        <v>42876.829369295585</v>
      </c>
      <c r="Y152" s="35">
        <f t="shared" si="21"/>
        <v>23738.205190021064</v>
      </c>
      <c r="Z152" s="35">
        <f t="shared" si="22"/>
        <v>0</v>
      </c>
      <c r="AA152" s="35">
        <f t="shared" si="23"/>
        <v>1</v>
      </c>
      <c r="AB152" s="35">
        <f t="shared" si="24"/>
        <v>0</v>
      </c>
    </row>
    <row r="153" spans="1:28">
      <c r="A153" s="35">
        <v>142</v>
      </c>
      <c r="B153" s="35">
        <v>5.0071056861156205E-4</v>
      </c>
      <c r="C153" s="232">
        <v>82.63</v>
      </c>
      <c r="D153" s="35">
        <v>5.0645304586139561</v>
      </c>
      <c r="E153" s="232">
        <v>48.11</v>
      </c>
      <c r="F153" s="35">
        <v>5.0522343290315366</v>
      </c>
      <c r="G153" s="232">
        <v>12680.93</v>
      </c>
      <c r="H153" s="35">
        <v>8.8608973455295388</v>
      </c>
      <c r="I153" s="232">
        <v>13340.71</v>
      </c>
      <c r="J153" s="35">
        <v>7.698961694648129</v>
      </c>
      <c r="K153" s="232">
        <v>17285.650000000001</v>
      </c>
      <c r="L153" s="35">
        <v>8.7202284905348524</v>
      </c>
      <c r="M153" s="232">
        <v>43509.56</v>
      </c>
      <c r="N153" s="35">
        <v>7.6543919863802117</v>
      </c>
      <c r="P153" s="232">
        <v>-34.520000000000003</v>
      </c>
      <c r="Q153" s="35">
        <v>1.2296129582419546E-2</v>
      </c>
      <c r="R153" s="232">
        <v>659.78</v>
      </c>
      <c r="S153" s="35">
        <v>1.1619356508814098</v>
      </c>
      <c r="T153" s="232">
        <v>26223.91</v>
      </c>
      <c r="U153" s="35">
        <v>1.0658365041546407</v>
      </c>
      <c r="W153" s="35">
        <f t="shared" si="19"/>
        <v>649.3264791209773</v>
      </c>
      <c r="X153" s="35">
        <f t="shared" si="20"/>
        <v>57437.002544070492</v>
      </c>
      <c r="Y153" s="35">
        <f t="shared" si="21"/>
        <v>27067.915207732036</v>
      </c>
      <c r="Z153" s="35">
        <f t="shared" si="22"/>
        <v>0</v>
      </c>
      <c r="AA153" s="35">
        <f t="shared" si="23"/>
        <v>1</v>
      </c>
      <c r="AB153" s="35">
        <f t="shared" si="24"/>
        <v>0</v>
      </c>
    </row>
    <row r="154" spans="1:28">
      <c r="A154" s="35">
        <v>143</v>
      </c>
      <c r="B154" s="35">
        <v>5.2658967846686E-4</v>
      </c>
      <c r="C154" s="232">
        <v>77.12</v>
      </c>
      <c r="D154" s="35">
        <v>5.0639190264830614</v>
      </c>
      <c r="E154" s="232">
        <v>46.94</v>
      </c>
      <c r="F154" s="35">
        <v>5.0525101045634671</v>
      </c>
      <c r="G154" s="232">
        <v>10832.39</v>
      </c>
      <c r="H154" s="35">
        <v>8.5227081444565336</v>
      </c>
      <c r="I154" s="232">
        <v>11129.17</v>
      </c>
      <c r="J154" s="35">
        <v>7.2447829257376739</v>
      </c>
      <c r="K154" s="232">
        <v>14955.51</v>
      </c>
      <c r="L154" s="35">
        <v>8.5619135208657831</v>
      </c>
      <c r="M154" s="232">
        <v>41024.629999999997</v>
      </c>
      <c r="N154" s="35">
        <v>7.6083601450729397</v>
      </c>
      <c r="P154" s="232">
        <v>-30.18</v>
      </c>
      <c r="Q154" s="35">
        <v>1.1408921919594306E-2</v>
      </c>
      <c r="R154" s="232">
        <v>296.77</v>
      </c>
      <c r="S154" s="35">
        <v>1.2779252187188597</v>
      </c>
      <c r="T154" s="232">
        <v>26069.119999999999</v>
      </c>
      <c r="U154" s="35">
        <v>0.95355337579284338</v>
      </c>
      <c r="W154" s="35">
        <f t="shared" si="19"/>
        <v>600.62609597971527</v>
      </c>
      <c r="X154" s="35">
        <f t="shared" si="20"/>
        <v>63599.490935942988</v>
      </c>
      <c r="Y154" s="35">
        <f t="shared" si="21"/>
        <v>21608.548789642173</v>
      </c>
      <c r="Z154" s="35">
        <f t="shared" si="22"/>
        <v>0</v>
      </c>
      <c r="AA154" s="35">
        <f t="shared" si="23"/>
        <v>1</v>
      </c>
      <c r="AB154" s="35">
        <f t="shared" si="24"/>
        <v>0</v>
      </c>
    </row>
    <row r="155" spans="1:28">
      <c r="A155" s="35">
        <v>144</v>
      </c>
      <c r="B155" s="35">
        <v>4.4841145960217155E-4</v>
      </c>
      <c r="C155" s="232">
        <v>54.06</v>
      </c>
      <c r="D155" s="35">
        <v>5.0608523130112602</v>
      </c>
      <c r="E155" s="232">
        <v>35.869999999999997</v>
      </c>
      <c r="F155" s="35">
        <v>5.0515818194673843</v>
      </c>
      <c r="G155" s="232">
        <v>9208.74</v>
      </c>
      <c r="H155" s="35">
        <v>8.499330022481864</v>
      </c>
      <c r="I155" s="232">
        <v>9916.08</v>
      </c>
      <c r="J155" s="35">
        <v>6.6979172304445385</v>
      </c>
      <c r="K155" s="232">
        <v>11819.01</v>
      </c>
      <c r="L155" s="35">
        <v>8.6784147244927716</v>
      </c>
      <c r="M155" s="232">
        <v>37761.199999999997</v>
      </c>
      <c r="N155" s="35">
        <v>7.5641974435941304</v>
      </c>
      <c r="P155" s="232">
        <v>-18.190000000000001</v>
      </c>
      <c r="Q155" s="35">
        <v>9.2704935438758795E-3</v>
      </c>
      <c r="R155" s="232">
        <v>707.33</v>
      </c>
      <c r="S155" s="35">
        <v>1.8014127920373255</v>
      </c>
      <c r="T155" s="232">
        <v>25942.19</v>
      </c>
      <c r="U155" s="35">
        <v>1.1142172808986412</v>
      </c>
      <c r="W155" s="35">
        <f t="shared" si="19"/>
        <v>481.71467719379399</v>
      </c>
      <c r="X155" s="35">
        <f t="shared" si="20"/>
        <v>89363.309601866276</v>
      </c>
      <c r="Y155" s="35">
        <f t="shared" si="21"/>
        <v>29768.67404493206</v>
      </c>
      <c r="Z155" s="35">
        <f t="shared" si="22"/>
        <v>0</v>
      </c>
      <c r="AA155" s="35">
        <f t="shared" si="23"/>
        <v>1</v>
      </c>
      <c r="AB155" s="35">
        <f t="shared" si="24"/>
        <v>0</v>
      </c>
    </row>
    <row r="156" spans="1:28">
      <c r="A156" s="35">
        <v>145</v>
      </c>
      <c r="B156" s="35">
        <v>4.6114295255950122E-4</v>
      </c>
      <c r="C156" s="232">
        <v>56.7</v>
      </c>
      <c r="D156" s="35">
        <v>5.0613589521631095</v>
      </c>
      <c r="E156" s="232">
        <v>30.6</v>
      </c>
      <c r="F156" s="35">
        <v>5.0490544769917269</v>
      </c>
      <c r="G156" s="232">
        <v>9943.23</v>
      </c>
      <c r="H156" s="35">
        <v>8.6969578034336816</v>
      </c>
      <c r="I156" s="232">
        <v>11514.27</v>
      </c>
      <c r="J156" s="35">
        <v>7.5764189616547615</v>
      </c>
      <c r="K156" s="232">
        <v>11802.92</v>
      </c>
      <c r="L156" s="35">
        <v>8.5055912333004926</v>
      </c>
      <c r="M156" s="232">
        <v>37750.46</v>
      </c>
      <c r="N156" s="35">
        <v>7.4269877687617853</v>
      </c>
      <c r="P156" s="232">
        <v>-26.1</v>
      </c>
      <c r="Q156" s="35">
        <v>1.2304475171382556E-2</v>
      </c>
      <c r="R156" s="232">
        <v>1571.03</v>
      </c>
      <c r="S156" s="35">
        <v>1.1205388417789202</v>
      </c>
      <c r="T156" s="232">
        <v>25947.54</v>
      </c>
      <c r="U156" s="35">
        <v>1.0786034645387073</v>
      </c>
      <c r="W156" s="35">
        <f t="shared" si="19"/>
        <v>641.32375856912779</v>
      </c>
      <c r="X156" s="35">
        <f t="shared" si="20"/>
        <v>54455.91208894601</v>
      </c>
      <c r="Y156" s="35">
        <f t="shared" si="21"/>
        <v>27982.633226935359</v>
      </c>
      <c r="Z156" s="35">
        <f t="shared" si="22"/>
        <v>0</v>
      </c>
      <c r="AA156" s="35">
        <f t="shared" si="23"/>
        <v>1</v>
      </c>
      <c r="AB156" s="35">
        <f t="shared" si="24"/>
        <v>0</v>
      </c>
    </row>
    <row r="157" spans="1:28">
      <c r="A157" s="35">
        <v>146</v>
      </c>
      <c r="B157" s="35">
        <v>4.2761851376118718E-4</v>
      </c>
      <c r="C157" s="232">
        <v>51.12</v>
      </c>
      <c r="D157" s="35">
        <v>5.0635441856558137</v>
      </c>
      <c r="E157" s="232">
        <v>33.79</v>
      </c>
      <c r="F157" s="35">
        <v>5.0530232413962137</v>
      </c>
      <c r="G157" s="232">
        <v>9753.25</v>
      </c>
      <c r="H157" s="35">
        <v>9.6180335101000569</v>
      </c>
      <c r="I157" s="232">
        <v>12003.93</v>
      </c>
      <c r="J157" s="35">
        <v>9.2722595458090407</v>
      </c>
      <c r="K157" s="232">
        <v>8603.41</v>
      </c>
      <c r="L157" s="35">
        <v>8.9908650166115791</v>
      </c>
      <c r="M157" s="232">
        <v>34410.639999999999</v>
      </c>
      <c r="N157" s="35">
        <v>7.8999528222806692</v>
      </c>
      <c r="P157" s="232">
        <v>-17.329999999999998</v>
      </c>
      <c r="Q157" s="35">
        <v>1.0520944259599929E-2</v>
      </c>
      <c r="R157" s="232">
        <v>2250.6799999999998</v>
      </c>
      <c r="S157" s="35">
        <v>0.34577396429101626</v>
      </c>
      <c r="T157" s="232">
        <v>25807.23</v>
      </c>
      <c r="U157" s="35">
        <v>1.0909121943309099</v>
      </c>
      <c r="W157" s="35">
        <f t="shared" si="19"/>
        <v>543.37721297999644</v>
      </c>
      <c r="X157" s="35">
        <f t="shared" si="20"/>
        <v>15038.018214550812</v>
      </c>
      <c r="Y157" s="35">
        <f t="shared" si="21"/>
        <v>28738.379716545493</v>
      </c>
      <c r="Z157" s="35">
        <f t="shared" si="22"/>
        <v>0</v>
      </c>
      <c r="AA157" s="35">
        <f t="shared" si="23"/>
        <v>0</v>
      </c>
      <c r="AB157" s="35">
        <f t="shared" si="24"/>
        <v>1</v>
      </c>
    </row>
    <row r="158" spans="1:28">
      <c r="A158" s="35">
        <v>147</v>
      </c>
      <c r="B158" s="35">
        <v>4.9434128533765165E-4</v>
      </c>
      <c r="C158" s="232">
        <v>61.16</v>
      </c>
      <c r="D158" s="35">
        <v>5.0643706806298221</v>
      </c>
      <c r="E158" s="232">
        <v>38.200000000000003</v>
      </c>
      <c r="F158" s="35">
        <v>5.0528570717966081</v>
      </c>
      <c r="G158" s="232">
        <v>9482.43</v>
      </c>
      <c r="H158" s="35">
        <v>9.0631233555960105</v>
      </c>
      <c r="I158" s="232">
        <v>10574.28</v>
      </c>
      <c r="J158" s="35">
        <v>7.6138299175918496</v>
      </c>
      <c r="K158" s="232">
        <v>10525.79</v>
      </c>
      <c r="L158" s="35">
        <v>8.4959497301987632</v>
      </c>
      <c r="M158" s="232">
        <v>36324.400000000001</v>
      </c>
      <c r="N158" s="35">
        <v>7.4187000619205046</v>
      </c>
      <c r="P158" s="232">
        <v>-22.96</v>
      </c>
      <c r="Q158" s="35">
        <v>1.1513608833213951E-2</v>
      </c>
      <c r="R158" s="232">
        <v>1091.8499999999999</v>
      </c>
      <c r="S158" s="35">
        <v>1.4492934380041609</v>
      </c>
      <c r="T158" s="232">
        <v>25798.61</v>
      </c>
      <c r="U158" s="35">
        <v>1.0772496682782586</v>
      </c>
      <c r="W158" s="35">
        <f t="shared" si="19"/>
        <v>598.64044166069755</v>
      </c>
      <c r="X158" s="35">
        <f t="shared" si="20"/>
        <v>71372.821900208044</v>
      </c>
      <c r="Y158" s="35">
        <f t="shared" si="21"/>
        <v>28063.87341391293</v>
      </c>
      <c r="Z158" s="35">
        <f t="shared" si="22"/>
        <v>0</v>
      </c>
      <c r="AA158" s="35">
        <f t="shared" si="23"/>
        <v>1</v>
      </c>
      <c r="AB158" s="35">
        <f t="shared" si="24"/>
        <v>0</v>
      </c>
    </row>
    <row r="159" spans="1:28">
      <c r="A159" s="35">
        <v>148</v>
      </c>
      <c r="B159" s="35">
        <v>4.170014719634249E-4</v>
      </c>
      <c r="C159" s="232">
        <v>55.54</v>
      </c>
      <c r="D159" s="35">
        <v>5.060945534155449</v>
      </c>
      <c r="E159" s="232">
        <v>36.36</v>
      </c>
      <c r="F159" s="35">
        <v>5.0514749751885617</v>
      </c>
      <c r="G159" s="232">
        <v>10814.33</v>
      </c>
      <c r="H159" s="35">
        <v>9.1043863714312145</v>
      </c>
      <c r="I159" s="232">
        <v>12986.85</v>
      </c>
      <c r="J159" s="35">
        <v>8.9811240252485938</v>
      </c>
      <c r="K159" s="232">
        <v>12405.13</v>
      </c>
      <c r="L159" s="35">
        <v>8.5879618861155951</v>
      </c>
      <c r="M159" s="232">
        <v>38310.04</v>
      </c>
      <c r="N159" s="35">
        <v>7.4906682491657275</v>
      </c>
      <c r="P159" s="232">
        <v>-19.18</v>
      </c>
      <c r="Q159" s="35">
        <v>9.4705589668873102E-3</v>
      </c>
      <c r="R159" s="232">
        <v>2172.52</v>
      </c>
      <c r="S159" s="35">
        <v>0.12326234618262077</v>
      </c>
      <c r="T159" s="232">
        <v>25904.91</v>
      </c>
      <c r="U159" s="35">
        <v>1.0972936369498676</v>
      </c>
      <c r="W159" s="35">
        <f t="shared" si="19"/>
        <v>492.70794834436555</v>
      </c>
      <c r="X159" s="35">
        <f t="shared" si="20"/>
        <v>3990.5973091310384</v>
      </c>
      <c r="Y159" s="35">
        <f t="shared" si="21"/>
        <v>28959.771847493383</v>
      </c>
      <c r="Z159" s="35">
        <f t="shared" si="22"/>
        <v>0</v>
      </c>
      <c r="AA159" s="35">
        <f t="shared" si="23"/>
        <v>0</v>
      </c>
      <c r="AB159" s="35">
        <f t="shared" si="24"/>
        <v>1</v>
      </c>
    </row>
    <row r="160" spans="1:28">
      <c r="A160" s="35">
        <v>149</v>
      </c>
      <c r="B160" s="35">
        <v>3.7902279962794303E-4</v>
      </c>
      <c r="C160" s="232">
        <v>58.11</v>
      </c>
      <c r="D160" s="35">
        <v>5.0573050019693255</v>
      </c>
      <c r="E160" s="232">
        <v>33.369999999999997</v>
      </c>
      <c r="F160" s="35">
        <v>5.0478312499381239</v>
      </c>
      <c r="G160" s="232">
        <v>12042.04</v>
      </c>
      <c r="H160" s="35">
        <v>8.7154027971917856</v>
      </c>
      <c r="I160" s="232">
        <v>12718.16</v>
      </c>
      <c r="J160" s="35">
        <v>7.23493055871013</v>
      </c>
      <c r="K160" s="232">
        <v>15338.87</v>
      </c>
      <c r="L160" s="35">
        <v>8.4955090764876626</v>
      </c>
      <c r="M160" s="232">
        <v>41484.36</v>
      </c>
      <c r="N160" s="35">
        <v>7.410357113096226</v>
      </c>
      <c r="P160" s="232">
        <v>-24.74</v>
      </c>
      <c r="Q160" s="35">
        <v>9.4737520312015988E-3</v>
      </c>
      <c r="R160" s="232">
        <v>676.12</v>
      </c>
      <c r="S160" s="35">
        <v>1.4804722384816555</v>
      </c>
      <c r="T160" s="232">
        <v>26145.49</v>
      </c>
      <c r="U160" s="35">
        <v>1.0851519633914366</v>
      </c>
      <c r="W160" s="35">
        <f t="shared" si="19"/>
        <v>498.42760156007995</v>
      </c>
      <c r="X160" s="35">
        <f t="shared" si="20"/>
        <v>73347.491924082788</v>
      </c>
      <c r="Y160" s="35">
        <f t="shared" si="21"/>
        <v>28112.108169571828</v>
      </c>
      <c r="Z160" s="35">
        <f t="shared" si="22"/>
        <v>0</v>
      </c>
      <c r="AA160" s="35">
        <f t="shared" si="23"/>
        <v>1</v>
      </c>
      <c r="AB160" s="35">
        <f t="shared" si="24"/>
        <v>0</v>
      </c>
    </row>
    <row r="161" spans="1:28">
      <c r="A161" s="35">
        <v>150</v>
      </c>
      <c r="B161" s="35">
        <v>4.9024532079222638E-4</v>
      </c>
      <c r="C161" s="232">
        <v>80</v>
      </c>
      <c r="D161" s="35">
        <v>5.0630009604322632</v>
      </c>
      <c r="E161" s="232">
        <v>46.93</v>
      </c>
      <c r="F161" s="35">
        <v>5.0514841811744793</v>
      </c>
      <c r="G161" s="232">
        <v>12620.91</v>
      </c>
      <c r="H161" s="35">
        <v>8.5156178409620527</v>
      </c>
      <c r="I161" s="232">
        <v>14100.96</v>
      </c>
      <c r="J161" s="35">
        <v>7.9544854492894386</v>
      </c>
      <c r="K161" s="232">
        <v>18409.14</v>
      </c>
      <c r="L161" s="35">
        <v>8.7220440795937275</v>
      </c>
      <c r="M161" s="232">
        <v>44798.76</v>
      </c>
      <c r="N161" s="35">
        <v>7.5793788206441768</v>
      </c>
      <c r="P161" s="232">
        <v>-33.07</v>
      </c>
      <c r="Q161" s="35">
        <v>1.1516779257783938E-2</v>
      </c>
      <c r="R161" s="232">
        <v>1480.05</v>
      </c>
      <c r="S161" s="35">
        <v>0.56113239167261408</v>
      </c>
      <c r="T161" s="232">
        <v>26389.62</v>
      </c>
      <c r="U161" s="35">
        <v>1.1426652589495507</v>
      </c>
      <c r="W161" s="35">
        <f t="shared" si="19"/>
        <v>608.90896288919691</v>
      </c>
      <c r="X161" s="35">
        <f t="shared" si="20"/>
        <v>26576.569583630706</v>
      </c>
      <c r="Y161" s="35">
        <f t="shared" si="21"/>
        <v>30743.64294747754</v>
      </c>
      <c r="Z161" s="35">
        <f t="shared" si="22"/>
        <v>0</v>
      </c>
      <c r="AA161" s="35">
        <f t="shared" si="23"/>
        <v>0</v>
      </c>
      <c r="AB161" s="35">
        <f t="shared" si="24"/>
        <v>1</v>
      </c>
    </row>
    <row r="162" spans="1:28">
      <c r="A162" s="35">
        <v>151</v>
      </c>
      <c r="B162" s="35">
        <v>4.911785363904686E-4</v>
      </c>
      <c r="C162" s="232">
        <v>92.94</v>
      </c>
      <c r="D162" s="35">
        <v>5.0642474969679521</v>
      </c>
      <c r="E162" s="232">
        <v>60.46</v>
      </c>
      <c r="F162" s="35">
        <v>5.0540089535870525</v>
      </c>
      <c r="G162" s="232">
        <v>14927.29</v>
      </c>
      <c r="H162" s="35">
        <v>8.8809691665999555</v>
      </c>
      <c r="I162" s="232">
        <v>16126.43</v>
      </c>
      <c r="J162" s="35">
        <v>7.6692725873185541</v>
      </c>
      <c r="K162" s="232">
        <v>17538.169999999998</v>
      </c>
      <c r="L162" s="35">
        <v>8.6510399765747046</v>
      </c>
      <c r="M162" s="232">
        <v>43876.77</v>
      </c>
      <c r="N162" s="35">
        <v>7.5878472138525739</v>
      </c>
      <c r="P162" s="232">
        <v>-32.479999999999997</v>
      </c>
      <c r="Q162" s="35">
        <v>1.0238543380899578E-2</v>
      </c>
      <c r="R162" s="232">
        <v>1199.1400000000001</v>
      </c>
      <c r="S162" s="35">
        <v>1.2116965792814014</v>
      </c>
      <c r="T162" s="232">
        <v>26338.6</v>
      </c>
      <c r="U162" s="35">
        <v>1.0631927627221307</v>
      </c>
      <c r="W162" s="35">
        <f t="shared" si="19"/>
        <v>544.4071690449789</v>
      </c>
      <c r="X162" s="35">
        <f t="shared" si="20"/>
        <v>59385.688964070068</v>
      </c>
      <c r="Y162" s="35">
        <f t="shared" si="21"/>
        <v>26821.038136106537</v>
      </c>
      <c r="Z162" s="35">
        <f t="shared" si="22"/>
        <v>0</v>
      </c>
      <c r="AA162" s="35">
        <f t="shared" si="23"/>
        <v>1</v>
      </c>
      <c r="AB162" s="35">
        <f t="shared" si="24"/>
        <v>0</v>
      </c>
    </row>
    <row r="163" spans="1:28">
      <c r="A163" s="35">
        <v>152</v>
      </c>
      <c r="B163" s="35">
        <v>4.1622248479894968E-4</v>
      </c>
      <c r="C163" s="232">
        <v>78.56</v>
      </c>
      <c r="D163" s="35">
        <v>5.0601789336071032</v>
      </c>
      <c r="E163" s="232">
        <v>54.64</v>
      </c>
      <c r="F163" s="35">
        <v>5.0523638193289564</v>
      </c>
      <c r="G163" s="232">
        <v>13750.77</v>
      </c>
      <c r="H163" s="35">
        <v>8.7874628528079981</v>
      </c>
      <c r="I163" s="232">
        <v>12245.63</v>
      </c>
      <c r="J163" s="35">
        <v>7.0908778828255938</v>
      </c>
      <c r="K163" s="232">
        <v>21417.75</v>
      </c>
      <c r="L163" s="35">
        <v>8.645607215608603</v>
      </c>
      <c r="M163" s="232">
        <v>47828.14</v>
      </c>
      <c r="N163" s="35">
        <v>7.5586901230627204</v>
      </c>
      <c r="P163" s="232">
        <v>-23.92</v>
      </c>
      <c r="Q163" s="35">
        <v>7.8151142781468508E-3</v>
      </c>
      <c r="R163" s="232">
        <v>-1505.14</v>
      </c>
      <c r="S163" s="35">
        <v>1.6965849699824043</v>
      </c>
      <c r="T163" s="232">
        <v>26410.39</v>
      </c>
      <c r="U163" s="35">
        <v>1.0869170925458826</v>
      </c>
      <c r="W163" s="35">
        <f t="shared" si="19"/>
        <v>414.67571390734253</v>
      </c>
      <c r="X163" s="35">
        <f t="shared" si="20"/>
        <v>86334.388499120207</v>
      </c>
      <c r="Y163" s="35">
        <f t="shared" si="21"/>
        <v>27935.464627294132</v>
      </c>
      <c r="Z163" s="35">
        <f t="shared" si="22"/>
        <v>0</v>
      </c>
      <c r="AA163" s="35">
        <f t="shared" si="23"/>
        <v>1</v>
      </c>
      <c r="AB163" s="35">
        <f t="shared" si="24"/>
        <v>0</v>
      </c>
    </row>
    <row r="164" spans="1:28">
      <c r="A164" s="35">
        <v>153</v>
      </c>
      <c r="B164" s="35">
        <v>4.0458840883306424E-4</v>
      </c>
      <c r="C164" s="232">
        <v>58.04</v>
      </c>
      <c r="D164" s="35">
        <v>5.0594874702384551</v>
      </c>
      <c r="E164" s="232">
        <v>39.11</v>
      </c>
      <c r="F164" s="35">
        <v>5.0510920209678103</v>
      </c>
      <c r="G164" s="232">
        <v>11216.05</v>
      </c>
      <c r="H164" s="35">
        <v>8.8685377092349142</v>
      </c>
      <c r="I164" s="232">
        <v>12476.77</v>
      </c>
      <c r="J164" s="35">
        <v>7.2070366761276912</v>
      </c>
      <c r="K164" s="232">
        <v>12150.89</v>
      </c>
      <c r="L164" s="35">
        <v>8.6001640787727869</v>
      </c>
      <c r="M164" s="232">
        <v>38075.919999999998</v>
      </c>
      <c r="N164" s="35">
        <v>7.4844493014278406</v>
      </c>
      <c r="P164" s="232">
        <v>-18.93</v>
      </c>
      <c r="Q164" s="35">
        <v>8.3954492706448391E-3</v>
      </c>
      <c r="R164" s="232">
        <v>1260.72</v>
      </c>
      <c r="S164" s="35">
        <v>1.6615010331072231</v>
      </c>
      <c r="T164" s="232">
        <v>25925.03</v>
      </c>
      <c r="U164" s="35">
        <v>1.1157147773449463</v>
      </c>
      <c r="W164" s="35">
        <f t="shared" si="19"/>
        <v>438.70246353224195</v>
      </c>
      <c r="X164" s="35">
        <f t="shared" si="20"/>
        <v>81814.331655361151</v>
      </c>
      <c r="Y164" s="35">
        <f t="shared" si="21"/>
        <v>29860.708867247318</v>
      </c>
      <c r="Z164" s="35">
        <f t="shared" si="22"/>
        <v>0</v>
      </c>
      <c r="AA164" s="35">
        <f t="shared" si="23"/>
        <v>1</v>
      </c>
      <c r="AB164" s="35">
        <f t="shared" si="24"/>
        <v>0</v>
      </c>
    </row>
    <row r="165" spans="1:28">
      <c r="A165" s="35">
        <v>154</v>
      </c>
      <c r="B165" s="35">
        <v>4.53671631894359E-4</v>
      </c>
      <c r="C165" s="232">
        <v>55.34</v>
      </c>
      <c r="D165" s="35">
        <v>5.0630165739194055</v>
      </c>
      <c r="E165" s="232">
        <v>37.93</v>
      </c>
      <c r="F165" s="35">
        <v>5.0534592784742269</v>
      </c>
      <c r="G165" s="232">
        <v>9248.41</v>
      </c>
      <c r="H165" s="35">
        <v>9.3120927471441632</v>
      </c>
      <c r="I165" s="232">
        <v>11700.6</v>
      </c>
      <c r="J165" s="35">
        <v>9.5673604750406902</v>
      </c>
      <c r="K165" s="232">
        <v>10997.62</v>
      </c>
      <c r="L165" s="35">
        <v>8.3005882719021233</v>
      </c>
      <c r="M165" s="232">
        <v>36774.93</v>
      </c>
      <c r="N165" s="35">
        <v>7.2525965542114266</v>
      </c>
      <c r="P165" s="232">
        <v>-17.41</v>
      </c>
      <c r="Q165" s="35">
        <v>9.5572954451785819E-3</v>
      </c>
      <c r="R165" s="232">
        <v>2452.1799999999998</v>
      </c>
      <c r="S165" s="35">
        <v>-0.25526772789652696</v>
      </c>
      <c r="T165" s="232">
        <v>25777.32</v>
      </c>
      <c r="U165" s="35">
        <v>1.0479917176906968</v>
      </c>
      <c r="W165" s="35">
        <f t="shared" si="19"/>
        <v>495.27477225892909</v>
      </c>
      <c r="X165" s="35">
        <f t="shared" si="20"/>
        <v>-15215.566394826348</v>
      </c>
      <c r="Y165" s="35">
        <f t="shared" si="21"/>
        <v>26622.265884534841</v>
      </c>
      <c r="Z165" s="35">
        <f t="shared" si="22"/>
        <v>0</v>
      </c>
      <c r="AA165" s="35">
        <f t="shared" si="23"/>
        <v>0</v>
      </c>
      <c r="AB165" s="35">
        <f t="shared" si="24"/>
        <v>1</v>
      </c>
    </row>
    <row r="166" spans="1:28">
      <c r="A166" s="35">
        <v>155</v>
      </c>
      <c r="B166" s="35">
        <v>4.283824518199044E-4</v>
      </c>
      <c r="C166" s="232">
        <v>57.55</v>
      </c>
      <c r="D166" s="35">
        <v>5.0596816247365526</v>
      </c>
      <c r="E166" s="232">
        <v>35.43</v>
      </c>
      <c r="F166" s="35">
        <v>5.0499315721944749</v>
      </c>
      <c r="G166" s="232">
        <v>10513.32</v>
      </c>
      <c r="H166" s="35">
        <v>8.6070134591705205</v>
      </c>
      <c r="I166" s="232">
        <v>11302.29</v>
      </c>
      <c r="J166" s="35">
        <v>6.8359343966764907</v>
      </c>
      <c r="K166" s="232">
        <v>12945.34</v>
      </c>
      <c r="L166" s="35">
        <v>8.5592089774896554</v>
      </c>
      <c r="M166" s="232">
        <v>39052.050000000003</v>
      </c>
      <c r="N166" s="35">
        <v>7.421185098603428</v>
      </c>
      <c r="P166" s="232">
        <v>-22.12</v>
      </c>
      <c r="Q166" s="35">
        <v>9.7500525420777251E-3</v>
      </c>
      <c r="R166" s="232">
        <v>788.98</v>
      </c>
      <c r="S166" s="35">
        <v>1.7710790624940298</v>
      </c>
      <c r="T166" s="232">
        <v>26106.71</v>
      </c>
      <c r="U166" s="35">
        <v>1.1380238788862274</v>
      </c>
      <c r="W166" s="35">
        <f t="shared" si="19"/>
        <v>509.62262710388626</v>
      </c>
      <c r="X166" s="35">
        <f t="shared" si="20"/>
        <v>87764.973124701501</v>
      </c>
      <c r="Y166" s="35">
        <f t="shared" si="21"/>
        <v>30794.483944311367</v>
      </c>
      <c r="Z166" s="35">
        <f t="shared" si="22"/>
        <v>0</v>
      </c>
      <c r="AA166" s="35">
        <f t="shared" si="23"/>
        <v>1</v>
      </c>
      <c r="AB166" s="35">
        <f t="shared" si="24"/>
        <v>0</v>
      </c>
    </row>
    <row r="167" spans="1:28">
      <c r="A167" s="35">
        <v>156</v>
      </c>
      <c r="B167" s="35">
        <v>4.6345813830417359E-4</v>
      </c>
      <c r="C167" s="232">
        <v>60.15</v>
      </c>
      <c r="D167" s="35">
        <v>5.0634057341779179</v>
      </c>
      <c r="E167" s="232">
        <v>37.61</v>
      </c>
      <c r="F167" s="35">
        <v>5.0523063348460759</v>
      </c>
      <c r="G167" s="232">
        <v>10400.66</v>
      </c>
      <c r="H167" s="35">
        <v>9.0251643800277765</v>
      </c>
      <c r="I167" s="232">
        <v>12039.12</v>
      </c>
      <c r="J167" s="35">
        <v>8.1071426633241845</v>
      </c>
      <c r="K167" s="232">
        <v>12735.66</v>
      </c>
      <c r="L167" s="35">
        <v>8.7713988293820933</v>
      </c>
      <c r="M167" s="232">
        <v>38722.199999999997</v>
      </c>
      <c r="N167" s="35">
        <v>7.6005174647843887</v>
      </c>
      <c r="P167" s="232">
        <v>-22.53</v>
      </c>
      <c r="Q167" s="35">
        <v>1.1099399331842008E-2</v>
      </c>
      <c r="R167" s="232">
        <v>1638.46</v>
      </c>
      <c r="S167" s="35">
        <v>0.91802171670359201</v>
      </c>
      <c r="T167" s="232">
        <v>25986.54</v>
      </c>
      <c r="U167" s="35">
        <v>1.1708813645977045</v>
      </c>
      <c r="W167" s="35">
        <f t="shared" si="19"/>
        <v>577.49996659210035</v>
      </c>
      <c r="X167" s="35">
        <f t="shared" si="20"/>
        <v>44262.625835179599</v>
      </c>
      <c r="Y167" s="35">
        <f t="shared" si="21"/>
        <v>32557.528229885225</v>
      </c>
      <c r="Z167" s="35">
        <f t="shared" si="22"/>
        <v>0</v>
      </c>
      <c r="AA167" s="35">
        <f t="shared" si="23"/>
        <v>1</v>
      </c>
      <c r="AB167" s="35">
        <f t="shared" si="24"/>
        <v>0</v>
      </c>
    </row>
    <row r="168" spans="1:28">
      <c r="A168" s="35">
        <v>157</v>
      </c>
      <c r="B168" s="35">
        <v>4.9345206189199686E-4</v>
      </c>
      <c r="C168" s="232">
        <v>57.68</v>
      </c>
      <c r="D168" s="35">
        <v>5.0613053603164433</v>
      </c>
      <c r="E168" s="232">
        <v>34.380000000000003</v>
      </c>
      <c r="F168" s="35">
        <v>5.0503747113679047</v>
      </c>
      <c r="G168" s="232">
        <v>9290</v>
      </c>
      <c r="H168" s="35">
        <v>8.2311130557975929</v>
      </c>
      <c r="I168" s="232">
        <v>10832.33</v>
      </c>
      <c r="J168" s="35">
        <v>6.8063667749817389</v>
      </c>
      <c r="K168" s="232">
        <v>10504.49</v>
      </c>
      <c r="L168" s="35">
        <v>8.3790150198633704</v>
      </c>
      <c r="M168" s="232">
        <v>36493.589999999997</v>
      </c>
      <c r="N168" s="35">
        <v>7.2217527034065219</v>
      </c>
      <c r="P168" s="232">
        <v>-23.3</v>
      </c>
      <c r="Q168" s="35">
        <v>1.0930648948538568E-2</v>
      </c>
      <c r="R168" s="232">
        <v>1542.33</v>
      </c>
      <c r="S168" s="35">
        <v>1.424746280815854</v>
      </c>
      <c r="T168" s="232">
        <v>25989.1</v>
      </c>
      <c r="U168" s="35">
        <v>1.1572623164568485</v>
      </c>
      <c r="W168" s="35">
        <f t="shared" si="19"/>
        <v>569.83244742692841</v>
      </c>
      <c r="X168" s="35">
        <f t="shared" si="20"/>
        <v>69694.984040792697</v>
      </c>
      <c r="Y168" s="35">
        <f t="shared" si="21"/>
        <v>31874.015822842426</v>
      </c>
      <c r="Z168" s="35">
        <f t="shared" si="22"/>
        <v>0</v>
      </c>
      <c r="AA168" s="35">
        <f t="shared" si="23"/>
        <v>1</v>
      </c>
      <c r="AB168" s="35">
        <f t="shared" si="24"/>
        <v>0</v>
      </c>
    </row>
    <row r="169" spans="1:28">
      <c r="A169" s="35">
        <v>158</v>
      </c>
      <c r="B169" s="35">
        <v>4.4538147215516236E-4</v>
      </c>
      <c r="C169" s="232">
        <v>58.79</v>
      </c>
      <c r="D169" s="35">
        <v>5.0619388601132478</v>
      </c>
      <c r="E169" s="232">
        <v>35.75</v>
      </c>
      <c r="F169" s="35">
        <v>5.0510320736638734</v>
      </c>
      <c r="G169" s="232">
        <v>10477.19</v>
      </c>
      <c r="H169" s="35">
        <v>8.8907252478231822</v>
      </c>
      <c r="I169" s="232">
        <v>11999.34</v>
      </c>
      <c r="J169" s="35">
        <v>7.9340809287361802</v>
      </c>
      <c r="K169" s="232">
        <v>13277.35</v>
      </c>
      <c r="L169" s="35">
        <v>8.8200085070312735</v>
      </c>
      <c r="M169" s="232">
        <v>39317.379999999997</v>
      </c>
      <c r="N169" s="35">
        <v>7.6977958432716251</v>
      </c>
      <c r="P169" s="232">
        <v>-23.03</v>
      </c>
      <c r="Q169" s="35">
        <v>1.0906786449374373E-2</v>
      </c>
      <c r="R169" s="232">
        <v>1522.15</v>
      </c>
      <c r="S169" s="35">
        <v>0.95664431908700198</v>
      </c>
      <c r="T169" s="232">
        <v>26040.03</v>
      </c>
      <c r="U169" s="35">
        <v>1.1222126637596483</v>
      </c>
      <c r="W169" s="35">
        <f t="shared" si="19"/>
        <v>568.36932246871856</v>
      </c>
      <c r="X169" s="35">
        <f t="shared" si="20"/>
        <v>46310.065954350095</v>
      </c>
      <c r="Y169" s="35">
        <f t="shared" si="21"/>
        <v>30070.603187982415</v>
      </c>
      <c r="Z169" s="35">
        <f t="shared" si="22"/>
        <v>0</v>
      </c>
      <c r="AA169" s="35">
        <f t="shared" si="23"/>
        <v>1</v>
      </c>
      <c r="AB169" s="35">
        <f t="shared" si="24"/>
        <v>0</v>
      </c>
    </row>
    <row r="170" spans="1:28">
      <c r="A170" s="35">
        <v>159</v>
      </c>
      <c r="B170" s="35">
        <v>3.684789129706471E-4</v>
      </c>
      <c r="C170" s="232">
        <v>51.21</v>
      </c>
      <c r="D170" s="35">
        <v>5.0550340998023495</v>
      </c>
      <c r="E170" s="232">
        <v>29.12</v>
      </c>
      <c r="F170" s="35">
        <v>5.0464277372497435</v>
      </c>
      <c r="G170" s="232">
        <v>10306.790000000001</v>
      </c>
      <c r="H170" s="35">
        <v>8.0554996669530752</v>
      </c>
      <c r="I170" s="232">
        <v>11680.48</v>
      </c>
      <c r="J170" s="35">
        <v>7.4293282513359307</v>
      </c>
      <c r="K170" s="232">
        <v>15180.95</v>
      </c>
      <c r="L170" s="35">
        <v>8.5896518996278459</v>
      </c>
      <c r="M170" s="232">
        <v>41310.03</v>
      </c>
      <c r="N170" s="35">
        <v>7.5660259935208165</v>
      </c>
      <c r="P170" s="232">
        <v>-22.09</v>
      </c>
      <c r="Q170" s="35">
        <v>8.6063625526060505E-3</v>
      </c>
      <c r="R170" s="232">
        <v>1373.69</v>
      </c>
      <c r="S170" s="35">
        <v>0.62617141561714451</v>
      </c>
      <c r="T170" s="232">
        <v>26129.08</v>
      </c>
      <c r="U170" s="35">
        <v>1.0236259061070294</v>
      </c>
      <c r="W170" s="35">
        <f t="shared" si="19"/>
        <v>452.40812763030249</v>
      </c>
      <c r="X170" s="35">
        <f t="shared" si="20"/>
        <v>29934.880780857227</v>
      </c>
      <c r="Y170" s="35">
        <f t="shared" si="21"/>
        <v>25052.21530535147</v>
      </c>
      <c r="Z170" s="35">
        <f t="shared" si="22"/>
        <v>0</v>
      </c>
      <c r="AA170" s="35">
        <f t="shared" si="23"/>
        <v>1</v>
      </c>
      <c r="AB170" s="35">
        <f t="shared" si="24"/>
        <v>0</v>
      </c>
    </row>
    <row r="171" spans="1:28">
      <c r="A171" s="35">
        <v>160</v>
      </c>
      <c r="B171" s="35">
        <v>3.9546450460681038E-4</v>
      </c>
      <c r="C171" s="232">
        <v>60.24</v>
      </c>
      <c r="D171" s="35">
        <v>5.0579913171390558</v>
      </c>
      <c r="E171" s="232">
        <v>38.75</v>
      </c>
      <c r="F171" s="35">
        <v>5.0496115686915326</v>
      </c>
      <c r="G171" s="232">
        <v>10895.28</v>
      </c>
      <c r="H171" s="35">
        <v>8.7115299387884662</v>
      </c>
      <c r="I171" s="232">
        <v>10446.799999999999</v>
      </c>
      <c r="J171" s="35">
        <v>7.1336682546811447</v>
      </c>
      <c r="K171" s="232">
        <v>14294.97</v>
      </c>
      <c r="L171" s="35">
        <v>8.3028325251961288</v>
      </c>
      <c r="M171" s="232">
        <v>40287.949999999997</v>
      </c>
      <c r="N171" s="35">
        <v>7.1772979861859136</v>
      </c>
      <c r="P171" s="232">
        <v>-21.49</v>
      </c>
      <c r="Q171" s="35">
        <v>8.3797484475232054E-3</v>
      </c>
      <c r="R171" s="232">
        <v>-448.48</v>
      </c>
      <c r="S171" s="35">
        <v>1.5778616841073214</v>
      </c>
      <c r="T171" s="232">
        <v>25992.97</v>
      </c>
      <c r="U171" s="35">
        <v>1.1255345390102152</v>
      </c>
      <c r="W171" s="35">
        <f t="shared" si="19"/>
        <v>440.47742237616029</v>
      </c>
      <c r="X171" s="35">
        <f t="shared" si="20"/>
        <v>79341.56420536607</v>
      </c>
      <c r="Y171" s="35">
        <f t="shared" si="21"/>
        <v>30283.75695051076</v>
      </c>
      <c r="Z171" s="35">
        <f t="shared" si="22"/>
        <v>0</v>
      </c>
      <c r="AA171" s="35">
        <f t="shared" si="23"/>
        <v>1</v>
      </c>
      <c r="AB171" s="35">
        <f t="shared" si="24"/>
        <v>0</v>
      </c>
    </row>
    <row r="172" spans="1:28">
      <c r="A172" s="35">
        <v>161</v>
      </c>
      <c r="B172" s="35">
        <v>5.2158962025938838E-4</v>
      </c>
      <c r="C172" s="232">
        <v>58.95</v>
      </c>
      <c r="D172" s="35">
        <v>5.0656465823272336</v>
      </c>
      <c r="E172" s="232">
        <v>32.450000000000003</v>
      </c>
      <c r="F172" s="35">
        <v>5.0514591701529135</v>
      </c>
      <c r="G172" s="232">
        <v>9563.42</v>
      </c>
      <c r="H172" s="35">
        <v>8.9576825667330748</v>
      </c>
      <c r="I172" s="232">
        <v>11614.05</v>
      </c>
      <c r="J172" s="35">
        <v>7.7029356424131512</v>
      </c>
      <c r="K172" s="232">
        <v>10048.120000000001</v>
      </c>
      <c r="L172" s="35">
        <v>8.614636869326592</v>
      </c>
      <c r="M172" s="232">
        <v>35823.32</v>
      </c>
      <c r="N172" s="35">
        <v>7.5416017875059165</v>
      </c>
      <c r="P172" s="232">
        <v>-26.5</v>
      </c>
      <c r="Q172" s="35">
        <v>1.418741217432018E-2</v>
      </c>
      <c r="R172" s="232">
        <v>2050.62</v>
      </c>
      <c r="S172" s="35">
        <v>1.2547469243199236</v>
      </c>
      <c r="T172" s="232">
        <v>25775.21</v>
      </c>
      <c r="U172" s="35">
        <v>1.0730350818206755</v>
      </c>
      <c r="W172" s="35">
        <f t="shared" si="19"/>
        <v>735.87060871600897</v>
      </c>
      <c r="X172" s="35">
        <f t="shared" si="20"/>
        <v>60686.726215996176</v>
      </c>
      <c r="Y172" s="35">
        <f t="shared" si="21"/>
        <v>27876.544091033778</v>
      </c>
      <c r="Z172" s="35">
        <f t="shared" si="22"/>
        <v>0</v>
      </c>
      <c r="AA172" s="35">
        <f t="shared" si="23"/>
        <v>1</v>
      </c>
      <c r="AB172" s="35">
        <f t="shared" si="24"/>
        <v>0</v>
      </c>
    </row>
    <row r="173" spans="1:28">
      <c r="A173" s="35">
        <v>162</v>
      </c>
      <c r="B173" s="35">
        <v>4.7429961378109287E-4</v>
      </c>
      <c r="C173" s="232">
        <v>89.57</v>
      </c>
      <c r="D173" s="35">
        <v>5.0644498114602641</v>
      </c>
      <c r="E173" s="232">
        <v>53.55</v>
      </c>
      <c r="F173" s="35">
        <v>5.0526949081474672</v>
      </c>
      <c r="G173" s="232">
        <v>14351.52</v>
      </c>
      <c r="H173" s="35">
        <v>9.0712997153433168</v>
      </c>
      <c r="I173" s="232">
        <v>14580.62</v>
      </c>
      <c r="J173" s="35">
        <v>7.8751575484277963</v>
      </c>
      <c r="K173" s="232">
        <v>20159.87</v>
      </c>
      <c r="L173" s="35">
        <v>9.0323470838496736</v>
      </c>
      <c r="M173" s="232">
        <v>46481.760000000002</v>
      </c>
      <c r="N173" s="35">
        <v>7.9112214468960715</v>
      </c>
      <c r="P173" s="232">
        <v>-36.020000000000003</v>
      </c>
      <c r="Q173" s="35">
        <v>1.1754903312796827E-2</v>
      </c>
      <c r="R173" s="232">
        <v>229.1</v>
      </c>
      <c r="S173" s="35">
        <v>1.1961421669155206</v>
      </c>
      <c r="T173" s="232">
        <v>26321.89</v>
      </c>
      <c r="U173" s="35">
        <v>1.121125636953602</v>
      </c>
      <c r="W173" s="35">
        <f t="shared" si="19"/>
        <v>623.76516563984137</v>
      </c>
      <c r="X173" s="35">
        <f t="shared" si="20"/>
        <v>59578.008345776027</v>
      </c>
      <c r="Y173" s="35">
        <f t="shared" si="21"/>
        <v>29734.391847680105</v>
      </c>
      <c r="Z173" s="35">
        <f t="shared" si="22"/>
        <v>0</v>
      </c>
      <c r="AA173" s="35">
        <f t="shared" si="23"/>
        <v>1</v>
      </c>
      <c r="AB173" s="35">
        <f t="shared" si="24"/>
        <v>0</v>
      </c>
    </row>
    <row r="174" spans="1:28">
      <c r="A174" s="35">
        <v>163</v>
      </c>
      <c r="B174" s="35">
        <v>3.8707213084610828E-4</v>
      </c>
      <c r="C174" s="232">
        <v>58.66</v>
      </c>
      <c r="D174" s="35">
        <v>5.0590095878672834</v>
      </c>
      <c r="E174" s="232">
        <v>31.14</v>
      </c>
      <c r="F174" s="35">
        <v>5.0478015301487753</v>
      </c>
      <c r="G174" s="232">
        <v>11685.63</v>
      </c>
      <c r="H174" s="35">
        <v>9.0950352293040932</v>
      </c>
      <c r="I174" s="232">
        <v>11608.84</v>
      </c>
      <c r="J174" s="35">
        <v>7.2461667435184882</v>
      </c>
      <c r="K174" s="232">
        <v>15034.27</v>
      </c>
      <c r="L174" s="35">
        <v>8.7291806464111961</v>
      </c>
      <c r="M174" s="232">
        <v>41086.550000000003</v>
      </c>
      <c r="N174" s="35">
        <v>7.6019737287375646</v>
      </c>
      <c r="P174" s="232">
        <v>-27.51</v>
      </c>
      <c r="Q174" s="35">
        <v>1.120805771850808E-2</v>
      </c>
      <c r="R174" s="232">
        <v>-76.790000000000006</v>
      </c>
      <c r="S174" s="35">
        <v>1.848868485785605</v>
      </c>
      <c r="T174" s="232">
        <v>26052.28</v>
      </c>
      <c r="U174" s="35">
        <v>1.1272069176736315</v>
      </c>
      <c r="W174" s="35">
        <f t="shared" si="19"/>
        <v>587.912885925404</v>
      </c>
      <c r="X174" s="35">
        <f t="shared" si="20"/>
        <v>92520.214289280251</v>
      </c>
      <c r="Y174" s="35">
        <f t="shared" si="21"/>
        <v>30308.065883681571</v>
      </c>
      <c r="Z174" s="35">
        <f t="shared" si="22"/>
        <v>0</v>
      </c>
      <c r="AA174" s="35">
        <f t="shared" si="23"/>
        <v>1</v>
      </c>
      <c r="AB174" s="35">
        <f t="shared" si="24"/>
        <v>0</v>
      </c>
    </row>
    <row r="175" spans="1:28">
      <c r="A175" s="35">
        <v>164</v>
      </c>
      <c r="B175" s="35">
        <v>5.2960295535264823E-4</v>
      </c>
      <c r="C175" s="232">
        <v>71.34</v>
      </c>
      <c r="D175" s="35">
        <v>5.0631203544329511</v>
      </c>
      <c r="E175" s="232">
        <v>39.89</v>
      </c>
      <c r="F175" s="35">
        <v>5.0507143009050512</v>
      </c>
      <c r="G175" s="232">
        <v>10870.95</v>
      </c>
      <c r="H175" s="35">
        <v>8.2727337164040691</v>
      </c>
      <c r="I175" s="232">
        <v>12724.6</v>
      </c>
      <c r="J175" s="35">
        <v>7.5396840127041731</v>
      </c>
      <c r="K175" s="232">
        <v>12257.3</v>
      </c>
      <c r="L175" s="35">
        <v>8.3188743206024842</v>
      </c>
      <c r="M175" s="232">
        <v>38088.26</v>
      </c>
      <c r="N175" s="35">
        <v>7.1460210210016273</v>
      </c>
      <c r="P175" s="232">
        <v>-31.46</v>
      </c>
      <c r="Q175" s="35">
        <v>1.2406053527899807E-2</v>
      </c>
      <c r="R175" s="232">
        <v>1853.65</v>
      </c>
      <c r="S175" s="35">
        <v>0.73304970369989597</v>
      </c>
      <c r="T175" s="232">
        <v>25830.959999999999</v>
      </c>
      <c r="U175" s="35">
        <v>1.1728532996008569</v>
      </c>
      <c r="W175" s="35">
        <f t="shared" si="19"/>
        <v>651.76267639499042</v>
      </c>
      <c r="X175" s="35">
        <f t="shared" si="20"/>
        <v>34798.835184994794</v>
      </c>
      <c r="Y175" s="35">
        <f t="shared" si="21"/>
        <v>32811.70498004285</v>
      </c>
      <c r="Z175" s="35">
        <f t="shared" si="22"/>
        <v>0</v>
      </c>
      <c r="AA175" s="35">
        <f t="shared" si="23"/>
        <v>1</v>
      </c>
      <c r="AB175" s="35">
        <f t="shared" si="24"/>
        <v>0</v>
      </c>
    </row>
    <row r="176" spans="1:28">
      <c r="A176" s="35">
        <v>165</v>
      </c>
      <c r="B176" s="35">
        <v>4.9068497575255332E-4</v>
      </c>
      <c r="C176" s="232">
        <v>77.92</v>
      </c>
      <c r="D176" s="35">
        <v>5.0640145647320356</v>
      </c>
      <c r="E176" s="232">
        <v>43.15</v>
      </c>
      <c r="F176" s="35">
        <v>5.0511430676163922</v>
      </c>
      <c r="G176" s="232">
        <v>12897.37</v>
      </c>
      <c r="H176" s="35">
        <v>9.032979932341501</v>
      </c>
      <c r="I176" s="232">
        <v>14631.54</v>
      </c>
      <c r="J176" s="35">
        <v>8.3161858981590662</v>
      </c>
      <c r="K176" s="232">
        <v>14779.62</v>
      </c>
      <c r="L176" s="35">
        <v>8.580878229082062</v>
      </c>
      <c r="M176" s="232">
        <v>40747.08</v>
      </c>
      <c r="N176" s="35">
        <v>7.4726219572971644</v>
      </c>
      <c r="P176" s="232">
        <v>-34.770000000000003</v>
      </c>
      <c r="Q176" s="35">
        <v>1.2871497115643393E-2</v>
      </c>
      <c r="R176" s="232">
        <v>1734.17</v>
      </c>
      <c r="S176" s="35">
        <v>0.71679403418243481</v>
      </c>
      <c r="T176" s="232">
        <v>25967.46</v>
      </c>
      <c r="U176" s="35">
        <v>1.1082562717848976</v>
      </c>
      <c r="W176" s="35">
        <f t="shared" si="19"/>
        <v>678.34485578216959</v>
      </c>
      <c r="X176" s="35">
        <f t="shared" si="20"/>
        <v>34105.531709121744</v>
      </c>
      <c r="Y176" s="35">
        <f t="shared" si="21"/>
        <v>29445.353589244878</v>
      </c>
      <c r="Z176" s="35">
        <f t="shared" si="22"/>
        <v>0</v>
      </c>
      <c r="AA176" s="35">
        <f t="shared" si="23"/>
        <v>1</v>
      </c>
      <c r="AB176" s="35">
        <f t="shared" si="24"/>
        <v>0</v>
      </c>
    </row>
    <row r="177" spans="1:28">
      <c r="A177" s="35">
        <v>166</v>
      </c>
      <c r="B177" s="35">
        <v>3.8089923098781614E-4</v>
      </c>
      <c r="C177" s="232">
        <v>53.1</v>
      </c>
      <c r="D177" s="35">
        <v>5.0553378624887273</v>
      </c>
      <c r="E177" s="232">
        <v>31.34</v>
      </c>
      <c r="F177" s="35">
        <v>5.0469996938094459</v>
      </c>
      <c r="G177" s="232">
        <v>10355.459999999999</v>
      </c>
      <c r="H177" s="35">
        <v>8.2293173202984935</v>
      </c>
      <c r="I177" s="232">
        <v>10597.96</v>
      </c>
      <c r="J177" s="35">
        <v>6.4626336899548464</v>
      </c>
      <c r="K177" s="232">
        <v>12016.09</v>
      </c>
      <c r="L177" s="35">
        <v>7.9749440208274143</v>
      </c>
      <c r="M177" s="232">
        <v>37959.65</v>
      </c>
      <c r="N177" s="35">
        <v>6.8276864483999908</v>
      </c>
      <c r="P177" s="232">
        <v>-21.76</v>
      </c>
      <c r="Q177" s="35">
        <v>8.3381686792813881E-3</v>
      </c>
      <c r="R177" s="232">
        <v>242.49</v>
      </c>
      <c r="S177" s="35">
        <v>1.7666836303436471</v>
      </c>
      <c r="T177" s="232">
        <v>25943.56</v>
      </c>
      <c r="U177" s="35">
        <v>1.1472575724274234</v>
      </c>
      <c r="W177" s="35">
        <f t="shared" si="19"/>
        <v>438.66843396406938</v>
      </c>
      <c r="X177" s="35">
        <f t="shared" si="20"/>
        <v>88091.691517182349</v>
      </c>
      <c r="Y177" s="35">
        <f t="shared" si="21"/>
        <v>31419.318621371171</v>
      </c>
      <c r="Z177" s="35">
        <f t="shared" si="22"/>
        <v>0</v>
      </c>
      <c r="AA177" s="35">
        <f t="shared" si="23"/>
        <v>1</v>
      </c>
      <c r="AB177" s="35">
        <f t="shared" si="24"/>
        <v>0</v>
      </c>
    </row>
    <row r="178" spans="1:28">
      <c r="A178" s="35">
        <v>167</v>
      </c>
      <c r="B178" s="35">
        <v>3.1129008767766605E-4</v>
      </c>
      <c r="C178" s="232">
        <v>50.86</v>
      </c>
      <c r="D178" s="35">
        <v>5.0544783372221085</v>
      </c>
      <c r="E178" s="232">
        <v>31.3</v>
      </c>
      <c r="F178" s="35">
        <v>5.0469201640756367</v>
      </c>
      <c r="G178" s="232">
        <v>12612.77</v>
      </c>
      <c r="H178" s="35">
        <v>8.8247799649744998</v>
      </c>
      <c r="I178" s="232">
        <v>12964.75</v>
      </c>
      <c r="J178" s="35">
        <v>6.9002353337747335</v>
      </c>
      <c r="K178" s="232">
        <v>15096.37</v>
      </c>
      <c r="L178" s="35">
        <v>8.7292780841325452</v>
      </c>
      <c r="M178" s="232">
        <v>41303.279999999999</v>
      </c>
      <c r="N178" s="35">
        <v>7.605451478014257</v>
      </c>
      <c r="P178" s="232">
        <v>-19.55</v>
      </c>
      <c r="Q178" s="35">
        <v>7.5581731464717805E-3</v>
      </c>
      <c r="R178" s="232">
        <v>351.99</v>
      </c>
      <c r="S178" s="35">
        <v>1.9245446311997663</v>
      </c>
      <c r="T178" s="232">
        <v>26206.91</v>
      </c>
      <c r="U178" s="35">
        <v>1.1238266061182882</v>
      </c>
      <c r="W178" s="35">
        <f t="shared" si="19"/>
        <v>397.45865732358902</v>
      </c>
      <c r="X178" s="35">
        <f t="shared" si="20"/>
        <v>95875.24155998831</v>
      </c>
      <c r="Y178" s="35">
        <f t="shared" si="21"/>
        <v>29984.420305914409</v>
      </c>
      <c r="Z178" s="35">
        <f t="shared" si="22"/>
        <v>0</v>
      </c>
      <c r="AA178" s="35">
        <f t="shared" si="23"/>
        <v>1</v>
      </c>
      <c r="AB178" s="35">
        <f t="shared" si="24"/>
        <v>0</v>
      </c>
    </row>
    <row r="179" spans="1:28">
      <c r="A179" s="35">
        <v>168</v>
      </c>
      <c r="B179" s="35">
        <v>4.7956498405088421E-4</v>
      </c>
      <c r="C179" s="232">
        <v>76.510000000000005</v>
      </c>
      <c r="D179" s="35">
        <v>5.0622149350402168</v>
      </c>
      <c r="E179" s="232">
        <v>40.799999999999997</v>
      </c>
      <c r="F179" s="35">
        <v>5.0497121724342042</v>
      </c>
      <c r="G179" s="232">
        <v>12305.32</v>
      </c>
      <c r="H179" s="35">
        <v>8.5987104509870775</v>
      </c>
      <c r="I179" s="232">
        <v>13035.3</v>
      </c>
      <c r="J179" s="35">
        <v>7.3577299828786815</v>
      </c>
      <c r="K179" s="232">
        <v>16137.73</v>
      </c>
      <c r="L179" s="35">
        <v>8.6344023852690075</v>
      </c>
      <c r="M179" s="232">
        <v>42411.519999999997</v>
      </c>
      <c r="N179" s="35">
        <v>7.4667812775542757</v>
      </c>
      <c r="P179" s="232">
        <v>-35.71</v>
      </c>
      <c r="Q179" s="35">
        <v>1.2502762606012574E-2</v>
      </c>
      <c r="R179" s="232">
        <v>729.98</v>
      </c>
      <c r="S179" s="35">
        <v>1.240980468108396</v>
      </c>
      <c r="T179" s="232">
        <v>26273.79</v>
      </c>
      <c r="U179" s="35">
        <v>1.1676211077147318</v>
      </c>
      <c r="W179" s="35">
        <f t="shared" si="19"/>
        <v>660.84813030062878</v>
      </c>
      <c r="X179" s="35">
        <f t="shared" si="20"/>
        <v>61319.043405419798</v>
      </c>
      <c r="Y179" s="35">
        <f t="shared" si="21"/>
        <v>32107.265385736588</v>
      </c>
      <c r="Z179" s="35">
        <f t="shared" si="22"/>
        <v>0</v>
      </c>
      <c r="AA179" s="35">
        <f t="shared" si="23"/>
        <v>1</v>
      </c>
      <c r="AB179" s="35">
        <f t="shared" si="24"/>
        <v>0</v>
      </c>
    </row>
    <row r="180" spans="1:28">
      <c r="A180" s="35">
        <v>169</v>
      </c>
      <c r="B180" s="35">
        <v>4.8337416703947422E-4</v>
      </c>
      <c r="C180" s="232">
        <v>61.24</v>
      </c>
      <c r="D180" s="35">
        <v>5.0617855351493786</v>
      </c>
      <c r="E180" s="232">
        <v>36.04</v>
      </c>
      <c r="F180" s="35">
        <v>5.0505382102055796</v>
      </c>
      <c r="G180" s="232">
        <v>10001.9</v>
      </c>
      <c r="H180" s="35">
        <v>8.2628484715160546</v>
      </c>
      <c r="I180" s="232">
        <v>11660.78</v>
      </c>
      <c r="J180" s="35">
        <v>7.2811761513302002</v>
      </c>
      <c r="K180" s="232">
        <v>11965.93</v>
      </c>
      <c r="L180" s="35">
        <v>8.7208423181901988</v>
      </c>
      <c r="M180" s="232">
        <v>37994.83</v>
      </c>
      <c r="N180" s="35">
        <v>7.6106027301418617</v>
      </c>
      <c r="P180" s="232">
        <v>-25.2</v>
      </c>
      <c r="Q180" s="35">
        <v>1.1247324943798986E-2</v>
      </c>
      <c r="R180" s="232">
        <v>1658.88</v>
      </c>
      <c r="S180" s="35">
        <v>0.98167232018585437</v>
      </c>
      <c r="T180" s="232">
        <v>26028.9</v>
      </c>
      <c r="U180" s="35">
        <v>1.1102395880483371</v>
      </c>
      <c r="W180" s="35">
        <f t="shared" si="19"/>
        <v>587.56624718994931</v>
      </c>
      <c r="X180" s="35">
        <f t="shared" si="20"/>
        <v>47424.736009292719</v>
      </c>
      <c r="Y180" s="35">
        <f t="shared" si="21"/>
        <v>29483.079402416857</v>
      </c>
      <c r="Z180" s="35">
        <f t="shared" si="22"/>
        <v>0</v>
      </c>
      <c r="AA180" s="35">
        <f t="shared" si="23"/>
        <v>1</v>
      </c>
      <c r="AB180" s="35">
        <f t="shared" si="24"/>
        <v>0</v>
      </c>
    </row>
    <row r="181" spans="1:28">
      <c r="A181" s="35">
        <v>170</v>
      </c>
      <c r="B181" s="35">
        <v>3.1179499486796769E-4</v>
      </c>
      <c r="C181" s="232">
        <v>45.03</v>
      </c>
      <c r="D181" s="35">
        <v>5.0541255740298929</v>
      </c>
      <c r="E181" s="232">
        <v>27.68</v>
      </c>
      <c r="F181" s="35">
        <v>5.0465644694154728</v>
      </c>
      <c r="G181" s="232">
        <v>11411.41</v>
      </c>
      <c r="H181" s="35">
        <v>8.8666145939819838</v>
      </c>
      <c r="I181" s="232">
        <v>13385.62</v>
      </c>
      <c r="J181" s="35">
        <v>8.5164053388398315</v>
      </c>
      <c r="K181" s="232">
        <v>13257.07</v>
      </c>
      <c r="L181" s="35">
        <v>8.4129420566819935</v>
      </c>
      <c r="M181" s="232">
        <v>39307.78</v>
      </c>
      <c r="N181" s="35">
        <v>7.2972084850006533</v>
      </c>
      <c r="P181" s="232">
        <v>-17.350000000000001</v>
      </c>
      <c r="Q181" s="35">
        <v>7.5611046144201666E-3</v>
      </c>
      <c r="R181" s="232">
        <v>1974.21</v>
      </c>
      <c r="S181" s="35">
        <v>0.35020925514215229</v>
      </c>
      <c r="T181" s="232">
        <v>26050.71</v>
      </c>
      <c r="U181" s="35">
        <v>1.1157335716813401</v>
      </c>
      <c r="W181" s="35">
        <f t="shared" si="19"/>
        <v>395.40523072100837</v>
      </c>
      <c r="X181" s="35">
        <f t="shared" si="20"/>
        <v>15536.252757107613</v>
      </c>
      <c r="Y181" s="35">
        <f t="shared" si="21"/>
        <v>29735.968584067006</v>
      </c>
      <c r="Z181" s="35">
        <f t="shared" si="22"/>
        <v>0</v>
      </c>
      <c r="AA181" s="35">
        <f t="shared" si="23"/>
        <v>0</v>
      </c>
      <c r="AB181" s="35">
        <f t="shared" si="24"/>
        <v>1</v>
      </c>
    </row>
    <row r="182" spans="1:28">
      <c r="A182" s="35">
        <v>171</v>
      </c>
      <c r="B182" s="35">
        <v>5.2382003921280784E-4</v>
      </c>
      <c r="C182" s="232">
        <v>68.150000000000006</v>
      </c>
      <c r="D182" s="35">
        <v>5.0613997121600249</v>
      </c>
      <c r="E182" s="232">
        <v>38.5</v>
      </c>
      <c r="F182" s="35">
        <v>5.0499237531129451</v>
      </c>
      <c r="G182" s="232">
        <v>9949.7800000000007</v>
      </c>
      <c r="H182" s="35">
        <v>7.9248340958373307</v>
      </c>
      <c r="I182" s="232">
        <v>11450.26</v>
      </c>
      <c r="J182" s="35">
        <v>7.0643018709151484</v>
      </c>
      <c r="K182" s="232">
        <v>12244.76</v>
      </c>
      <c r="L182" s="35">
        <v>8.2924097684620257</v>
      </c>
      <c r="M182" s="232">
        <v>38150.67</v>
      </c>
      <c r="N182" s="35">
        <v>7.202194777478919</v>
      </c>
      <c r="P182" s="232">
        <v>-29.64</v>
      </c>
      <c r="Q182" s="35">
        <v>1.1475959047079876E-2</v>
      </c>
      <c r="R182" s="232">
        <v>1500.48</v>
      </c>
      <c r="S182" s="35">
        <v>0.86053222492218229</v>
      </c>
      <c r="T182" s="232">
        <v>25905.91</v>
      </c>
      <c r="U182" s="35">
        <v>1.0902149909831067</v>
      </c>
      <c r="W182" s="35">
        <f t="shared" si="19"/>
        <v>603.43795235399375</v>
      </c>
      <c r="X182" s="35">
        <f t="shared" si="20"/>
        <v>41526.131246109115</v>
      </c>
      <c r="Y182" s="35">
        <f t="shared" si="21"/>
        <v>28604.839549155335</v>
      </c>
      <c r="Z182" s="35">
        <f t="shared" si="22"/>
        <v>0</v>
      </c>
      <c r="AA182" s="35">
        <f t="shared" si="23"/>
        <v>1</v>
      </c>
      <c r="AB182" s="35">
        <f t="shared" si="24"/>
        <v>0</v>
      </c>
    </row>
    <row r="183" spans="1:28">
      <c r="A183" s="35">
        <v>172</v>
      </c>
      <c r="B183" s="35">
        <v>5.2694430695032768E-4</v>
      </c>
      <c r="C183" s="232">
        <v>81.97</v>
      </c>
      <c r="D183" s="35">
        <v>5.0655877638226521</v>
      </c>
      <c r="E183" s="232">
        <v>57.38</v>
      </c>
      <c r="F183" s="35">
        <v>5.0560499619416479</v>
      </c>
      <c r="G183" s="232">
        <v>12211.07</v>
      </c>
      <c r="H183" s="35">
        <v>8.7391622843131884</v>
      </c>
      <c r="I183" s="232">
        <v>13166.2</v>
      </c>
      <c r="J183" s="35">
        <v>7.1723693072551233</v>
      </c>
      <c r="K183" s="232">
        <v>14650.13</v>
      </c>
      <c r="L183" s="35">
        <v>8.493670642172777</v>
      </c>
      <c r="M183" s="232">
        <v>40505.86</v>
      </c>
      <c r="N183" s="35">
        <v>7.4091545505049696</v>
      </c>
      <c r="P183" s="232">
        <v>-24.59</v>
      </c>
      <c r="Q183" s="35">
        <v>9.5378018810041709E-3</v>
      </c>
      <c r="R183" s="232">
        <v>955.13</v>
      </c>
      <c r="S183" s="35">
        <v>1.5667929770580651</v>
      </c>
      <c r="T183" s="232">
        <v>25855.73</v>
      </c>
      <c r="U183" s="35">
        <v>1.0845160916678074</v>
      </c>
      <c r="W183" s="35">
        <f t="shared" si="19"/>
        <v>501.48009405020849</v>
      </c>
      <c r="X183" s="35">
        <f t="shared" si="20"/>
        <v>77384.518852903246</v>
      </c>
      <c r="Y183" s="35">
        <f t="shared" si="21"/>
        <v>28370.074583390367</v>
      </c>
      <c r="Z183" s="35">
        <f t="shared" si="22"/>
        <v>0</v>
      </c>
      <c r="AA183" s="35">
        <f t="shared" si="23"/>
        <v>1</v>
      </c>
      <c r="AB183" s="35">
        <f t="shared" si="24"/>
        <v>0</v>
      </c>
    </row>
    <row r="184" spans="1:28">
      <c r="A184" s="35">
        <v>173</v>
      </c>
      <c r="B184" s="35">
        <v>3.986386538484142E-4</v>
      </c>
      <c r="C184" s="232">
        <v>53.52</v>
      </c>
      <c r="D184" s="35">
        <v>5.0600966086986077</v>
      </c>
      <c r="E184" s="232">
        <v>32.700000000000003</v>
      </c>
      <c r="F184" s="35">
        <v>5.0499542057861966</v>
      </c>
      <c r="G184" s="232">
        <v>11980.49</v>
      </c>
      <c r="H184" s="35">
        <v>8.9528104091631313</v>
      </c>
      <c r="I184" s="232">
        <v>14561.36</v>
      </c>
      <c r="J184" s="35">
        <v>8.3434674271551188</v>
      </c>
      <c r="K184" s="232">
        <v>9990.77</v>
      </c>
      <c r="L184" s="35">
        <v>9.1349341278350735</v>
      </c>
      <c r="M184" s="232">
        <v>35855.760000000002</v>
      </c>
      <c r="N184" s="35">
        <v>8.0075317661028862</v>
      </c>
      <c r="P184" s="232">
        <v>-20.81</v>
      </c>
      <c r="Q184" s="35">
        <v>1.0142402912411086E-2</v>
      </c>
      <c r="R184" s="232">
        <v>2580.88</v>
      </c>
      <c r="S184" s="35">
        <v>0.60934298200801251</v>
      </c>
      <c r="T184" s="232">
        <v>25864.98</v>
      </c>
      <c r="U184" s="35">
        <v>1.1274023617321873</v>
      </c>
      <c r="W184" s="35">
        <f t="shared" si="19"/>
        <v>527.9301456205543</v>
      </c>
      <c r="X184" s="35">
        <f t="shared" si="20"/>
        <v>27886.269100400623</v>
      </c>
      <c r="Y184" s="35">
        <f t="shared" si="21"/>
        <v>30505.138086609364</v>
      </c>
      <c r="Z184" s="35">
        <f t="shared" si="22"/>
        <v>0</v>
      </c>
      <c r="AA184" s="35">
        <f t="shared" si="23"/>
        <v>0</v>
      </c>
      <c r="AB184" s="35">
        <f t="shared" si="24"/>
        <v>1</v>
      </c>
    </row>
    <row r="185" spans="1:28">
      <c r="A185" s="35">
        <v>174</v>
      </c>
      <c r="B185" s="35">
        <v>4.404909195397765E-4</v>
      </c>
      <c r="C185" s="232">
        <v>58.57</v>
      </c>
      <c r="D185" s="35">
        <v>5.0607314457948567</v>
      </c>
      <c r="E185" s="232">
        <v>35.729999999999997</v>
      </c>
      <c r="F185" s="35">
        <v>5.0504078040718676</v>
      </c>
      <c r="G185" s="232">
        <v>9914.2900000000009</v>
      </c>
      <c r="H185" s="35">
        <v>8.7685286508602776</v>
      </c>
      <c r="I185" s="232">
        <v>10233.790000000001</v>
      </c>
      <c r="J185" s="35">
        <v>7.0493403667994059</v>
      </c>
      <c r="K185" s="232">
        <v>12218.47</v>
      </c>
      <c r="L185" s="35">
        <v>8.5823565509115838</v>
      </c>
      <c r="M185" s="232">
        <v>38202.69</v>
      </c>
      <c r="N185" s="35">
        <v>7.4827024496459114</v>
      </c>
      <c r="P185" s="232">
        <v>-22.85</v>
      </c>
      <c r="Q185" s="35">
        <v>1.0323641722989052E-2</v>
      </c>
      <c r="R185" s="232">
        <v>319.49</v>
      </c>
      <c r="S185" s="35">
        <v>1.7191882840608717</v>
      </c>
      <c r="T185" s="232">
        <v>25984.22</v>
      </c>
      <c r="U185" s="35">
        <v>1.0996541012656724</v>
      </c>
      <c r="W185" s="35">
        <f t="shared" si="19"/>
        <v>539.03208614945265</v>
      </c>
      <c r="X185" s="35">
        <f t="shared" si="20"/>
        <v>85639.924203043571</v>
      </c>
      <c r="Y185" s="35">
        <f t="shared" si="21"/>
        <v>28998.485063283617</v>
      </c>
      <c r="Z185" s="35">
        <f t="shared" si="22"/>
        <v>0</v>
      </c>
      <c r="AA185" s="35">
        <f t="shared" si="23"/>
        <v>1</v>
      </c>
      <c r="AB185" s="35">
        <f t="shared" si="24"/>
        <v>0</v>
      </c>
    </row>
    <row r="186" spans="1:28">
      <c r="A186" s="35">
        <v>175</v>
      </c>
      <c r="B186" s="35">
        <v>5.7100268465648529E-4</v>
      </c>
      <c r="C186" s="232">
        <v>103.25</v>
      </c>
      <c r="D186" s="35">
        <v>5.0685961162936684</v>
      </c>
      <c r="E186" s="232">
        <v>56.22</v>
      </c>
      <c r="F186" s="35">
        <v>5.0535340053441633</v>
      </c>
      <c r="G186" s="232">
        <v>13472.41</v>
      </c>
      <c r="H186" s="35">
        <v>8.8164640555968585</v>
      </c>
      <c r="I186" s="232">
        <v>11538.11</v>
      </c>
      <c r="J186" s="35">
        <v>6.7876638460229497</v>
      </c>
      <c r="K186" s="232">
        <v>21209.87</v>
      </c>
      <c r="L186" s="35">
        <v>8.9628546673741578</v>
      </c>
      <c r="M186" s="232">
        <v>47572.29</v>
      </c>
      <c r="N186" s="35">
        <v>7.8534882451196042</v>
      </c>
      <c r="P186" s="232">
        <v>-47.03</v>
      </c>
      <c r="Q186" s="35">
        <v>1.5062110949505048E-2</v>
      </c>
      <c r="R186" s="232">
        <v>-1934.3</v>
      </c>
      <c r="S186" s="35">
        <v>2.0288002095739088</v>
      </c>
      <c r="T186" s="232">
        <v>26362.43</v>
      </c>
      <c r="U186" s="35">
        <v>1.1093664222545536</v>
      </c>
      <c r="W186" s="35">
        <f t="shared" si="19"/>
        <v>800.13554747525234</v>
      </c>
      <c r="X186" s="35">
        <f t="shared" si="20"/>
        <v>103374.31047869545</v>
      </c>
      <c r="Y186" s="35">
        <f t="shared" si="21"/>
        <v>29105.891112727681</v>
      </c>
      <c r="Z186" s="35">
        <f t="shared" si="22"/>
        <v>0</v>
      </c>
      <c r="AA186" s="35">
        <f t="shared" si="23"/>
        <v>1</v>
      </c>
      <c r="AB186" s="35">
        <f t="shared" si="24"/>
        <v>0</v>
      </c>
    </row>
    <row r="187" spans="1:28">
      <c r="A187" s="35">
        <v>176</v>
      </c>
      <c r="B187" s="35">
        <v>4.389356195984247E-4</v>
      </c>
      <c r="C187" s="232">
        <v>46.37</v>
      </c>
      <c r="D187" s="35">
        <v>5.0632545801264905</v>
      </c>
      <c r="E187" s="232">
        <v>28.64</v>
      </c>
      <c r="F187" s="35">
        <v>5.0515691189541654</v>
      </c>
      <c r="G187" s="232">
        <v>8745.2000000000007</v>
      </c>
      <c r="H187" s="35">
        <v>9.337521945772508</v>
      </c>
      <c r="I187" s="232">
        <v>10868.26</v>
      </c>
      <c r="J187" s="35">
        <v>8.6979731063341479</v>
      </c>
      <c r="K187" s="232">
        <v>8985.1200000000008</v>
      </c>
      <c r="L187" s="35">
        <v>9.0250404818304606</v>
      </c>
      <c r="M187" s="232">
        <v>34697.71</v>
      </c>
      <c r="N187" s="35">
        <v>7.9574625346523664</v>
      </c>
      <c r="P187" s="232">
        <v>-17.73</v>
      </c>
      <c r="Q187" s="35">
        <v>1.1685461172325162E-2</v>
      </c>
      <c r="R187" s="232">
        <v>2123.06</v>
      </c>
      <c r="S187" s="35">
        <v>0.63954883943836016</v>
      </c>
      <c r="T187" s="232">
        <v>25712.59</v>
      </c>
      <c r="U187" s="35">
        <v>1.0675779471780942</v>
      </c>
      <c r="W187" s="35">
        <f t="shared" si="19"/>
        <v>602.00305861625816</v>
      </c>
      <c r="X187" s="35">
        <f t="shared" si="20"/>
        <v>29854.381971918006</v>
      </c>
      <c r="Y187" s="35">
        <f t="shared" si="21"/>
        <v>27666.307358904709</v>
      </c>
      <c r="Z187" s="35">
        <f t="shared" si="22"/>
        <v>0</v>
      </c>
      <c r="AA187" s="35">
        <f t="shared" si="23"/>
        <v>1</v>
      </c>
      <c r="AB187" s="35">
        <f t="shared" si="24"/>
        <v>0</v>
      </c>
    </row>
    <row r="188" spans="1:28">
      <c r="A188" s="35">
        <v>177</v>
      </c>
      <c r="B188" s="35">
        <v>5.0301857127443839E-4</v>
      </c>
      <c r="C188" s="232">
        <v>72.23</v>
      </c>
      <c r="D188" s="35">
        <v>5.0652868144179521</v>
      </c>
      <c r="E188" s="232">
        <v>44.56</v>
      </c>
      <c r="F188" s="35">
        <v>5.0534124669677594</v>
      </c>
      <c r="G188" s="232">
        <v>11234.04</v>
      </c>
      <c r="H188" s="35">
        <v>8.9278199877855098</v>
      </c>
      <c r="I188" s="232">
        <v>12377.9</v>
      </c>
      <c r="J188" s="35">
        <v>7.7814291145328252</v>
      </c>
      <c r="K188" s="232">
        <v>14725</v>
      </c>
      <c r="L188" s="35">
        <v>8.8108808877097786</v>
      </c>
      <c r="M188" s="232">
        <v>40932.1</v>
      </c>
      <c r="N188" s="35">
        <v>7.6325418393275335</v>
      </c>
      <c r="P188" s="232">
        <v>-27.68</v>
      </c>
      <c r="Q188" s="35">
        <v>1.1874347450192779E-2</v>
      </c>
      <c r="R188" s="232">
        <v>1143.8599999999999</v>
      </c>
      <c r="S188" s="35">
        <v>1.1463908732526846</v>
      </c>
      <c r="T188" s="232">
        <v>26207.1</v>
      </c>
      <c r="U188" s="35">
        <v>1.1783390483822451</v>
      </c>
      <c r="W188" s="35">
        <f t="shared" si="19"/>
        <v>621.3973725096389</v>
      </c>
      <c r="X188" s="35">
        <f t="shared" si="20"/>
        <v>56175.683662634234</v>
      </c>
      <c r="Y188" s="35">
        <f t="shared" si="21"/>
        <v>32709.852419112256</v>
      </c>
      <c r="Z188" s="35">
        <f t="shared" si="22"/>
        <v>0</v>
      </c>
      <c r="AA188" s="35">
        <f t="shared" si="23"/>
        <v>1</v>
      </c>
      <c r="AB188" s="35">
        <f t="shared" si="24"/>
        <v>0</v>
      </c>
    </row>
    <row r="189" spans="1:28">
      <c r="A189" s="35">
        <v>178</v>
      </c>
      <c r="B189" s="35">
        <v>4.3651887144551617E-4</v>
      </c>
      <c r="C189" s="232">
        <v>68.739999999999995</v>
      </c>
      <c r="D189" s="35">
        <v>5.0615343139967424</v>
      </c>
      <c r="E189" s="232">
        <v>43.22</v>
      </c>
      <c r="F189" s="35">
        <v>5.0515084982692837</v>
      </c>
      <c r="G189" s="232">
        <v>12015.78</v>
      </c>
      <c r="H189" s="35">
        <v>8.9773857874342919</v>
      </c>
      <c r="I189" s="232">
        <v>13344.46</v>
      </c>
      <c r="J189" s="35">
        <v>8.2155220550724248</v>
      </c>
      <c r="K189" s="232">
        <v>15553.17</v>
      </c>
      <c r="L189" s="35">
        <v>8.5853120158200831</v>
      </c>
      <c r="M189" s="232">
        <v>41760.51</v>
      </c>
      <c r="N189" s="35">
        <v>7.4039960001177656</v>
      </c>
      <c r="P189" s="232">
        <v>-25.52</v>
      </c>
      <c r="Q189" s="35">
        <v>1.0025815727458642E-2</v>
      </c>
      <c r="R189" s="232">
        <v>1328.67</v>
      </c>
      <c r="S189" s="35">
        <v>0.76186373236186711</v>
      </c>
      <c r="T189" s="232">
        <v>26207.35</v>
      </c>
      <c r="U189" s="35">
        <v>1.1813160157023175</v>
      </c>
      <c r="W189" s="35">
        <f t="shared" si="19"/>
        <v>526.81078637293217</v>
      </c>
      <c r="X189" s="35">
        <f t="shared" si="20"/>
        <v>36764.516618093359</v>
      </c>
      <c r="Y189" s="35">
        <f t="shared" si="21"/>
        <v>32858.450785115878</v>
      </c>
      <c r="Z189" s="35">
        <f t="shared" si="22"/>
        <v>0</v>
      </c>
      <c r="AA189" s="35">
        <f t="shared" si="23"/>
        <v>1</v>
      </c>
      <c r="AB189" s="35">
        <f t="shared" si="24"/>
        <v>0</v>
      </c>
    </row>
    <row r="190" spans="1:28">
      <c r="A190" s="35">
        <v>179</v>
      </c>
      <c r="B190" s="35">
        <v>4.5830562767312788E-4</v>
      </c>
      <c r="C190" s="232">
        <v>49.61</v>
      </c>
      <c r="D190" s="35">
        <v>5.0596032591176172</v>
      </c>
      <c r="E190" s="232">
        <v>30.15</v>
      </c>
      <c r="F190" s="35">
        <v>5.0494981147366262</v>
      </c>
      <c r="G190" s="232">
        <v>8223.73</v>
      </c>
      <c r="H190" s="35">
        <v>8.1652469295440131</v>
      </c>
      <c r="I190" s="232">
        <v>10296.52</v>
      </c>
      <c r="J190" s="35">
        <v>7.9593872723383292</v>
      </c>
      <c r="K190" s="232">
        <v>10292.129999999999</v>
      </c>
      <c r="L190" s="35">
        <v>8.4606513572565127</v>
      </c>
      <c r="M190" s="232">
        <v>36133.39</v>
      </c>
      <c r="N190" s="35">
        <v>7.3374481818299246</v>
      </c>
      <c r="P190" s="232">
        <v>-19.46</v>
      </c>
      <c r="Q190" s="35">
        <v>1.0105144380990971E-2</v>
      </c>
      <c r="R190" s="232">
        <v>2072.7800000000002</v>
      </c>
      <c r="S190" s="35">
        <v>0.20585965720568389</v>
      </c>
      <c r="T190" s="232">
        <v>25841.26</v>
      </c>
      <c r="U190" s="35">
        <v>1.1232031754265881</v>
      </c>
      <c r="W190" s="35">
        <f t="shared" si="19"/>
        <v>524.71721904954859</v>
      </c>
      <c r="X190" s="35">
        <f t="shared" si="20"/>
        <v>8220.2028602841929</v>
      </c>
      <c r="Y190" s="35">
        <f t="shared" si="21"/>
        <v>30318.898771329408</v>
      </c>
      <c r="Z190" s="35">
        <f t="shared" si="22"/>
        <v>0</v>
      </c>
      <c r="AA190" s="35">
        <f t="shared" si="23"/>
        <v>0</v>
      </c>
      <c r="AB190" s="35">
        <f t="shared" si="24"/>
        <v>1</v>
      </c>
    </row>
    <row r="191" spans="1:28">
      <c r="A191" s="35">
        <v>180</v>
      </c>
      <c r="B191" s="35">
        <v>5.3890508465359588E-4</v>
      </c>
      <c r="C191" s="232">
        <v>90.87</v>
      </c>
      <c r="D191" s="35">
        <v>5.0672269470167848</v>
      </c>
      <c r="E191" s="232">
        <v>62.49</v>
      </c>
      <c r="F191" s="35">
        <v>5.0568933648886203</v>
      </c>
      <c r="G191" s="232">
        <v>12651.87</v>
      </c>
      <c r="H191" s="35">
        <v>9.0770395139014273</v>
      </c>
      <c r="I191" s="232">
        <v>12905.28</v>
      </c>
      <c r="J191" s="35">
        <v>7.9114047161860146</v>
      </c>
      <c r="K191" s="232">
        <v>17490.439999999999</v>
      </c>
      <c r="L191" s="35">
        <v>8.4470393208498891</v>
      </c>
      <c r="M191" s="232">
        <v>43720.85</v>
      </c>
      <c r="N191" s="35">
        <v>7.3548851367368977</v>
      </c>
      <c r="P191" s="232">
        <v>-28.38</v>
      </c>
      <c r="Q191" s="35">
        <v>1.0333582128164487E-2</v>
      </c>
      <c r="R191" s="232">
        <v>253.41</v>
      </c>
      <c r="S191" s="35">
        <v>1.1656347977154127</v>
      </c>
      <c r="T191" s="232">
        <v>26230.42</v>
      </c>
      <c r="U191" s="35">
        <v>1.0921541841129914</v>
      </c>
      <c r="W191" s="35">
        <f t="shared" si="19"/>
        <v>545.05910640822435</v>
      </c>
      <c r="X191" s="35">
        <f t="shared" si="20"/>
        <v>58028.329885770632</v>
      </c>
      <c r="Y191" s="35">
        <f t="shared" si="21"/>
        <v>28377.289205649569</v>
      </c>
      <c r="Z191" s="35">
        <f t="shared" si="22"/>
        <v>0</v>
      </c>
      <c r="AA191" s="35">
        <f t="shared" si="23"/>
        <v>1</v>
      </c>
      <c r="AB191" s="35">
        <f t="shared" si="24"/>
        <v>0</v>
      </c>
    </row>
    <row r="192" spans="1:28">
      <c r="A192" s="35">
        <v>181</v>
      </c>
      <c r="B192" s="35">
        <v>4.8146589543829332E-4</v>
      </c>
      <c r="C192" s="232">
        <v>94.92</v>
      </c>
      <c r="D192" s="35">
        <v>5.0617955684346931</v>
      </c>
      <c r="E192" s="232">
        <v>59.1</v>
      </c>
      <c r="F192" s="35">
        <v>5.051863278004288</v>
      </c>
      <c r="G192" s="232">
        <v>15248.42</v>
      </c>
      <c r="H192" s="35">
        <v>8.4709152966803423</v>
      </c>
      <c r="I192" s="232">
        <v>15110.27</v>
      </c>
      <c r="J192" s="35">
        <v>6.7249168784753532</v>
      </c>
      <c r="K192" s="232">
        <v>19292.810000000001</v>
      </c>
      <c r="L192" s="35">
        <v>8.5313721961780651</v>
      </c>
      <c r="M192" s="232">
        <v>45484.959999999999</v>
      </c>
      <c r="N192" s="35">
        <v>7.4505825842325244</v>
      </c>
      <c r="P192" s="232">
        <v>-35.82</v>
      </c>
      <c r="Q192" s="35">
        <v>9.9322904304051107E-3</v>
      </c>
      <c r="R192" s="232">
        <v>-138.13999999999999</v>
      </c>
      <c r="S192" s="35">
        <v>1.745998418204989</v>
      </c>
      <c r="T192" s="232">
        <v>26192.15</v>
      </c>
      <c r="U192" s="35">
        <v>1.0807896119455407</v>
      </c>
      <c r="W192" s="35">
        <f t="shared" si="19"/>
        <v>532.43452152025554</v>
      </c>
      <c r="X192" s="35">
        <f t="shared" si="20"/>
        <v>87438.060910249449</v>
      </c>
      <c r="Y192" s="35">
        <f t="shared" si="21"/>
        <v>27847.330597277032</v>
      </c>
      <c r="Z192" s="35">
        <f t="shared" si="22"/>
        <v>0</v>
      </c>
      <c r="AA192" s="35">
        <f t="shared" si="23"/>
        <v>1</v>
      </c>
      <c r="AB192" s="35">
        <f t="shared" si="24"/>
        <v>0</v>
      </c>
    </row>
    <row r="193" spans="1:28">
      <c r="A193" s="35">
        <v>182</v>
      </c>
      <c r="B193" s="35">
        <v>3.8759879196142549E-4</v>
      </c>
      <c r="C193" s="232">
        <v>76.63</v>
      </c>
      <c r="D193" s="35">
        <v>5.0587597429309277</v>
      </c>
      <c r="E193" s="232">
        <v>48.12</v>
      </c>
      <c r="F193" s="35">
        <v>5.0500095799150371</v>
      </c>
      <c r="G193" s="232">
        <v>15163.91</v>
      </c>
      <c r="H193" s="35">
        <v>8.9558284041641674</v>
      </c>
      <c r="I193" s="232">
        <v>14320.03</v>
      </c>
      <c r="J193" s="35">
        <v>7.2458529245590793</v>
      </c>
      <c r="K193" s="232">
        <v>21214.13</v>
      </c>
      <c r="L193" s="35">
        <v>8.6799019719794313</v>
      </c>
      <c r="M193" s="232">
        <v>47738.73</v>
      </c>
      <c r="N193" s="35">
        <v>7.6219501234749778</v>
      </c>
      <c r="P193" s="232">
        <v>-28.51</v>
      </c>
      <c r="Q193" s="35">
        <v>8.7501630158905996E-3</v>
      </c>
      <c r="R193" s="232">
        <v>-843.87</v>
      </c>
      <c r="S193" s="35">
        <v>1.7099754796050881</v>
      </c>
      <c r="T193" s="232">
        <v>26524.6</v>
      </c>
      <c r="U193" s="35">
        <v>1.0579518485044535</v>
      </c>
      <c r="W193" s="35">
        <f t="shared" si="19"/>
        <v>466.01815079452996</v>
      </c>
      <c r="X193" s="35">
        <f t="shared" si="20"/>
        <v>86342.643980254405</v>
      </c>
      <c r="Y193" s="35">
        <f t="shared" si="21"/>
        <v>26372.992425222677</v>
      </c>
      <c r="Z193" s="35">
        <f t="shared" si="22"/>
        <v>0</v>
      </c>
      <c r="AA193" s="35">
        <f t="shared" si="23"/>
        <v>1</v>
      </c>
      <c r="AB193" s="35">
        <f t="shared" si="24"/>
        <v>0</v>
      </c>
    </row>
    <row r="194" spans="1:28">
      <c r="A194" s="35">
        <v>183</v>
      </c>
      <c r="B194" s="35">
        <v>5.4420566611301791E-4</v>
      </c>
      <c r="C194" s="232">
        <v>77.69</v>
      </c>
      <c r="D194" s="35">
        <v>5.0679227321670002</v>
      </c>
      <c r="E194" s="232">
        <v>45.22</v>
      </c>
      <c r="F194" s="35">
        <v>5.0539665821237989</v>
      </c>
      <c r="G194" s="232">
        <v>11847.9</v>
      </c>
      <c r="H194" s="35">
        <v>9.2812179751315895</v>
      </c>
      <c r="I194" s="232">
        <v>13413.85</v>
      </c>
      <c r="J194" s="35">
        <v>7.6193954878383661</v>
      </c>
      <c r="K194" s="232">
        <v>13302.71</v>
      </c>
      <c r="L194" s="35">
        <v>8.5727366876121511</v>
      </c>
      <c r="M194" s="232">
        <v>39455.15</v>
      </c>
      <c r="N194" s="35">
        <v>7.4491031931774812</v>
      </c>
      <c r="P194" s="232">
        <v>-32.47</v>
      </c>
      <c r="Q194" s="35">
        <v>1.3956150043201276E-2</v>
      </c>
      <c r="R194" s="232">
        <v>1565.95</v>
      </c>
      <c r="S194" s="35">
        <v>1.6618224872932235</v>
      </c>
      <c r="T194" s="232">
        <v>26152.44</v>
      </c>
      <c r="U194" s="35">
        <v>1.12363349443467</v>
      </c>
      <c r="W194" s="35">
        <f t="shared" si="19"/>
        <v>730.27750216006382</v>
      </c>
      <c r="X194" s="35">
        <f t="shared" si="20"/>
        <v>81525.174364661172</v>
      </c>
      <c r="Y194" s="35">
        <f t="shared" si="21"/>
        <v>30029.234721733501</v>
      </c>
      <c r="Z194" s="35">
        <f t="shared" si="22"/>
        <v>0</v>
      </c>
      <c r="AA194" s="35">
        <f t="shared" si="23"/>
        <v>1</v>
      </c>
      <c r="AB194" s="35">
        <f t="shared" si="24"/>
        <v>0</v>
      </c>
    </row>
    <row r="195" spans="1:28">
      <c r="A195" s="35">
        <v>184</v>
      </c>
      <c r="B195" s="35">
        <v>4.8454347798099207E-4</v>
      </c>
      <c r="C195" s="232">
        <v>81.099999999999994</v>
      </c>
      <c r="D195" s="35">
        <v>5.0606222391357063</v>
      </c>
      <c r="E195" s="232">
        <v>50.86</v>
      </c>
      <c r="F195" s="35">
        <v>5.0511311912513772</v>
      </c>
      <c r="G195" s="232">
        <v>12382.87</v>
      </c>
      <c r="H195" s="35">
        <v>8.1120944755738158</v>
      </c>
      <c r="I195" s="232">
        <v>13042.12</v>
      </c>
      <c r="J195" s="35">
        <v>7.1672035004636303</v>
      </c>
      <c r="K195" s="232">
        <v>18285.060000000001</v>
      </c>
      <c r="L195" s="35">
        <v>8.4613017475835637</v>
      </c>
      <c r="M195" s="232">
        <v>44472.81</v>
      </c>
      <c r="N195" s="35">
        <v>7.4279039485841096</v>
      </c>
      <c r="P195" s="232">
        <v>-30.24</v>
      </c>
      <c r="Q195" s="35">
        <v>9.4910478843290846E-3</v>
      </c>
      <c r="R195" s="232">
        <v>659.25</v>
      </c>
      <c r="S195" s="35">
        <v>0.94489097511018549</v>
      </c>
      <c r="T195" s="232">
        <v>26187.74</v>
      </c>
      <c r="U195" s="35">
        <v>1.0333977989994541</v>
      </c>
      <c r="W195" s="35">
        <f t="shared" si="19"/>
        <v>504.79239421645423</v>
      </c>
      <c r="X195" s="35">
        <f t="shared" si="20"/>
        <v>46585.298755509277</v>
      </c>
      <c r="Y195" s="35">
        <f t="shared" si="21"/>
        <v>25482.149949972703</v>
      </c>
      <c r="Z195" s="35">
        <f t="shared" si="22"/>
        <v>0</v>
      </c>
      <c r="AA195" s="35">
        <f t="shared" si="23"/>
        <v>1</v>
      </c>
      <c r="AB195" s="35">
        <f t="shared" si="24"/>
        <v>0</v>
      </c>
    </row>
    <row r="196" spans="1:28">
      <c r="A196" s="35">
        <v>185</v>
      </c>
      <c r="B196" s="35">
        <v>4.7404754745006272E-4</v>
      </c>
      <c r="C196" s="232">
        <v>71.8</v>
      </c>
      <c r="D196" s="35">
        <v>5.0647884229610467</v>
      </c>
      <c r="E196" s="232">
        <v>47.08</v>
      </c>
      <c r="F196" s="35">
        <v>5.0541688643558835</v>
      </c>
      <c r="G196" s="232">
        <v>11941.5</v>
      </c>
      <c r="H196" s="35">
        <v>9.2943709707194415</v>
      </c>
      <c r="I196" s="232">
        <v>12836.68</v>
      </c>
      <c r="J196" s="35">
        <v>7.4771590000116239</v>
      </c>
      <c r="K196" s="232">
        <v>13598.07</v>
      </c>
      <c r="L196" s="35">
        <v>8.7188391460754495</v>
      </c>
      <c r="M196" s="232">
        <v>39546.019999999997</v>
      </c>
      <c r="N196" s="35">
        <v>7.6706045171508066</v>
      </c>
      <c r="P196" s="232">
        <v>-24.71</v>
      </c>
      <c r="Q196" s="35">
        <v>1.0619558605163171E-2</v>
      </c>
      <c r="R196" s="232">
        <v>895.18</v>
      </c>
      <c r="S196" s="35">
        <v>1.8172119707078176</v>
      </c>
      <c r="T196" s="232">
        <v>25947.95</v>
      </c>
      <c r="U196" s="35">
        <v>1.0482346289246429</v>
      </c>
      <c r="W196" s="35">
        <f t="shared" si="19"/>
        <v>555.68793025815853</v>
      </c>
      <c r="X196" s="35">
        <f t="shared" si="20"/>
        <v>89965.418535390883</v>
      </c>
      <c r="Y196" s="35">
        <f t="shared" si="21"/>
        <v>26463.781446232144</v>
      </c>
      <c r="Z196" s="35">
        <f t="shared" si="22"/>
        <v>0</v>
      </c>
      <c r="AA196" s="35">
        <f t="shared" si="23"/>
        <v>1</v>
      </c>
      <c r="AB196" s="35">
        <f t="shared" si="24"/>
        <v>0</v>
      </c>
    </row>
    <row r="197" spans="1:28">
      <c r="A197" s="35">
        <v>186</v>
      </c>
      <c r="B197" s="35">
        <v>4.5276441685460078E-4</v>
      </c>
      <c r="C197" s="232">
        <v>58.79</v>
      </c>
      <c r="D197" s="35">
        <v>5.0629375402452208</v>
      </c>
      <c r="E197" s="232">
        <v>36.6</v>
      </c>
      <c r="F197" s="35">
        <v>5.051938795069816</v>
      </c>
      <c r="G197" s="232">
        <v>10366.969999999999</v>
      </c>
      <c r="H197" s="35">
        <v>9.0810891935878786</v>
      </c>
      <c r="I197" s="232">
        <v>11969.7</v>
      </c>
      <c r="J197" s="35">
        <v>7.4958566001437603</v>
      </c>
      <c r="K197" s="232">
        <v>10878.24</v>
      </c>
      <c r="L197" s="35">
        <v>8.8336838552779025</v>
      </c>
      <c r="M197" s="232">
        <v>36698.449999999997</v>
      </c>
      <c r="N197" s="35">
        <v>7.7366676085894852</v>
      </c>
      <c r="P197" s="232">
        <v>-22.18</v>
      </c>
      <c r="Q197" s="35">
        <v>1.0998745175404778E-2</v>
      </c>
      <c r="R197" s="232">
        <v>1602.73</v>
      </c>
      <c r="S197" s="35">
        <v>1.5852325934441183</v>
      </c>
      <c r="T197" s="232">
        <v>25820.22</v>
      </c>
      <c r="U197" s="35">
        <v>1.0970162466884172</v>
      </c>
      <c r="W197" s="35">
        <f t="shared" si="19"/>
        <v>572.11725877023889</v>
      </c>
      <c r="X197" s="35">
        <f t="shared" si="20"/>
        <v>77658.899672205924</v>
      </c>
      <c r="Y197" s="35">
        <f t="shared" si="21"/>
        <v>29030.592334420864</v>
      </c>
      <c r="Z197" s="35">
        <f t="shared" si="22"/>
        <v>0</v>
      </c>
      <c r="AA197" s="35">
        <f t="shared" si="23"/>
        <v>1</v>
      </c>
      <c r="AB197" s="35">
        <f t="shared" si="24"/>
        <v>0</v>
      </c>
    </row>
    <row r="198" spans="1:28">
      <c r="A198" s="35">
        <v>187</v>
      </c>
      <c r="B198" s="35">
        <v>4.2522694107503117E-4</v>
      </c>
      <c r="C198" s="232">
        <v>55.85</v>
      </c>
      <c r="D198" s="35">
        <v>5.0594364156880385</v>
      </c>
      <c r="E198" s="232">
        <v>32.49</v>
      </c>
      <c r="F198" s="35">
        <v>5.0490272659574931</v>
      </c>
      <c r="G198" s="232">
        <v>10569.45</v>
      </c>
      <c r="H198" s="35">
        <v>8.7164012875341577</v>
      </c>
      <c r="I198" s="232">
        <v>11639.88</v>
      </c>
      <c r="J198" s="35">
        <v>7.0307010705419586</v>
      </c>
      <c r="K198" s="232">
        <v>12551.78</v>
      </c>
      <c r="L198" s="35">
        <v>8.4836337688286996</v>
      </c>
      <c r="M198" s="232">
        <v>38526.47</v>
      </c>
      <c r="N198" s="35">
        <v>7.4400133161419042</v>
      </c>
      <c r="P198" s="232">
        <v>-23.36</v>
      </c>
      <c r="Q198" s="35">
        <v>1.0409149730545408E-2</v>
      </c>
      <c r="R198" s="232">
        <v>1070.43</v>
      </c>
      <c r="S198" s="35">
        <v>1.6857002169921991</v>
      </c>
      <c r="T198" s="232">
        <v>25974.68</v>
      </c>
      <c r="U198" s="35">
        <v>1.0436204526867954</v>
      </c>
      <c r="W198" s="35">
        <f t="shared" si="19"/>
        <v>543.81748652727049</v>
      </c>
      <c r="X198" s="35">
        <f t="shared" si="20"/>
        <v>83214.580849609963</v>
      </c>
      <c r="Y198" s="35">
        <f t="shared" si="21"/>
        <v>26206.342634339766</v>
      </c>
      <c r="Z198" s="35">
        <f t="shared" si="22"/>
        <v>0</v>
      </c>
      <c r="AA198" s="35">
        <f t="shared" si="23"/>
        <v>1</v>
      </c>
      <c r="AB198" s="35">
        <f t="shared" si="24"/>
        <v>0</v>
      </c>
    </row>
    <row r="199" spans="1:28">
      <c r="A199" s="35">
        <v>188</v>
      </c>
      <c r="B199" s="35">
        <v>3.3766490746867431E-4</v>
      </c>
      <c r="C199" s="232">
        <v>52.08</v>
      </c>
      <c r="D199" s="35">
        <v>5.0558187638625824</v>
      </c>
      <c r="E199" s="232">
        <v>35.799999999999997</v>
      </c>
      <c r="F199" s="35">
        <v>5.0489661130196968</v>
      </c>
      <c r="G199" s="232">
        <v>12180.77</v>
      </c>
      <c r="H199" s="35">
        <v>8.8186217842437795</v>
      </c>
      <c r="I199" s="232">
        <v>13956.58</v>
      </c>
      <c r="J199" s="35">
        <v>8.137355060297125</v>
      </c>
      <c r="K199" s="232">
        <v>14186.34</v>
      </c>
      <c r="L199" s="35">
        <v>8.7423299933045655</v>
      </c>
      <c r="M199" s="232">
        <v>40275.74</v>
      </c>
      <c r="N199" s="35">
        <v>7.7920382791804697</v>
      </c>
      <c r="P199" s="232">
        <v>-16.28</v>
      </c>
      <c r="Q199" s="35">
        <v>6.8526508428856658E-3</v>
      </c>
      <c r="R199" s="232">
        <v>1775.81</v>
      </c>
      <c r="S199" s="35">
        <v>0.68126672394665455</v>
      </c>
      <c r="T199" s="232">
        <v>26089.41</v>
      </c>
      <c r="U199" s="35">
        <v>0.95029171412409585</v>
      </c>
      <c r="W199" s="35">
        <f t="shared" si="19"/>
        <v>358.91254214428329</v>
      </c>
      <c r="X199" s="35">
        <f t="shared" si="20"/>
        <v>32287.526197332725</v>
      </c>
      <c r="Y199" s="35">
        <f t="shared" si="21"/>
        <v>21425.175706204795</v>
      </c>
      <c r="Z199" s="35">
        <f t="shared" si="22"/>
        <v>0</v>
      </c>
      <c r="AA199" s="35">
        <f t="shared" si="23"/>
        <v>1</v>
      </c>
      <c r="AB199" s="35">
        <f t="shared" si="24"/>
        <v>0</v>
      </c>
    </row>
    <row r="200" spans="1:28">
      <c r="A200" s="35">
        <v>189</v>
      </c>
      <c r="B200" s="35">
        <v>4.0009638002752026E-4</v>
      </c>
      <c r="C200" s="232">
        <v>77.55</v>
      </c>
      <c r="D200" s="35">
        <v>5.0599447754125908</v>
      </c>
      <c r="E200" s="232">
        <v>45.06</v>
      </c>
      <c r="F200" s="35">
        <v>5.0496779903020768</v>
      </c>
      <c r="G200" s="232">
        <v>14723.64</v>
      </c>
      <c r="H200" s="35">
        <v>9.1336034265360766</v>
      </c>
      <c r="I200" s="232">
        <v>14766.27</v>
      </c>
      <c r="J200" s="35">
        <v>7.9033065567643526</v>
      </c>
      <c r="K200" s="232">
        <v>19897.490000000002</v>
      </c>
      <c r="L200" s="35">
        <v>8.7514755656602095</v>
      </c>
      <c r="M200" s="232">
        <v>46304.06</v>
      </c>
      <c r="N200" s="35">
        <v>7.689880298466969</v>
      </c>
      <c r="P200" s="232">
        <v>-32.49</v>
      </c>
      <c r="Q200" s="35">
        <v>1.0266785110514043E-2</v>
      </c>
      <c r="R200" s="232">
        <v>42.63</v>
      </c>
      <c r="S200" s="35">
        <v>1.230296869771724</v>
      </c>
      <c r="T200" s="232">
        <v>26406.57</v>
      </c>
      <c r="U200" s="35">
        <v>1.0615952671932405</v>
      </c>
      <c r="W200" s="35">
        <f t="shared" si="19"/>
        <v>545.82925552570214</v>
      </c>
      <c r="X200" s="35">
        <f t="shared" si="20"/>
        <v>61472.213488586203</v>
      </c>
      <c r="Y200" s="35">
        <f t="shared" si="21"/>
        <v>26673.193359662022</v>
      </c>
      <c r="Z200" s="35">
        <f t="shared" si="22"/>
        <v>0</v>
      </c>
      <c r="AA200" s="35">
        <f t="shared" si="23"/>
        <v>1</v>
      </c>
      <c r="AB200" s="35">
        <f t="shared" si="24"/>
        <v>0</v>
      </c>
    </row>
    <row r="201" spans="1:28">
      <c r="A201" s="35">
        <v>190</v>
      </c>
      <c r="B201" s="35">
        <v>4.271239171683582E-4</v>
      </c>
      <c r="C201" s="232">
        <v>59.76</v>
      </c>
      <c r="D201" s="35">
        <v>5.0575606795092476</v>
      </c>
      <c r="E201" s="232">
        <v>37.47</v>
      </c>
      <c r="F201" s="35">
        <v>5.0490306631266044</v>
      </c>
      <c r="G201" s="232">
        <v>10955.26</v>
      </c>
      <c r="H201" s="35">
        <v>7.9413897403645501</v>
      </c>
      <c r="I201" s="232">
        <v>12116.57</v>
      </c>
      <c r="J201" s="35">
        <v>6.6128180517856991</v>
      </c>
      <c r="K201" s="232">
        <v>13994.65</v>
      </c>
      <c r="L201" s="35">
        <v>8.4852357565683221</v>
      </c>
      <c r="M201" s="232">
        <v>40147.65</v>
      </c>
      <c r="N201" s="35">
        <v>7.3480618110513047</v>
      </c>
      <c r="P201" s="232">
        <v>-22.29</v>
      </c>
      <c r="Q201" s="35">
        <v>8.5300163826431685E-3</v>
      </c>
      <c r="R201" s="232">
        <v>1161.31</v>
      </c>
      <c r="S201" s="35">
        <v>1.328571688578851</v>
      </c>
      <c r="T201" s="232">
        <v>26153</v>
      </c>
      <c r="U201" s="35">
        <v>1.1371739455170173</v>
      </c>
      <c r="W201" s="35">
        <f t="shared" si="19"/>
        <v>448.79081913215845</v>
      </c>
      <c r="X201" s="35">
        <f t="shared" si="20"/>
        <v>65267.274428942546</v>
      </c>
      <c r="Y201" s="35">
        <f t="shared" si="21"/>
        <v>30705.697275850864</v>
      </c>
      <c r="Z201" s="35">
        <f t="shared" si="22"/>
        <v>0</v>
      </c>
      <c r="AA201" s="35">
        <f t="shared" si="23"/>
        <v>1</v>
      </c>
      <c r="AB201" s="35">
        <f t="shared" si="24"/>
        <v>0</v>
      </c>
    </row>
    <row r="202" spans="1:28">
      <c r="A202" s="35">
        <v>191</v>
      </c>
      <c r="B202" s="35">
        <v>3.0638709521236412E-4</v>
      </c>
      <c r="C202" s="232">
        <v>49.41</v>
      </c>
      <c r="D202" s="35">
        <v>5.0536282365727194</v>
      </c>
      <c r="E202" s="232">
        <v>30.54</v>
      </c>
      <c r="F202" s="35">
        <v>5.0464646714129833</v>
      </c>
      <c r="G202" s="232">
        <v>11865.13</v>
      </c>
      <c r="H202" s="35">
        <v>8.5674475460752237</v>
      </c>
      <c r="I202" s="232">
        <v>12487.24</v>
      </c>
      <c r="J202" s="35">
        <v>7.5036332403205579</v>
      </c>
      <c r="K202" s="232">
        <v>16471.439999999999</v>
      </c>
      <c r="L202" s="35">
        <v>8.7985838546457451</v>
      </c>
      <c r="M202" s="232">
        <v>42584.32</v>
      </c>
      <c r="N202" s="35">
        <v>7.7620082330795279</v>
      </c>
      <c r="P202" s="232">
        <v>-18.87</v>
      </c>
      <c r="Q202" s="35">
        <v>7.1635651597361516E-3</v>
      </c>
      <c r="R202" s="232">
        <v>622.11</v>
      </c>
      <c r="S202" s="35">
        <v>1.0638143057546658</v>
      </c>
      <c r="T202" s="232">
        <v>26112.89</v>
      </c>
      <c r="U202" s="35">
        <v>1.0365756215662172</v>
      </c>
      <c r="W202" s="35">
        <f t="shared" si="19"/>
        <v>377.04825798680758</v>
      </c>
      <c r="X202" s="35">
        <f t="shared" si="20"/>
        <v>52568.605287733291</v>
      </c>
      <c r="Y202" s="35">
        <f t="shared" si="21"/>
        <v>25715.891078310859</v>
      </c>
      <c r="Z202" s="35">
        <f t="shared" si="22"/>
        <v>0</v>
      </c>
      <c r="AA202" s="35">
        <f t="shared" si="23"/>
        <v>1</v>
      </c>
      <c r="AB202" s="35">
        <f t="shared" si="24"/>
        <v>0</v>
      </c>
    </row>
    <row r="203" spans="1:28">
      <c r="A203" s="35">
        <v>192</v>
      </c>
      <c r="B203" s="35">
        <v>5.7215989661407729E-4</v>
      </c>
      <c r="C203" s="232">
        <v>67.290000000000006</v>
      </c>
      <c r="D203" s="35">
        <v>5.0670441877834902</v>
      </c>
      <c r="E203" s="232">
        <v>40.659999999999997</v>
      </c>
      <c r="F203" s="35">
        <v>5.053929733951037</v>
      </c>
      <c r="G203" s="232">
        <v>9776.4599999999991</v>
      </c>
      <c r="H203" s="35">
        <v>8.3785556806142925</v>
      </c>
      <c r="I203" s="232">
        <v>12023.41</v>
      </c>
      <c r="J203" s="35">
        <v>6.9965913142706695</v>
      </c>
      <c r="K203" s="232">
        <v>9017.7800000000007</v>
      </c>
      <c r="L203" s="35">
        <v>8.9023626017039028</v>
      </c>
      <c r="M203" s="232">
        <v>34780.51</v>
      </c>
      <c r="N203" s="35">
        <v>7.8400740856452549</v>
      </c>
      <c r="P203" s="232">
        <v>-26.64</v>
      </c>
      <c r="Q203" s="35">
        <v>1.3114453832453243E-2</v>
      </c>
      <c r="R203" s="232">
        <v>2246.9499999999998</v>
      </c>
      <c r="S203" s="35">
        <v>1.381964366343623</v>
      </c>
      <c r="T203" s="232">
        <v>25762.73</v>
      </c>
      <c r="U203" s="35">
        <v>1.0622885160586479</v>
      </c>
      <c r="W203" s="35">
        <f t="shared" si="19"/>
        <v>682.36269162266217</v>
      </c>
      <c r="X203" s="35">
        <f t="shared" si="20"/>
        <v>66851.268317181151</v>
      </c>
      <c r="Y203" s="35">
        <f t="shared" si="21"/>
        <v>27351.695802932398</v>
      </c>
      <c r="Z203" s="35">
        <f t="shared" si="22"/>
        <v>0</v>
      </c>
      <c r="AA203" s="35">
        <f t="shared" si="23"/>
        <v>1</v>
      </c>
      <c r="AB203" s="35">
        <f t="shared" si="24"/>
        <v>0</v>
      </c>
    </row>
    <row r="204" spans="1:28">
      <c r="A204" s="35">
        <v>193</v>
      </c>
      <c r="B204" s="35">
        <v>5.5084703336438778E-4</v>
      </c>
      <c r="C204" s="232">
        <v>81.239999999999995</v>
      </c>
      <c r="D204" s="35">
        <v>5.0672191691348054</v>
      </c>
      <c r="E204" s="232">
        <v>43.71</v>
      </c>
      <c r="F204" s="35">
        <v>5.0523629296814354</v>
      </c>
      <c r="G204" s="232">
        <v>11499.03</v>
      </c>
      <c r="H204" s="35">
        <v>8.9510386426025743</v>
      </c>
      <c r="I204" s="232">
        <v>10867.36</v>
      </c>
      <c r="J204" s="35">
        <v>6.8316537991954114</v>
      </c>
      <c r="K204" s="232">
        <v>15990.33</v>
      </c>
      <c r="L204" s="35">
        <v>8.7312702565917011</v>
      </c>
      <c r="M204" s="232">
        <v>42148.21</v>
      </c>
      <c r="N204" s="35">
        <v>7.7259975087935366</v>
      </c>
      <c r="P204" s="232">
        <v>-37.53</v>
      </c>
      <c r="Q204" s="35">
        <v>1.4856239453370002E-2</v>
      </c>
      <c r="R204" s="232">
        <v>-631.66999999999996</v>
      </c>
      <c r="S204" s="35">
        <v>2.1193848434071629</v>
      </c>
      <c r="T204" s="232">
        <v>26157.89</v>
      </c>
      <c r="U204" s="35">
        <v>1.0052727477981644</v>
      </c>
      <c r="W204" s="35">
        <f t="shared" ref="W204:W267" si="25">$X$2*Q204-P204</f>
        <v>780.34197266850003</v>
      </c>
      <c r="X204" s="35">
        <f t="shared" ref="X204:X267" si="26">$X$2*S204-R204</f>
        <v>106600.91217035815</v>
      </c>
      <c r="Y204" s="35">
        <f t="shared" ref="Y204:Y267" si="27">$X$2*U204-T204</f>
        <v>24105.747389908225</v>
      </c>
      <c r="Z204" s="35">
        <f t="shared" ref="Z204:Z267" si="28">IF(W204=MAX($W204:$Y204), 1, 0)</f>
        <v>0</v>
      </c>
      <c r="AA204" s="35">
        <f t="shared" ref="AA204:AA267" si="29">IF(X204=MAX($W204:$Y204), 1, 0)</f>
        <v>1</v>
      </c>
      <c r="AB204" s="35">
        <f t="shared" ref="AB204:AB267" si="30">IF(Y204=MAX($W204:$Y204), 1, 0)</f>
        <v>0</v>
      </c>
    </row>
    <row r="205" spans="1:28">
      <c r="A205" s="35">
        <v>194</v>
      </c>
      <c r="B205" s="35">
        <v>5.4118257522284274E-4</v>
      </c>
      <c r="C205" s="232">
        <v>53.85</v>
      </c>
      <c r="D205" s="35">
        <v>5.0644831314898218</v>
      </c>
      <c r="E205" s="232">
        <v>36.090000000000003</v>
      </c>
      <c r="F205" s="35">
        <v>5.0539183435389452</v>
      </c>
      <c r="G205" s="232">
        <v>7752.63</v>
      </c>
      <c r="H205" s="35">
        <v>8.2608363446921178</v>
      </c>
      <c r="I205" s="232">
        <v>9524.4500000000007</v>
      </c>
      <c r="J205" s="35">
        <v>7.2773442269971174</v>
      </c>
      <c r="K205" s="232">
        <v>8962.26</v>
      </c>
      <c r="L205" s="35">
        <v>8.5046678797168109</v>
      </c>
      <c r="M205" s="232">
        <v>34714.39</v>
      </c>
      <c r="N205" s="35">
        <v>7.3459216920048584</v>
      </c>
      <c r="P205" s="232">
        <v>-17.75</v>
      </c>
      <c r="Q205" s="35">
        <v>1.0564787950876564E-2</v>
      </c>
      <c r="R205" s="232">
        <v>1771.82</v>
      </c>
      <c r="S205" s="35">
        <v>0.98349211769500045</v>
      </c>
      <c r="T205" s="232">
        <v>25752.12</v>
      </c>
      <c r="U205" s="35">
        <v>1.1587461877119525</v>
      </c>
      <c r="W205" s="35">
        <f t="shared" si="25"/>
        <v>545.9893975438282</v>
      </c>
      <c r="X205" s="35">
        <f t="shared" si="26"/>
        <v>47402.785884750025</v>
      </c>
      <c r="Y205" s="35">
        <f t="shared" si="27"/>
        <v>32185.189385597627</v>
      </c>
      <c r="Z205" s="35">
        <f t="shared" si="28"/>
        <v>0</v>
      </c>
      <c r="AA205" s="35">
        <f t="shared" si="29"/>
        <v>1</v>
      </c>
      <c r="AB205" s="35">
        <f t="shared" si="30"/>
        <v>0</v>
      </c>
    </row>
    <row r="206" spans="1:28">
      <c r="A206" s="35">
        <v>195</v>
      </c>
      <c r="B206" s="35">
        <v>3.3759916870133784E-4</v>
      </c>
      <c r="C206" s="232">
        <v>60.81</v>
      </c>
      <c r="D206" s="35">
        <v>5.0548554089939577</v>
      </c>
      <c r="E206" s="232">
        <v>42.81</v>
      </c>
      <c r="F206" s="35">
        <v>5.0488227268050521</v>
      </c>
      <c r="G206" s="232">
        <v>13670.1</v>
      </c>
      <c r="H206" s="35">
        <v>8.3504691052998492</v>
      </c>
      <c r="I206" s="232">
        <v>13086.81</v>
      </c>
      <c r="J206" s="35">
        <v>6.5859970983312897</v>
      </c>
      <c r="K206" s="232">
        <v>20311.27</v>
      </c>
      <c r="L206" s="35">
        <v>8.7399088547637813</v>
      </c>
      <c r="M206" s="232">
        <v>46630.34</v>
      </c>
      <c r="N206" s="35">
        <v>7.6932195810709443</v>
      </c>
      <c r="P206" s="232">
        <v>-18</v>
      </c>
      <c r="Q206" s="35">
        <v>6.0326821889056248E-3</v>
      </c>
      <c r="R206" s="232">
        <v>-583.29999999999995</v>
      </c>
      <c r="S206" s="35">
        <v>1.7644720069685595</v>
      </c>
      <c r="T206" s="232">
        <v>26319.07</v>
      </c>
      <c r="U206" s="35">
        <v>1.046689273692837</v>
      </c>
      <c r="W206" s="35">
        <f t="shared" si="25"/>
        <v>319.63410944528124</v>
      </c>
      <c r="X206" s="35">
        <f t="shared" si="26"/>
        <v>88806.900348427982</v>
      </c>
      <c r="Y206" s="35">
        <f t="shared" si="27"/>
        <v>26015.393684641851</v>
      </c>
      <c r="Z206" s="35">
        <f t="shared" si="28"/>
        <v>0</v>
      </c>
      <c r="AA206" s="35">
        <f t="shared" si="29"/>
        <v>1</v>
      </c>
      <c r="AB206" s="35">
        <f t="shared" si="30"/>
        <v>0</v>
      </c>
    </row>
    <row r="207" spans="1:28">
      <c r="A207" s="35">
        <v>196</v>
      </c>
      <c r="B207" s="35">
        <v>4.2073733934656151E-4</v>
      </c>
      <c r="C207" s="232">
        <v>61.33</v>
      </c>
      <c r="D207" s="35">
        <v>5.0599525041573852</v>
      </c>
      <c r="E207" s="232">
        <v>41.32</v>
      </c>
      <c r="F207" s="35">
        <v>5.051447324572564</v>
      </c>
      <c r="G207" s="232">
        <v>10700.55</v>
      </c>
      <c r="H207" s="35">
        <v>8.4104535425521227</v>
      </c>
      <c r="I207" s="232">
        <v>10370.120000000001</v>
      </c>
      <c r="J207" s="35">
        <v>6.5716792499913916</v>
      </c>
      <c r="K207" s="232">
        <v>16634.05</v>
      </c>
      <c r="L207" s="35">
        <v>9.1056836774598473</v>
      </c>
      <c r="M207" s="232">
        <v>42837.599999999999</v>
      </c>
      <c r="N207" s="35">
        <v>8.027618322705834</v>
      </c>
      <c r="P207" s="232">
        <v>-20.02</v>
      </c>
      <c r="Q207" s="35">
        <v>8.5051795848212208E-3</v>
      </c>
      <c r="R207" s="232">
        <v>-330.43</v>
      </c>
      <c r="S207" s="35">
        <v>1.8387742925607311</v>
      </c>
      <c r="T207" s="232">
        <v>26203.55</v>
      </c>
      <c r="U207" s="35">
        <v>1.0780653547540133</v>
      </c>
      <c r="W207" s="35">
        <f t="shared" si="25"/>
        <v>445.27897924106105</v>
      </c>
      <c r="X207" s="35">
        <f t="shared" si="26"/>
        <v>92269.144628036549</v>
      </c>
      <c r="Y207" s="35">
        <f t="shared" si="27"/>
        <v>27699.71773770067</v>
      </c>
      <c r="Z207" s="35">
        <f t="shared" si="28"/>
        <v>0</v>
      </c>
      <c r="AA207" s="35">
        <f t="shared" si="29"/>
        <v>1</v>
      </c>
      <c r="AB207" s="35">
        <f t="shared" si="30"/>
        <v>0</v>
      </c>
    </row>
    <row r="208" spans="1:28">
      <c r="A208" s="35">
        <v>197</v>
      </c>
      <c r="B208" s="35">
        <v>4.1512841283882423E-4</v>
      </c>
      <c r="C208" s="232">
        <v>60.5</v>
      </c>
      <c r="D208" s="35">
        <v>5.0584893284586947</v>
      </c>
      <c r="E208" s="232">
        <v>40.47</v>
      </c>
      <c r="F208" s="35">
        <v>5.0504354611679609</v>
      </c>
      <c r="G208" s="232">
        <v>11587.06</v>
      </c>
      <c r="H208" s="35">
        <v>8.5763856236610145</v>
      </c>
      <c r="I208" s="232">
        <v>12950.95</v>
      </c>
      <c r="J208" s="35">
        <v>7.4544870692317415</v>
      </c>
      <c r="K208" s="232">
        <v>13915.21</v>
      </c>
      <c r="L208" s="35">
        <v>8.2562994400529437</v>
      </c>
      <c r="M208" s="232">
        <v>39862.9</v>
      </c>
      <c r="N208" s="35">
        <v>7.2077269515261637</v>
      </c>
      <c r="P208" s="232">
        <v>-20.03</v>
      </c>
      <c r="Q208" s="35">
        <v>8.0538672907337627E-3</v>
      </c>
      <c r="R208" s="232">
        <v>1363.89</v>
      </c>
      <c r="S208" s="35">
        <v>1.121898554429273</v>
      </c>
      <c r="T208" s="232">
        <v>25947.69</v>
      </c>
      <c r="U208" s="35">
        <v>1.04857248852678</v>
      </c>
      <c r="W208" s="35">
        <f t="shared" si="25"/>
        <v>422.72336453668811</v>
      </c>
      <c r="X208" s="35">
        <f t="shared" si="26"/>
        <v>54731.037721463654</v>
      </c>
      <c r="Y208" s="35">
        <f t="shared" si="27"/>
        <v>26480.934426338998</v>
      </c>
      <c r="Z208" s="35">
        <f t="shared" si="28"/>
        <v>0</v>
      </c>
      <c r="AA208" s="35">
        <f t="shared" si="29"/>
        <v>1</v>
      </c>
      <c r="AB208" s="35">
        <f t="shared" si="30"/>
        <v>0</v>
      </c>
    </row>
    <row r="209" spans="1:28">
      <c r="A209" s="35">
        <v>198</v>
      </c>
      <c r="B209" s="35">
        <v>3.5942411584079714E-4</v>
      </c>
      <c r="C209" s="232">
        <v>80.63</v>
      </c>
      <c r="D209" s="35">
        <v>5.05844255325351</v>
      </c>
      <c r="E209" s="232">
        <v>43.96</v>
      </c>
      <c r="F209" s="35">
        <v>5.048176424494824</v>
      </c>
      <c r="G209" s="232">
        <v>16281.07</v>
      </c>
      <c r="H209" s="35">
        <v>9.2571770632996468</v>
      </c>
      <c r="I209" s="232">
        <v>12149.1</v>
      </c>
      <c r="J209" s="35">
        <v>7.1042946684193629</v>
      </c>
      <c r="K209" s="232">
        <v>26082.45</v>
      </c>
      <c r="L209" s="35">
        <v>9.0428873096033513</v>
      </c>
      <c r="M209" s="232">
        <v>52888.63</v>
      </c>
      <c r="N209" s="35">
        <v>7.8206752790422245</v>
      </c>
      <c r="P209" s="232">
        <v>-36.67</v>
      </c>
      <c r="Q209" s="35">
        <v>1.0266128758686044E-2</v>
      </c>
      <c r="R209" s="232">
        <v>-4131.97</v>
      </c>
      <c r="S209" s="35">
        <v>2.152882394880284</v>
      </c>
      <c r="T209" s="232">
        <v>26806.18</v>
      </c>
      <c r="U209" s="35">
        <v>1.2222120305611268</v>
      </c>
      <c r="W209" s="35">
        <f t="shared" si="25"/>
        <v>549.97643793430211</v>
      </c>
      <c r="X209" s="35">
        <f t="shared" si="26"/>
        <v>111776.0897440142</v>
      </c>
      <c r="Y209" s="35">
        <f t="shared" si="27"/>
        <v>34304.421528056344</v>
      </c>
      <c r="Z209" s="35">
        <f t="shared" si="28"/>
        <v>0</v>
      </c>
      <c r="AA209" s="35">
        <f t="shared" si="29"/>
        <v>1</v>
      </c>
      <c r="AB209" s="35">
        <f t="shared" si="30"/>
        <v>0</v>
      </c>
    </row>
    <row r="210" spans="1:28">
      <c r="A210" s="35">
        <v>199</v>
      </c>
      <c r="B210" s="35">
        <v>4.0449439202563524E-4</v>
      </c>
      <c r="C210" s="232">
        <v>59.88</v>
      </c>
      <c r="D210" s="35">
        <v>5.0581517469061872</v>
      </c>
      <c r="E210" s="232">
        <v>35.729999999999997</v>
      </c>
      <c r="F210" s="35">
        <v>5.0487539737331124</v>
      </c>
      <c r="G210" s="232">
        <v>11258.18</v>
      </c>
      <c r="H210" s="35">
        <v>8.3274130159002517</v>
      </c>
      <c r="I210" s="232">
        <v>11834.54</v>
      </c>
      <c r="J210" s="35">
        <v>6.4751977430714236</v>
      </c>
      <c r="K210" s="232">
        <v>13663.12</v>
      </c>
      <c r="L210" s="35">
        <v>8.7822608574572669</v>
      </c>
      <c r="M210" s="232">
        <v>39656.06</v>
      </c>
      <c r="N210" s="35">
        <v>7.6938348636809781</v>
      </c>
      <c r="P210" s="232">
        <v>-24.15</v>
      </c>
      <c r="Q210" s="35">
        <v>9.3977731730747749E-3</v>
      </c>
      <c r="R210" s="232">
        <v>576.36</v>
      </c>
      <c r="S210" s="35">
        <v>1.8522152728288281</v>
      </c>
      <c r="T210" s="232">
        <v>25992.93</v>
      </c>
      <c r="U210" s="35">
        <v>1.0884259937762888</v>
      </c>
      <c r="W210" s="35">
        <f t="shared" si="25"/>
        <v>494.03865865373871</v>
      </c>
      <c r="X210" s="35">
        <f t="shared" si="26"/>
        <v>92034.4036414414</v>
      </c>
      <c r="Y210" s="35">
        <f t="shared" si="27"/>
        <v>28428.36968881444</v>
      </c>
      <c r="Z210" s="35">
        <f t="shared" si="28"/>
        <v>0</v>
      </c>
      <c r="AA210" s="35">
        <f t="shared" si="29"/>
        <v>1</v>
      </c>
      <c r="AB210" s="35">
        <f t="shared" si="30"/>
        <v>0</v>
      </c>
    </row>
    <row r="211" spans="1:28">
      <c r="A211" s="35">
        <v>200</v>
      </c>
      <c r="B211" s="35">
        <v>5.9440127327192727E-4</v>
      </c>
      <c r="C211" s="232">
        <v>65.25</v>
      </c>
      <c r="D211" s="35">
        <v>5.0703199492507469</v>
      </c>
      <c r="E211" s="232">
        <v>41.44</v>
      </c>
      <c r="F211" s="35">
        <v>5.0566770298894559</v>
      </c>
      <c r="G211" s="232">
        <v>9103.0300000000007</v>
      </c>
      <c r="H211" s="35">
        <v>9.1694339363686179</v>
      </c>
      <c r="I211" s="232">
        <v>11344.03</v>
      </c>
      <c r="J211" s="35">
        <v>9.0417800769074947</v>
      </c>
      <c r="K211" s="232">
        <v>8056.7</v>
      </c>
      <c r="L211" s="35">
        <v>8.4006889595660788</v>
      </c>
      <c r="M211" s="232">
        <v>33811.29</v>
      </c>
      <c r="N211" s="35">
        <v>7.2576051715173913</v>
      </c>
      <c r="P211" s="232">
        <v>-23.81</v>
      </c>
      <c r="Q211" s="35">
        <v>1.3642919361291028E-2</v>
      </c>
      <c r="R211" s="232">
        <v>2241</v>
      </c>
      <c r="S211" s="35">
        <v>0.12765385946112318</v>
      </c>
      <c r="T211" s="232">
        <v>25754.6</v>
      </c>
      <c r="U211" s="35">
        <v>1.1430837880486875</v>
      </c>
      <c r="W211" s="35">
        <f t="shared" si="25"/>
        <v>705.95596806455137</v>
      </c>
      <c r="X211" s="35">
        <f t="shared" si="26"/>
        <v>4141.6929730561587</v>
      </c>
      <c r="Y211" s="35">
        <f t="shared" si="27"/>
        <v>31399.589402434372</v>
      </c>
      <c r="Z211" s="35">
        <f t="shared" si="28"/>
        <v>0</v>
      </c>
      <c r="AA211" s="35">
        <f t="shared" si="29"/>
        <v>0</v>
      </c>
      <c r="AB211" s="35">
        <f t="shared" si="30"/>
        <v>1</v>
      </c>
    </row>
    <row r="212" spans="1:28">
      <c r="A212" s="35">
        <v>201</v>
      </c>
      <c r="B212" s="35">
        <v>5.523418860162721E-4</v>
      </c>
      <c r="C212" s="232">
        <v>83.4</v>
      </c>
      <c r="D212" s="35">
        <v>5.0669132568917439</v>
      </c>
      <c r="E212" s="232">
        <v>45.76</v>
      </c>
      <c r="F212" s="35">
        <v>5.0525560372830807</v>
      </c>
      <c r="G212" s="232">
        <v>11533.64</v>
      </c>
      <c r="H212" s="35">
        <v>8.7737664098930637</v>
      </c>
      <c r="I212" s="232">
        <v>11316.32</v>
      </c>
      <c r="J212" s="35">
        <v>7.2141226876976745</v>
      </c>
      <c r="K212" s="232">
        <v>17356.88</v>
      </c>
      <c r="L212" s="35">
        <v>8.8021878071410509</v>
      </c>
      <c r="M212" s="232">
        <v>43468.67</v>
      </c>
      <c r="N212" s="35">
        <v>7.7162539020878027</v>
      </c>
      <c r="P212" s="232">
        <v>-37.630000000000003</v>
      </c>
      <c r="Q212" s="35">
        <v>1.4357219608663208E-2</v>
      </c>
      <c r="R212" s="232">
        <v>-217.31</v>
      </c>
      <c r="S212" s="35">
        <v>1.5596437221953892</v>
      </c>
      <c r="T212" s="232">
        <v>26111.8</v>
      </c>
      <c r="U212" s="35">
        <v>1.0859339050532482</v>
      </c>
      <c r="W212" s="35">
        <f t="shared" si="25"/>
        <v>755.49098043316042</v>
      </c>
      <c r="X212" s="35">
        <f t="shared" si="26"/>
        <v>78199.496109769461</v>
      </c>
      <c r="Y212" s="35">
        <f t="shared" si="27"/>
        <v>28184.895252662409</v>
      </c>
      <c r="Z212" s="35">
        <f t="shared" si="28"/>
        <v>0</v>
      </c>
      <c r="AA212" s="35">
        <f t="shared" si="29"/>
        <v>1</v>
      </c>
      <c r="AB212" s="35">
        <f t="shared" si="30"/>
        <v>0</v>
      </c>
    </row>
    <row r="213" spans="1:28">
      <c r="A213" s="35">
        <v>202</v>
      </c>
      <c r="B213" s="35">
        <v>4.5644203946770823E-4</v>
      </c>
      <c r="C213" s="232">
        <v>91.2</v>
      </c>
      <c r="D213" s="35">
        <v>5.0617871778970818</v>
      </c>
      <c r="E213" s="232">
        <v>55.86</v>
      </c>
      <c r="F213" s="35">
        <v>5.0515813752344672</v>
      </c>
      <c r="G213" s="232">
        <v>15630.49</v>
      </c>
      <c r="H213" s="35">
        <v>9.0072948716431434</v>
      </c>
      <c r="I213" s="232">
        <v>15659.51</v>
      </c>
      <c r="J213" s="35">
        <v>7.5461226226319642</v>
      </c>
      <c r="K213" s="232">
        <v>19565.95</v>
      </c>
      <c r="L213" s="35">
        <v>8.3114644087777716</v>
      </c>
      <c r="M213" s="232">
        <v>45890.91</v>
      </c>
      <c r="N213" s="35">
        <v>7.2155202923307646</v>
      </c>
      <c r="P213" s="232">
        <v>-35.33</v>
      </c>
      <c r="Q213" s="35">
        <v>1.0205802662614616E-2</v>
      </c>
      <c r="R213" s="232">
        <v>29.03</v>
      </c>
      <c r="S213" s="35">
        <v>1.4611722490111791</v>
      </c>
      <c r="T213" s="232">
        <v>26324.959999999999</v>
      </c>
      <c r="U213" s="35">
        <v>1.095944116447007</v>
      </c>
      <c r="W213" s="35">
        <f t="shared" si="25"/>
        <v>545.62013313073078</v>
      </c>
      <c r="X213" s="35">
        <f t="shared" si="26"/>
        <v>73029.582450558955</v>
      </c>
      <c r="Y213" s="35">
        <f t="shared" si="27"/>
        <v>28472.245822350349</v>
      </c>
      <c r="Z213" s="35">
        <f t="shared" si="28"/>
        <v>0</v>
      </c>
      <c r="AA213" s="35">
        <f t="shared" si="29"/>
        <v>1</v>
      </c>
      <c r="AB213" s="35">
        <f t="shared" si="30"/>
        <v>0</v>
      </c>
    </row>
    <row r="214" spans="1:28">
      <c r="A214" s="35">
        <v>203</v>
      </c>
      <c r="B214" s="35">
        <v>4.3502514551497991E-4</v>
      </c>
      <c r="C214" s="232">
        <v>44.49</v>
      </c>
      <c r="D214" s="35">
        <v>5.0607331144684897</v>
      </c>
      <c r="E214" s="232">
        <v>29.2</v>
      </c>
      <c r="F214" s="35">
        <v>5.0510169633314259</v>
      </c>
      <c r="G214" s="232">
        <v>8198.34</v>
      </c>
      <c r="H214" s="35">
        <v>8.8776561348034839</v>
      </c>
      <c r="I214" s="232">
        <v>9861.86</v>
      </c>
      <c r="J214" s="35">
        <v>7.0469150292829248</v>
      </c>
      <c r="K214" s="232">
        <v>8504.1299999999992</v>
      </c>
      <c r="L214" s="35">
        <v>8.4988202495015752</v>
      </c>
      <c r="M214" s="232">
        <v>34286.160000000003</v>
      </c>
      <c r="N214" s="35">
        <v>7.420282564805543</v>
      </c>
      <c r="P214" s="232">
        <v>-15.29</v>
      </c>
      <c r="Q214" s="35">
        <v>9.7161511370638109E-3</v>
      </c>
      <c r="R214" s="232">
        <v>1663.52</v>
      </c>
      <c r="S214" s="35">
        <v>1.8307411055205591</v>
      </c>
      <c r="T214" s="232">
        <v>25782.03</v>
      </c>
      <c r="U214" s="35">
        <v>1.0785376846960322</v>
      </c>
      <c r="W214" s="35">
        <f t="shared" si="25"/>
        <v>501.09755685319055</v>
      </c>
      <c r="X214" s="35">
        <f t="shared" si="26"/>
        <v>89873.535276027949</v>
      </c>
      <c r="Y214" s="35">
        <f t="shared" si="27"/>
        <v>28144.854234801613</v>
      </c>
      <c r="Z214" s="35">
        <f t="shared" si="28"/>
        <v>0</v>
      </c>
      <c r="AA214" s="35">
        <f t="shared" si="29"/>
        <v>1</v>
      </c>
      <c r="AB214" s="35">
        <f t="shared" si="30"/>
        <v>0</v>
      </c>
    </row>
    <row r="215" spans="1:28">
      <c r="A215" s="35">
        <v>204</v>
      </c>
      <c r="B215" s="35">
        <v>5.5059048268402133E-4</v>
      </c>
      <c r="C215" s="232">
        <v>72.03</v>
      </c>
      <c r="D215" s="35">
        <v>5.0660491605107278</v>
      </c>
      <c r="E215" s="232">
        <v>43.27</v>
      </c>
      <c r="F215" s="35">
        <v>5.0533869015237007</v>
      </c>
      <c r="G215" s="232">
        <v>10306.94</v>
      </c>
      <c r="H215" s="35">
        <v>8.6632493225770162</v>
      </c>
      <c r="I215" s="232">
        <v>11916.42</v>
      </c>
      <c r="J215" s="35">
        <v>7.454480431112585</v>
      </c>
      <c r="K215" s="232">
        <v>11051.08</v>
      </c>
      <c r="L215" s="35">
        <v>8.5446221074758473</v>
      </c>
      <c r="M215" s="232">
        <v>36892.58</v>
      </c>
      <c r="N215" s="35">
        <v>7.4125269691443805</v>
      </c>
      <c r="P215" s="232">
        <v>-28.76</v>
      </c>
      <c r="Q215" s="35">
        <v>1.2662258987027109E-2</v>
      </c>
      <c r="R215" s="232">
        <v>1609.48</v>
      </c>
      <c r="S215" s="35">
        <v>1.2087688914644312</v>
      </c>
      <c r="T215" s="232">
        <v>25841.5</v>
      </c>
      <c r="U215" s="35">
        <v>1.1320951383314668</v>
      </c>
      <c r="W215" s="35">
        <f t="shared" si="25"/>
        <v>661.87294935135537</v>
      </c>
      <c r="X215" s="35">
        <f t="shared" si="26"/>
        <v>58828.964573221558</v>
      </c>
      <c r="Y215" s="35">
        <f t="shared" si="27"/>
        <v>30763.256916573337</v>
      </c>
      <c r="Z215" s="35">
        <f t="shared" si="28"/>
        <v>0</v>
      </c>
      <c r="AA215" s="35">
        <f t="shared" si="29"/>
        <v>1</v>
      </c>
      <c r="AB215" s="35">
        <f t="shared" si="30"/>
        <v>0</v>
      </c>
    </row>
    <row r="216" spans="1:28">
      <c r="A216" s="35">
        <v>205</v>
      </c>
      <c r="B216" s="35">
        <v>3.6773785660894451E-4</v>
      </c>
      <c r="C216" s="232">
        <v>74.95</v>
      </c>
      <c r="D216" s="35">
        <v>5.0567710077800543</v>
      </c>
      <c r="E216" s="232">
        <v>44.92</v>
      </c>
      <c r="F216" s="35">
        <v>5.0482961712119803</v>
      </c>
      <c r="G216" s="232">
        <v>15518.91</v>
      </c>
      <c r="H216" s="35">
        <v>8.684325486900411</v>
      </c>
      <c r="I216" s="232">
        <v>15516.89</v>
      </c>
      <c r="J216" s="35">
        <v>7.2927688665308326</v>
      </c>
      <c r="K216" s="232">
        <v>20327.25</v>
      </c>
      <c r="L216" s="35">
        <v>8.5781130586946066</v>
      </c>
      <c r="M216" s="232">
        <v>46637.79</v>
      </c>
      <c r="N216" s="35">
        <v>7.5331375755243224</v>
      </c>
      <c r="P216" s="232">
        <v>-30.03</v>
      </c>
      <c r="Q216" s="35">
        <v>8.4748365680740179E-3</v>
      </c>
      <c r="R216" s="232">
        <v>-2.02</v>
      </c>
      <c r="S216" s="35">
        <v>1.3915566203695784</v>
      </c>
      <c r="T216" s="232">
        <v>26310.54</v>
      </c>
      <c r="U216" s="35">
        <v>1.0449754831702842</v>
      </c>
      <c r="W216" s="35">
        <f t="shared" si="25"/>
        <v>453.77182840370085</v>
      </c>
      <c r="X216" s="35">
        <f t="shared" si="26"/>
        <v>69579.851018478919</v>
      </c>
      <c r="Y216" s="35">
        <f t="shared" si="27"/>
        <v>25938.234158514213</v>
      </c>
      <c r="Z216" s="35">
        <f t="shared" si="28"/>
        <v>0</v>
      </c>
      <c r="AA216" s="35">
        <f t="shared" si="29"/>
        <v>1</v>
      </c>
      <c r="AB216" s="35">
        <f t="shared" si="30"/>
        <v>0</v>
      </c>
    </row>
    <row r="217" spans="1:28">
      <c r="A217" s="35">
        <v>206</v>
      </c>
      <c r="B217" s="35">
        <v>3.3205839333835813E-4</v>
      </c>
      <c r="C217" s="232">
        <v>46.05</v>
      </c>
      <c r="D217" s="35">
        <v>5.0557435405689244</v>
      </c>
      <c r="E217" s="232">
        <v>29.91</v>
      </c>
      <c r="F217" s="35">
        <v>5.0480804367641845</v>
      </c>
      <c r="G217" s="232">
        <v>10773.61</v>
      </c>
      <c r="H217" s="35">
        <v>8.8502056657060493</v>
      </c>
      <c r="I217" s="232">
        <v>12140.05</v>
      </c>
      <c r="J217" s="35">
        <v>8.0438219554723922</v>
      </c>
      <c r="K217" s="232">
        <v>14905.37</v>
      </c>
      <c r="L217" s="35">
        <v>8.8501277413675634</v>
      </c>
      <c r="M217" s="232">
        <v>40995.22</v>
      </c>
      <c r="N217" s="35">
        <v>7.8222324299933206</v>
      </c>
      <c r="P217" s="232">
        <v>-16.14</v>
      </c>
      <c r="Q217" s="35">
        <v>7.6631038047398903E-3</v>
      </c>
      <c r="R217" s="232">
        <v>1366.44</v>
      </c>
      <c r="S217" s="35">
        <v>0.80638371023365707</v>
      </c>
      <c r="T217" s="232">
        <v>26089.84</v>
      </c>
      <c r="U217" s="35">
        <v>1.0278953113742428</v>
      </c>
      <c r="W217" s="35">
        <f t="shared" si="25"/>
        <v>399.29519023699447</v>
      </c>
      <c r="X217" s="35">
        <f t="shared" si="26"/>
        <v>38952.74551168285</v>
      </c>
      <c r="Y217" s="35">
        <f t="shared" si="27"/>
        <v>25304.925568712144</v>
      </c>
      <c r="Z217" s="35">
        <f t="shared" si="28"/>
        <v>0</v>
      </c>
      <c r="AA217" s="35">
        <f t="shared" si="29"/>
        <v>1</v>
      </c>
      <c r="AB217" s="35">
        <f t="shared" si="30"/>
        <v>0</v>
      </c>
    </row>
    <row r="218" spans="1:28">
      <c r="A218" s="35">
        <v>207</v>
      </c>
      <c r="B218" s="35">
        <v>5.4130821616427127E-4</v>
      </c>
      <c r="C218" s="232">
        <v>105.26</v>
      </c>
      <c r="D218" s="35">
        <v>5.0674599997345133</v>
      </c>
      <c r="E218" s="232">
        <v>60.94</v>
      </c>
      <c r="F218" s="35">
        <v>5.0539938905521122</v>
      </c>
      <c r="G218" s="232">
        <v>14996.39</v>
      </c>
      <c r="H218" s="35">
        <v>9.0357381524827662</v>
      </c>
      <c r="I218" s="232">
        <v>13852.87</v>
      </c>
      <c r="J218" s="35">
        <v>7.255267214001166</v>
      </c>
      <c r="K218" s="232">
        <v>21507.13</v>
      </c>
      <c r="L218" s="35">
        <v>8.8422769053891397</v>
      </c>
      <c r="M218" s="232">
        <v>47755.75</v>
      </c>
      <c r="N218" s="35">
        <v>7.7311202629356117</v>
      </c>
      <c r="P218" s="232">
        <v>-44.32</v>
      </c>
      <c r="Q218" s="35">
        <v>1.3466109182401098E-2</v>
      </c>
      <c r="R218" s="232">
        <v>-1143.52</v>
      </c>
      <c r="S218" s="35">
        <v>1.7804709384816002</v>
      </c>
      <c r="T218" s="232">
        <v>26248.62</v>
      </c>
      <c r="U218" s="35">
        <v>1.111156642453528</v>
      </c>
      <c r="W218" s="35">
        <f t="shared" si="25"/>
        <v>717.62545912005498</v>
      </c>
      <c r="X218" s="35">
        <f t="shared" si="26"/>
        <v>90167.06692408002</v>
      </c>
      <c r="Y218" s="35">
        <f t="shared" si="27"/>
        <v>29309.212122676396</v>
      </c>
      <c r="Z218" s="35">
        <f t="shared" si="28"/>
        <v>0</v>
      </c>
      <c r="AA218" s="35">
        <f t="shared" si="29"/>
        <v>1</v>
      </c>
      <c r="AB218" s="35">
        <f t="shared" si="30"/>
        <v>0</v>
      </c>
    </row>
    <row r="219" spans="1:28">
      <c r="A219" s="35">
        <v>208</v>
      </c>
      <c r="B219" s="35">
        <v>4.8619846646313913E-4</v>
      </c>
      <c r="C219" s="232">
        <v>75.47</v>
      </c>
      <c r="D219" s="35">
        <v>5.0622901617524789</v>
      </c>
      <c r="E219" s="232">
        <v>47.39</v>
      </c>
      <c r="F219" s="35">
        <v>5.052039623892318</v>
      </c>
      <c r="G219" s="232">
        <v>11665.68</v>
      </c>
      <c r="H219" s="35">
        <v>8.5857930605919517</v>
      </c>
      <c r="I219" s="232">
        <v>12362.99</v>
      </c>
      <c r="J219" s="35">
        <v>7.5334918877662211</v>
      </c>
      <c r="K219" s="232">
        <v>16038.49</v>
      </c>
      <c r="L219" s="35">
        <v>8.3319895966643056</v>
      </c>
      <c r="M219" s="232">
        <v>42243.79</v>
      </c>
      <c r="N219" s="35">
        <v>7.174382872706734</v>
      </c>
      <c r="P219" s="232">
        <v>-28.08</v>
      </c>
      <c r="Q219" s="35">
        <v>1.0250537860160946E-2</v>
      </c>
      <c r="R219" s="232">
        <v>697.3</v>
      </c>
      <c r="S219" s="35">
        <v>1.0523011728257305</v>
      </c>
      <c r="T219" s="232">
        <v>26205.3</v>
      </c>
      <c r="U219" s="35">
        <v>1.1576067239575716</v>
      </c>
      <c r="W219" s="35">
        <f t="shared" si="25"/>
        <v>540.60689300804734</v>
      </c>
      <c r="X219" s="35">
        <f t="shared" si="26"/>
        <v>51917.758641286528</v>
      </c>
      <c r="Y219" s="35">
        <f t="shared" si="27"/>
        <v>31675.036197878577</v>
      </c>
      <c r="Z219" s="35">
        <f t="shared" si="28"/>
        <v>0</v>
      </c>
      <c r="AA219" s="35">
        <f t="shared" si="29"/>
        <v>1</v>
      </c>
      <c r="AB219" s="35">
        <f t="shared" si="30"/>
        <v>0</v>
      </c>
    </row>
    <row r="220" spans="1:28">
      <c r="A220" s="35">
        <v>209</v>
      </c>
      <c r="B220" s="35">
        <v>6.6356763802988272E-4</v>
      </c>
      <c r="C220" s="232">
        <v>87.69</v>
      </c>
      <c r="D220" s="35">
        <v>5.07254558408727</v>
      </c>
      <c r="E220" s="232">
        <v>52.7</v>
      </c>
      <c r="F220" s="35">
        <v>5.0572811856674438</v>
      </c>
      <c r="G220" s="232">
        <v>10233.6</v>
      </c>
      <c r="H220" s="35">
        <v>8.9009547479278393</v>
      </c>
      <c r="I220" s="232">
        <v>11793.5</v>
      </c>
      <c r="J220" s="35">
        <v>8.1965741643732724</v>
      </c>
      <c r="K220" s="232">
        <v>12677.11</v>
      </c>
      <c r="L220" s="35">
        <v>8.4389774651713996</v>
      </c>
      <c r="M220" s="232">
        <v>38708.93</v>
      </c>
      <c r="N220" s="35">
        <v>7.3851207347732268</v>
      </c>
      <c r="P220" s="232">
        <v>-34.99</v>
      </c>
      <c r="Q220" s="35">
        <v>1.5264398419826186E-2</v>
      </c>
      <c r="R220" s="232">
        <v>1559.9</v>
      </c>
      <c r="S220" s="35">
        <v>0.7043805835545669</v>
      </c>
      <c r="T220" s="232">
        <v>26031.82</v>
      </c>
      <c r="U220" s="35">
        <v>1.0538567303981727</v>
      </c>
      <c r="W220" s="35">
        <f t="shared" si="25"/>
        <v>798.20992099130933</v>
      </c>
      <c r="X220" s="35">
        <f t="shared" si="26"/>
        <v>33659.12917772834</v>
      </c>
      <c r="Y220" s="35">
        <f t="shared" si="27"/>
        <v>26661.01651990864</v>
      </c>
      <c r="Z220" s="35">
        <f t="shared" si="28"/>
        <v>0</v>
      </c>
      <c r="AA220" s="35">
        <f t="shared" si="29"/>
        <v>1</v>
      </c>
      <c r="AB220" s="35">
        <f t="shared" si="30"/>
        <v>0</v>
      </c>
    </row>
    <row r="221" spans="1:28">
      <c r="A221" s="35">
        <v>210</v>
      </c>
      <c r="B221" s="35">
        <v>3.9612023632419483E-4</v>
      </c>
      <c r="C221" s="232">
        <v>76.27</v>
      </c>
      <c r="D221" s="35">
        <v>5.0563719700417638</v>
      </c>
      <c r="E221" s="232">
        <v>43.56</v>
      </c>
      <c r="F221" s="35">
        <v>5.0475709211681181</v>
      </c>
      <c r="G221" s="232">
        <v>14074.2</v>
      </c>
      <c r="H221" s="35">
        <v>7.9558652100901561</v>
      </c>
      <c r="I221" s="232">
        <v>13703.11</v>
      </c>
      <c r="J221" s="35">
        <v>6.6793631634575554</v>
      </c>
      <c r="K221" s="232">
        <v>21942.63</v>
      </c>
      <c r="L221" s="35">
        <v>8.6879854320358429</v>
      </c>
      <c r="M221" s="232">
        <v>48221.89</v>
      </c>
      <c r="N221" s="35">
        <v>7.6053295431675494</v>
      </c>
      <c r="P221" s="232">
        <v>-32.72</v>
      </c>
      <c r="Q221" s="35">
        <v>8.8010488736456338E-3</v>
      </c>
      <c r="R221" s="232">
        <v>-371.09</v>
      </c>
      <c r="S221" s="35">
        <v>1.2765020466326007</v>
      </c>
      <c r="T221" s="232">
        <v>26279.26</v>
      </c>
      <c r="U221" s="35">
        <v>1.0826558888682936</v>
      </c>
      <c r="W221" s="35">
        <f t="shared" si="25"/>
        <v>472.77244368228173</v>
      </c>
      <c r="X221" s="35">
        <f t="shared" si="26"/>
        <v>64196.192331630031</v>
      </c>
      <c r="Y221" s="35">
        <f t="shared" si="27"/>
        <v>27853.534443414679</v>
      </c>
      <c r="Z221" s="35">
        <f t="shared" si="28"/>
        <v>0</v>
      </c>
      <c r="AA221" s="35">
        <f t="shared" si="29"/>
        <v>1</v>
      </c>
      <c r="AB221" s="35">
        <f t="shared" si="30"/>
        <v>0</v>
      </c>
    </row>
    <row r="222" spans="1:28">
      <c r="A222" s="35">
        <v>211</v>
      </c>
      <c r="B222" s="35">
        <v>4.3714171479536281E-4</v>
      </c>
      <c r="C222" s="232">
        <v>67.64</v>
      </c>
      <c r="D222" s="35">
        <v>5.0585945941331989</v>
      </c>
      <c r="E222" s="232">
        <v>39.979999999999997</v>
      </c>
      <c r="F222" s="35">
        <v>5.0490189991308583</v>
      </c>
      <c r="G222" s="232">
        <v>11245.48</v>
      </c>
      <c r="H222" s="35">
        <v>8.0494797421654614</v>
      </c>
      <c r="I222" s="232">
        <v>12622.09</v>
      </c>
      <c r="J222" s="35">
        <v>7.4863997195882614</v>
      </c>
      <c r="K222" s="232">
        <v>16717.8</v>
      </c>
      <c r="L222" s="35">
        <v>8.5695025159078924</v>
      </c>
      <c r="M222" s="232">
        <v>42817.55</v>
      </c>
      <c r="N222" s="35">
        <v>7.4666224546840336</v>
      </c>
      <c r="P222" s="232">
        <v>-27.67</v>
      </c>
      <c r="Q222" s="35">
        <v>9.57559500234062E-3</v>
      </c>
      <c r="R222" s="232">
        <v>1376.62</v>
      </c>
      <c r="S222" s="35">
        <v>0.56308002257719991</v>
      </c>
      <c r="T222" s="232">
        <v>26099.75</v>
      </c>
      <c r="U222" s="35">
        <v>1.1028800612238587</v>
      </c>
      <c r="W222" s="35">
        <f t="shared" si="25"/>
        <v>506.44975011703099</v>
      </c>
      <c r="X222" s="35">
        <f t="shared" si="26"/>
        <v>26777.381128859997</v>
      </c>
      <c r="Y222" s="35">
        <f t="shared" si="27"/>
        <v>29044.25306119294</v>
      </c>
      <c r="Z222" s="35">
        <f t="shared" si="28"/>
        <v>0</v>
      </c>
      <c r="AA222" s="35">
        <f t="shared" si="29"/>
        <v>0</v>
      </c>
      <c r="AB222" s="35">
        <f t="shared" si="30"/>
        <v>1</v>
      </c>
    </row>
    <row r="223" spans="1:28">
      <c r="A223" s="35">
        <v>212</v>
      </c>
      <c r="B223" s="35">
        <v>3.8843593668884743E-4</v>
      </c>
      <c r="C223" s="232">
        <v>54.98</v>
      </c>
      <c r="D223" s="35">
        <v>5.0581662541353305</v>
      </c>
      <c r="E223" s="232">
        <v>35.07</v>
      </c>
      <c r="F223" s="35">
        <v>5.0494869835481815</v>
      </c>
      <c r="G223" s="232">
        <v>10894.09</v>
      </c>
      <c r="H223" s="35">
        <v>8.7571028573749228</v>
      </c>
      <c r="I223" s="232">
        <v>11641.79</v>
      </c>
      <c r="J223" s="35">
        <v>7.6013155128028238</v>
      </c>
      <c r="K223" s="232">
        <v>15723.12</v>
      </c>
      <c r="L223" s="35">
        <v>8.4488707168683828</v>
      </c>
      <c r="M223" s="232">
        <v>41954.46</v>
      </c>
      <c r="N223" s="35">
        <v>7.2852718524176101</v>
      </c>
      <c r="P223" s="232">
        <v>-19.91</v>
      </c>
      <c r="Q223" s="35">
        <v>8.6792705871490128E-3</v>
      </c>
      <c r="R223" s="232">
        <v>747.7</v>
      </c>
      <c r="S223" s="35">
        <v>1.155787344572099</v>
      </c>
      <c r="T223" s="232">
        <v>26231.34</v>
      </c>
      <c r="U223" s="35">
        <v>1.1635988644507727</v>
      </c>
      <c r="W223" s="35">
        <f t="shared" si="25"/>
        <v>453.87352935745065</v>
      </c>
      <c r="X223" s="35">
        <f t="shared" si="26"/>
        <v>57041.667228604951</v>
      </c>
      <c r="Y223" s="35">
        <f t="shared" si="27"/>
        <v>31948.603222538633</v>
      </c>
      <c r="Z223" s="35">
        <f t="shared" si="28"/>
        <v>0</v>
      </c>
      <c r="AA223" s="35">
        <f t="shared" si="29"/>
        <v>1</v>
      </c>
      <c r="AB223" s="35">
        <f t="shared" si="30"/>
        <v>0</v>
      </c>
    </row>
    <row r="224" spans="1:28">
      <c r="A224" s="35">
        <v>213</v>
      </c>
      <c r="B224" s="35">
        <v>4.5550334495680911E-4</v>
      </c>
      <c r="C224" s="232">
        <v>73.58</v>
      </c>
      <c r="D224" s="35">
        <v>5.064245514321061</v>
      </c>
      <c r="E224" s="232">
        <v>49.54</v>
      </c>
      <c r="F224" s="35">
        <v>5.0543326568740854</v>
      </c>
      <c r="G224" s="232">
        <v>12727.14</v>
      </c>
      <c r="H224" s="35">
        <v>9.3624612052533376</v>
      </c>
      <c r="I224" s="232">
        <v>14648.53</v>
      </c>
      <c r="J224" s="35">
        <v>8.3625123370576038</v>
      </c>
      <c r="K224" s="232">
        <v>12094.16</v>
      </c>
      <c r="L224" s="35">
        <v>8.8450567259965052</v>
      </c>
      <c r="M224" s="232">
        <v>37966.42</v>
      </c>
      <c r="N224" s="35">
        <v>7.8205696325467731</v>
      </c>
      <c r="P224" s="232">
        <v>-24.04</v>
      </c>
      <c r="Q224" s="35">
        <v>9.9128574469755648E-3</v>
      </c>
      <c r="R224" s="232">
        <v>1921.39</v>
      </c>
      <c r="S224" s="35">
        <v>0.99994886819573381</v>
      </c>
      <c r="T224" s="232">
        <v>25872.26</v>
      </c>
      <c r="U224" s="35">
        <v>1.0244870934497321</v>
      </c>
      <c r="W224" s="35">
        <f t="shared" si="25"/>
        <v>519.68287234877823</v>
      </c>
      <c r="X224" s="35">
        <f t="shared" si="26"/>
        <v>48076.053409786691</v>
      </c>
      <c r="Y224" s="35">
        <f t="shared" si="27"/>
        <v>25352.094672486604</v>
      </c>
      <c r="Z224" s="35">
        <f t="shared" si="28"/>
        <v>0</v>
      </c>
      <c r="AA224" s="35">
        <f t="shared" si="29"/>
        <v>1</v>
      </c>
      <c r="AB224" s="35">
        <f t="shared" si="30"/>
        <v>0</v>
      </c>
    </row>
    <row r="225" spans="1:28">
      <c r="A225" s="35">
        <v>214</v>
      </c>
      <c r="B225" s="35">
        <v>4.822645474168441E-4</v>
      </c>
      <c r="C225" s="232">
        <v>56.01</v>
      </c>
      <c r="D225" s="35">
        <v>5.0658649823157571</v>
      </c>
      <c r="E225" s="232">
        <v>33.35</v>
      </c>
      <c r="F225" s="35">
        <v>5.0527299885000234</v>
      </c>
      <c r="G225" s="232">
        <v>9133.44</v>
      </c>
      <c r="H225" s="35">
        <v>9.3377901300488055</v>
      </c>
      <c r="I225" s="232">
        <v>10770.72</v>
      </c>
      <c r="J225" s="35">
        <v>8.2448979911140796</v>
      </c>
      <c r="K225" s="232">
        <v>10255.66</v>
      </c>
      <c r="L225" s="35">
        <v>9.0209155468431774</v>
      </c>
      <c r="M225" s="232">
        <v>36111.79</v>
      </c>
      <c r="N225" s="35">
        <v>7.8649391423257571</v>
      </c>
      <c r="P225" s="232">
        <v>-22.67</v>
      </c>
      <c r="Q225" s="35">
        <v>1.3134993815733687E-2</v>
      </c>
      <c r="R225" s="232">
        <v>1637.28</v>
      </c>
      <c r="S225" s="35">
        <v>1.0928921389347259</v>
      </c>
      <c r="T225" s="232">
        <v>25856.12</v>
      </c>
      <c r="U225" s="35">
        <v>1.1559764045174203</v>
      </c>
      <c r="W225" s="35">
        <f t="shared" si="25"/>
        <v>679.41969078668433</v>
      </c>
      <c r="X225" s="35">
        <f t="shared" si="26"/>
        <v>53007.326946736299</v>
      </c>
      <c r="Y225" s="35">
        <f t="shared" si="27"/>
        <v>31942.700225871016</v>
      </c>
      <c r="Z225" s="35">
        <f t="shared" si="28"/>
        <v>0</v>
      </c>
      <c r="AA225" s="35">
        <f t="shared" si="29"/>
        <v>1</v>
      </c>
      <c r="AB225" s="35">
        <f t="shared" si="30"/>
        <v>0</v>
      </c>
    </row>
    <row r="226" spans="1:28">
      <c r="A226" s="35">
        <v>215</v>
      </c>
      <c r="B226" s="35">
        <v>3.9469436695575041E-4</v>
      </c>
      <c r="C226" s="232">
        <v>66.02</v>
      </c>
      <c r="D226" s="35">
        <v>5.0590776948590799</v>
      </c>
      <c r="E226" s="232">
        <v>42.37</v>
      </c>
      <c r="F226" s="35">
        <v>5.050324029820823</v>
      </c>
      <c r="G226" s="232">
        <v>12239.81</v>
      </c>
      <c r="H226" s="35">
        <v>8.8951175121792758</v>
      </c>
      <c r="I226" s="232">
        <v>12405.52</v>
      </c>
      <c r="J226" s="35">
        <v>7.8144411644980583</v>
      </c>
      <c r="K226" s="232">
        <v>17959.810000000001</v>
      </c>
      <c r="L226" s="35">
        <v>8.6518393511174487</v>
      </c>
      <c r="M226" s="232">
        <v>44141.09</v>
      </c>
      <c r="N226" s="35">
        <v>7.477148383487739</v>
      </c>
      <c r="P226" s="232">
        <v>-23.65</v>
      </c>
      <c r="Q226" s="35">
        <v>8.7536650382569192E-3</v>
      </c>
      <c r="R226" s="232">
        <v>165.71</v>
      </c>
      <c r="S226" s="35">
        <v>1.0806763476812176</v>
      </c>
      <c r="T226" s="232">
        <v>26181.29</v>
      </c>
      <c r="U226" s="35">
        <v>1.1746909676297097</v>
      </c>
      <c r="W226" s="35">
        <f t="shared" si="25"/>
        <v>461.33325191284592</v>
      </c>
      <c r="X226" s="35">
        <f t="shared" si="26"/>
        <v>53868.107384060881</v>
      </c>
      <c r="Y226" s="35">
        <f t="shared" si="27"/>
        <v>32553.258381485488</v>
      </c>
      <c r="Z226" s="35">
        <f t="shared" si="28"/>
        <v>0</v>
      </c>
      <c r="AA226" s="35">
        <f t="shared" si="29"/>
        <v>1</v>
      </c>
      <c r="AB226" s="35">
        <f t="shared" si="30"/>
        <v>0</v>
      </c>
    </row>
    <row r="227" spans="1:28">
      <c r="A227" s="35">
        <v>216</v>
      </c>
      <c r="B227" s="35">
        <v>3.6616411675865373E-4</v>
      </c>
      <c r="C227" s="232">
        <v>56.27</v>
      </c>
      <c r="D227" s="35">
        <v>5.0566010847574576</v>
      </c>
      <c r="E227" s="232">
        <v>40.71</v>
      </c>
      <c r="F227" s="35">
        <v>5.0502204982960013</v>
      </c>
      <c r="G227" s="232">
        <v>12017.01</v>
      </c>
      <c r="H227" s="35">
        <v>8.5965564641532577</v>
      </c>
      <c r="I227" s="232">
        <v>13054.36</v>
      </c>
      <c r="J227" s="35">
        <v>7.0757827566008471</v>
      </c>
      <c r="K227" s="232">
        <v>14464.62</v>
      </c>
      <c r="L227" s="35">
        <v>8.3212695454484464</v>
      </c>
      <c r="M227" s="232">
        <v>40600.699999999997</v>
      </c>
      <c r="N227" s="35">
        <v>7.1708107479763825</v>
      </c>
      <c r="P227" s="232">
        <v>-15.56</v>
      </c>
      <c r="Q227" s="35">
        <v>6.380586461456339E-3</v>
      </c>
      <c r="R227" s="232">
        <v>1037.3499999999999</v>
      </c>
      <c r="S227" s="35">
        <v>1.5207737075524106</v>
      </c>
      <c r="T227" s="232">
        <v>26136.07</v>
      </c>
      <c r="U227" s="35">
        <v>1.1504587974720639</v>
      </c>
      <c r="W227" s="35">
        <f t="shared" si="25"/>
        <v>334.58932307281697</v>
      </c>
      <c r="X227" s="35">
        <f t="shared" si="26"/>
        <v>75001.335377620519</v>
      </c>
      <c r="Y227" s="35">
        <f t="shared" si="27"/>
        <v>31386.869873603195</v>
      </c>
      <c r="Z227" s="35">
        <f t="shared" si="28"/>
        <v>0</v>
      </c>
      <c r="AA227" s="35">
        <f t="shared" si="29"/>
        <v>1</v>
      </c>
      <c r="AB227" s="35">
        <f t="shared" si="30"/>
        <v>0</v>
      </c>
    </row>
    <row r="228" spans="1:28">
      <c r="A228" s="35">
        <v>217</v>
      </c>
      <c r="B228" s="35">
        <v>3.9049204536354196E-4</v>
      </c>
      <c r="C228" s="232">
        <v>53.91</v>
      </c>
      <c r="D228" s="35">
        <v>5.0578463100380295</v>
      </c>
      <c r="E228" s="232">
        <v>33.5</v>
      </c>
      <c r="F228" s="35">
        <v>5.048948821252913</v>
      </c>
      <c r="G228" s="232">
        <v>10516.04</v>
      </c>
      <c r="H228" s="35">
        <v>8.3767596971658111</v>
      </c>
      <c r="I228" s="232">
        <v>11317.55</v>
      </c>
      <c r="J228" s="35">
        <v>6.8620819360162582</v>
      </c>
      <c r="K228" s="232">
        <v>13994.17</v>
      </c>
      <c r="L228" s="35">
        <v>8.9880780454942641</v>
      </c>
      <c r="M228" s="232">
        <v>40145.74</v>
      </c>
      <c r="N228" s="35">
        <v>7.949337865273268</v>
      </c>
      <c r="P228" s="232">
        <v>-20.41</v>
      </c>
      <c r="Q228" s="35">
        <v>8.8974887851165363E-3</v>
      </c>
      <c r="R228" s="232">
        <v>801.51</v>
      </c>
      <c r="S228" s="35">
        <v>1.514677761149553</v>
      </c>
      <c r="T228" s="232">
        <v>26151.57</v>
      </c>
      <c r="U228" s="35">
        <v>1.0387401802209961</v>
      </c>
      <c r="W228" s="35">
        <f t="shared" si="25"/>
        <v>465.28443925582684</v>
      </c>
      <c r="X228" s="35">
        <f t="shared" si="26"/>
        <v>74932.378057477661</v>
      </c>
      <c r="Y228" s="35">
        <f t="shared" si="27"/>
        <v>25785.439011049806</v>
      </c>
      <c r="Z228" s="35">
        <f t="shared" si="28"/>
        <v>0</v>
      </c>
      <c r="AA228" s="35">
        <f t="shared" si="29"/>
        <v>1</v>
      </c>
      <c r="AB228" s="35">
        <f t="shared" si="30"/>
        <v>0</v>
      </c>
    </row>
    <row r="229" spans="1:28">
      <c r="A229" s="35">
        <v>218</v>
      </c>
      <c r="B229" s="35">
        <v>3.2052410791646177E-4</v>
      </c>
      <c r="C229" s="232">
        <v>53.8</v>
      </c>
      <c r="D229" s="35">
        <v>5.0539245933152159</v>
      </c>
      <c r="E229" s="232">
        <v>34.43</v>
      </c>
      <c r="F229" s="35">
        <v>5.047072152927722</v>
      </c>
      <c r="G229" s="232">
        <v>12745.06</v>
      </c>
      <c r="H229" s="35">
        <v>8.3417354288551433</v>
      </c>
      <c r="I229" s="232">
        <v>13107.75</v>
      </c>
      <c r="J229" s="35">
        <v>6.5801578505377618</v>
      </c>
      <c r="K229" s="232">
        <v>15782.62</v>
      </c>
      <c r="L229" s="35">
        <v>8.6888898904055978</v>
      </c>
      <c r="M229" s="232">
        <v>41935.230000000003</v>
      </c>
      <c r="N229" s="35">
        <v>7.4837953400746153</v>
      </c>
      <c r="P229" s="232">
        <v>-19.38</v>
      </c>
      <c r="Q229" s="35">
        <v>6.8524403874938855E-3</v>
      </c>
      <c r="R229" s="232">
        <v>362.69</v>
      </c>
      <c r="S229" s="35">
        <v>1.7615775783173815</v>
      </c>
      <c r="T229" s="232">
        <v>26152.61</v>
      </c>
      <c r="U229" s="35">
        <v>1.2050945503309825</v>
      </c>
      <c r="W229" s="35">
        <f t="shared" si="25"/>
        <v>362.00201937469427</v>
      </c>
      <c r="X229" s="35">
        <f t="shared" si="26"/>
        <v>87716.188915869076</v>
      </c>
      <c r="Y229" s="35">
        <f t="shared" si="27"/>
        <v>34102.117516549122</v>
      </c>
      <c r="Z229" s="35">
        <f t="shared" si="28"/>
        <v>0</v>
      </c>
      <c r="AA229" s="35">
        <f t="shared" si="29"/>
        <v>1</v>
      </c>
      <c r="AB229" s="35">
        <f t="shared" si="30"/>
        <v>0</v>
      </c>
    </row>
    <row r="230" spans="1:28">
      <c r="A230" s="35">
        <v>219</v>
      </c>
      <c r="B230" s="35">
        <v>3.7804414795278247E-4</v>
      </c>
      <c r="C230" s="232">
        <v>54.03</v>
      </c>
      <c r="D230" s="35">
        <v>5.0582539585623252</v>
      </c>
      <c r="E230" s="232">
        <v>31.78</v>
      </c>
      <c r="F230" s="35">
        <v>5.0485025859764274</v>
      </c>
      <c r="G230" s="232">
        <v>11735.22</v>
      </c>
      <c r="H230" s="35">
        <v>9.0744012611803253</v>
      </c>
      <c r="I230" s="232">
        <v>13629.42</v>
      </c>
      <c r="J230" s="35">
        <v>8.1852966678573509</v>
      </c>
      <c r="K230" s="232">
        <v>12628.55</v>
      </c>
      <c r="L230" s="35">
        <v>8.5322873957255929</v>
      </c>
      <c r="M230" s="232">
        <v>38522</v>
      </c>
      <c r="N230" s="35">
        <v>7.4234576602779745</v>
      </c>
      <c r="P230" s="232">
        <v>-22.25</v>
      </c>
      <c r="Q230" s="35">
        <v>9.7513725858977551E-3</v>
      </c>
      <c r="R230" s="232">
        <v>1894.2</v>
      </c>
      <c r="S230" s="35">
        <v>0.88910459332297442</v>
      </c>
      <c r="T230" s="232">
        <v>25893.45</v>
      </c>
      <c r="U230" s="35">
        <v>1.1088297354476184</v>
      </c>
      <c r="W230" s="35">
        <f t="shared" si="25"/>
        <v>509.81862929488773</v>
      </c>
      <c r="X230" s="35">
        <f t="shared" si="26"/>
        <v>42561.029666148723</v>
      </c>
      <c r="Y230" s="35">
        <f t="shared" si="27"/>
        <v>29548.036772380921</v>
      </c>
      <c r="Z230" s="35">
        <f t="shared" si="28"/>
        <v>0</v>
      </c>
      <c r="AA230" s="35">
        <f t="shared" si="29"/>
        <v>1</v>
      </c>
      <c r="AB230" s="35">
        <f t="shared" si="30"/>
        <v>0</v>
      </c>
    </row>
    <row r="231" spans="1:28">
      <c r="A231" s="35">
        <v>220</v>
      </c>
      <c r="B231" s="35">
        <v>3.8862486958351605E-4</v>
      </c>
      <c r="C231" s="232">
        <v>51.18</v>
      </c>
      <c r="D231" s="35">
        <v>5.0592303440296131</v>
      </c>
      <c r="E231" s="232">
        <v>31.92</v>
      </c>
      <c r="F231" s="35">
        <v>5.0496866465599899</v>
      </c>
      <c r="G231" s="232">
        <v>10348.09</v>
      </c>
      <c r="H231" s="35">
        <v>9.0573650543966071</v>
      </c>
      <c r="I231" s="232">
        <v>11857.67</v>
      </c>
      <c r="J231" s="35">
        <v>7.2505245269942984</v>
      </c>
      <c r="K231" s="232">
        <v>10367.82</v>
      </c>
      <c r="L231" s="35">
        <v>8.6807389810028432</v>
      </c>
      <c r="M231" s="232">
        <v>36310.79</v>
      </c>
      <c r="N231" s="35">
        <v>7.5237876723696733</v>
      </c>
      <c r="P231" s="232">
        <v>-19.260000000000002</v>
      </c>
      <c r="Q231" s="35">
        <v>9.5436974696232468E-3</v>
      </c>
      <c r="R231" s="232">
        <v>1509.58</v>
      </c>
      <c r="S231" s="35">
        <v>1.8068405274023087</v>
      </c>
      <c r="T231" s="232">
        <v>25942.97</v>
      </c>
      <c r="U231" s="35">
        <v>1.15695130863317</v>
      </c>
      <c r="W231" s="35">
        <f t="shared" si="25"/>
        <v>496.44487348116235</v>
      </c>
      <c r="X231" s="35">
        <f t="shared" si="26"/>
        <v>88832.446370115431</v>
      </c>
      <c r="Y231" s="35">
        <f t="shared" si="27"/>
        <v>31904.595431658498</v>
      </c>
      <c r="Z231" s="35">
        <f t="shared" si="28"/>
        <v>0</v>
      </c>
      <c r="AA231" s="35">
        <f t="shared" si="29"/>
        <v>1</v>
      </c>
      <c r="AB231" s="35">
        <f t="shared" si="30"/>
        <v>0</v>
      </c>
    </row>
    <row r="232" spans="1:28">
      <c r="A232" s="35">
        <v>221</v>
      </c>
      <c r="B232" s="35">
        <v>2.9415303284923317E-4</v>
      </c>
      <c r="C232" s="232">
        <v>39.49</v>
      </c>
      <c r="D232" s="35">
        <v>5.0528476756770218</v>
      </c>
      <c r="E232" s="232">
        <v>27.48</v>
      </c>
      <c r="F232" s="35">
        <v>5.0469259407881504</v>
      </c>
      <c r="G232" s="232">
        <v>10378.92</v>
      </c>
      <c r="H232" s="35">
        <v>8.3340580497432288</v>
      </c>
      <c r="I232" s="232">
        <v>11803.25</v>
      </c>
      <c r="J232" s="35">
        <v>6.7940127449755821</v>
      </c>
      <c r="K232" s="232">
        <v>11414.09</v>
      </c>
      <c r="L232" s="35">
        <v>8.8815852352999531</v>
      </c>
      <c r="M232" s="232">
        <v>37361.879999999997</v>
      </c>
      <c r="N232" s="35">
        <v>7.7754189837114271</v>
      </c>
      <c r="P232" s="232">
        <v>-12.01</v>
      </c>
      <c r="Q232" s="35">
        <v>5.9217348888713772E-3</v>
      </c>
      <c r="R232" s="232">
        <v>1424.33</v>
      </c>
      <c r="S232" s="35">
        <v>1.5400453047676468</v>
      </c>
      <c r="T232" s="232">
        <v>25947.79</v>
      </c>
      <c r="U232" s="35">
        <v>1.106166251588526</v>
      </c>
      <c r="W232" s="35">
        <f t="shared" si="25"/>
        <v>308.09674444356887</v>
      </c>
      <c r="X232" s="35">
        <f t="shared" si="26"/>
        <v>75577.935238382343</v>
      </c>
      <c r="Y232" s="35">
        <f t="shared" si="27"/>
        <v>29360.522579426302</v>
      </c>
      <c r="Z232" s="35">
        <f t="shared" si="28"/>
        <v>0</v>
      </c>
      <c r="AA232" s="35">
        <f t="shared" si="29"/>
        <v>1</v>
      </c>
      <c r="AB232" s="35">
        <f t="shared" si="30"/>
        <v>0</v>
      </c>
    </row>
    <row r="233" spans="1:28">
      <c r="A233" s="35">
        <v>222</v>
      </c>
      <c r="B233" s="35">
        <v>3.5293420352679736E-4</v>
      </c>
      <c r="C233" s="232">
        <v>61.19</v>
      </c>
      <c r="D233" s="35">
        <v>5.0585158103964565</v>
      </c>
      <c r="E233" s="232">
        <v>46.19</v>
      </c>
      <c r="F233" s="35">
        <v>5.0522332370291121</v>
      </c>
      <c r="G233" s="232">
        <v>13300.61</v>
      </c>
      <c r="H233" s="35">
        <v>9.2733767266100866</v>
      </c>
      <c r="I233" s="232">
        <v>15534.1</v>
      </c>
      <c r="J233" s="35">
        <v>9.2805102680416791</v>
      </c>
      <c r="K233" s="232">
        <v>16729.490000000002</v>
      </c>
      <c r="L233" s="35">
        <v>8.9091088213228513</v>
      </c>
      <c r="M233" s="232">
        <v>43017.93</v>
      </c>
      <c r="N233" s="35">
        <v>7.7698793465393372</v>
      </c>
      <c r="P233" s="232">
        <v>-15.01</v>
      </c>
      <c r="Q233" s="35">
        <v>6.2825733673443906E-3</v>
      </c>
      <c r="R233" s="232">
        <v>2233.4899999999998</v>
      </c>
      <c r="S233" s="35">
        <v>-7.133541431592505E-3</v>
      </c>
      <c r="T233" s="232">
        <v>26288.45</v>
      </c>
      <c r="U233" s="35">
        <v>1.1392294747835141</v>
      </c>
      <c r="W233" s="35">
        <f t="shared" si="25"/>
        <v>329.13866836721951</v>
      </c>
      <c r="X233" s="35">
        <f t="shared" si="26"/>
        <v>-2590.1670715796249</v>
      </c>
      <c r="Y233" s="35">
        <f t="shared" si="27"/>
        <v>30673.023739175707</v>
      </c>
      <c r="Z233" s="35">
        <f t="shared" si="28"/>
        <v>0</v>
      </c>
      <c r="AA233" s="35">
        <f t="shared" si="29"/>
        <v>0</v>
      </c>
      <c r="AB233" s="35">
        <f t="shared" si="30"/>
        <v>1</v>
      </c>
    </row>
    <row r="234" spans="1:28">
      <c r="A234" s="35">
        <v>223</v>
      </c>
      <c r="B234" s="35">
        <v>4.2730618377820779E-4</v>
      </c>
      <c r="C234" s="232">
        <v>52.23</v>
      </c>
      <c r="D234" s="35">
        <v>5.0577805742896436</v>
      </c>
      <c r="E234" s="232">
        <v>32.06</v>
      </c>
      <c r="F234" s="35">
        <v>5.0487169328430976</v>
      </c>
      <c r="G234" s="232">
        <v>8957.4</v>
      </c>
      <c r="H234" s="35">
        <v>7.7456897069608512</v>
      </c>
      <c r="I234" s="232">
        <v>11162.63</v>
      </c>
      <c r="J234" s="35">
        <v>7.7214624859919194</v>
      </c>
      <c r="K234" s="232">
        <v>12097.13</v>
      </c>
      <c r="L234" s="35">
        <v>8.7649404101059041</v>
      </c>
      <c r="M234" s="232">
        <v>37996.480000000003</v>
      </c>
      <c r="N234" s="35">
        <v>7.6341976932491962</v>
      </c>
      <c r="P234" s="232">
        <v>-20.18</v>
      </c>
      <c r="Q234" s="35">
        <v>9.0636414465459225E-3</v>
      </c>
      <c r="R234" s="232">
        <v>2205.23</v>
      </c>
      <c r="S234" s="35">
        <v>2.4227220968931817E-2</v>
      </c>
      <c r="T234" s="232">
        <v>25899.35</v>
      </c>
      <c r="U234" s="35">
        <v>1.1307427168567079</v>
      </c>
      <c r="W234" s="35">
        <f t="shared" si="25"/>
        <v>473.36207232729612</v>
      </c>
      <c r="X234" s="35">
        <f t="shared" si="26"/>
        <v>-993.86895155340926</v>
      </c>
      <c r="Y234" s="35">
        <f t="shared" si="27"/>
        <v>30637.785842835394</v>
      </c>
      <c r="Z234" s="35">
        <f t="shared" si="28"/>
        <v>0</v>
      </c>
      <c r="AA234" s="35">
        <f t="shared" si="29"/>
        <v>0</v>
      </c>
      <c r="AB234" s="35">
        <f t="shared" si="30"/>
        <v>1</v>
      </c>
    </row>
    <row r="235" spans="1:28">
      <c r="A235" s="35">
        <v>224</v>
      </c>
      <c r="B235" s="35">
        <v>5.4484508064644999E-4</v>
      </c>
      <c r="C235" s="232">
        <v>73.14</v>
      </c>
      <c r="D235" s="35">
        <v>5.0641506856933578</v>
      </c>
      <c r="E235" s="232">
        <v>41.59</v>
      </c>
      <c r="F235" s="35">
        <v>5.0515230679156824</v>
      </c>
      <c r="G235" s="232">
        <v>10616.32</v>
      </c>
      <c r="H235" s="35">
        <v>8.4887201274772526</v>
      </c>
      <c r="I235" s="232">
        <v>11396.03</v>
      </c>
      <c r="J235" s="35">
        <v>7.1894693627855046</v>
      </c>
      <c r="K235" s="232">
        <v>14452.78</v>
      </c>
      <c r="L235" s="35">
        <v>8.1944889705677255</v>
      </c>
      <c r="M235" s="232">
        <v>40481.67</v>
      </c>
      <c r="N235" s="35">
        <v>7.102520328517496</v>
      </c>
      <c r="P235" s="232">
        <v>-31.55</v>
      </c>
      <c r="Q235" s="35">
        <v>1.2627617777675404E-2</v>
      </c>
      <c r="R235" s="232">
        <v>779.72</v>
      </c>
      <c r="S235" s="35">
        <v>1.2992507646917479</v>
      </c>
      <c r="T235" s="232">
        <v>26028.89</v>
      </c>
      <c r="U235" s="35">
        <v>1.0919686420502295</v>
      </c>
      <c r="W235" s="35">
        <f t="shared" si="25"/>
        <v>662.93088888377019</v>
      </c>
      <c r="X235" s="35">
        <f t="shared" si="26"/>
        <v>64182.818234587394</v>
      </c>
      <c r="Y235" s="35">
        <f t="shared" si="27"/>
        <v>28569.542102511477</v>
      </c>
      <c r="Z235" s="35">
        <f t="shared" si="28"/>
        <v>0</v>
      </c>
      <c r="AA235" s="35">
        <f t="shared" si="29"/>
        <v>1</v>
      </c>
      <c r="AB235" s="35">
        <f t="shared" si="30"/>
        <v>0</v>
      </c>
    </row>
    <row r="236" spans="1:28">
      <c r="A236" s="35">
        <v>225</v>
      </c>
      <c r="B236" s="35">
        <v>4.5206142391485127E-4</v>
      </c>
      <c r="C236" s="232">
        <v>64.88</v>
      </c>
      <c r="D236" s="35">
        <v>5.0643154618332522</v>
      </c>
      <c r="E236" s="232">
        <v>45.43</v>
      </c>
      <c r="F236" s="35">
        <v>5.054911501015968</v>
      </c>
      <c r="G236" s="232">
        <v>11182.99</v>
      </c>
      <c r="H236" s="35">
        <v>9.3326045360849772</v>
      </c>
      <c r="I236" s="232">
        <v>12151.38</v>
      </c>
      <c r="J236" s="35">
        <v>8.0737072841569439</v>
      </c>
      <c r="K236" s="232">
        <v>14901.1</v>
      </c>
      <c r="L236" s="35">
        <v>9.0368739101600362</v>
      </c>
      <c r="M236" s="232">
        <v>41136.89</v>
      </c>
      <c r="N236" s="35">
        <v>7.930383601948547</v>
      </c>
      <c r="P236" s="232">
        <v>-19.45</v>
      </c>
      <c r="Q236" s="35">
        <v>9.4039608172842293E-3</v>
      </c>
      <c r="R236" s="232">
        <v>968.39</v>
      </c>
      <c r="S236" s="35">
        <v>1.2588972519280333</v>
      </c>
      <c r="T236" s="232">
        <v>26235.79</v>
      </c>
      <c r="U236" s="35">
        <v>1.1064903082114892</v>
      </c>
      <c r="W236" s="35">
        <f t="shared" si="25"/>
        <v>489.64804086421145</v>
      </c>
      <c r="X236" s="35">
        <f t="shared" si="26"/>
        <v>61976.472596401662</v>
      </c>
      <c r="Y236" s="35">
        <f t="shared" si="27"/>
        <v>29088.725410574458</v>
      </c>
      <c r="Z236" s="35">
        <f t="shared" si="28"/>
        <v>0</v>
      </c>
      <c r="AA236" s="35">
        <f t="shared" si="29"/>
        <v>1</v>
      </c>
      <c r="AB236" s="35">
        <f t="shared" si="30"/>
        <v>0</v>
      </c>
    </row>
    <row r="237" spans="1:28">
      <c r="A237" s="35">
        <v>226</v>
      </c>
      <c r="B237" s="35">
        <v>4.7563234080161276E-4</v>
      </c>
      <c r="C237" s="232">
        <v>76.52</v>
      </c>
      <c r="D237" s="35">
        <v>5.0635276784464143</v>
      </c>
      <c r="E237" s="232">
        <v>46.23</v>
      </c>
      <c r="F237" s="35">
        <v>5.0521627868384336</v>
      </c>
      <c r="G237" s="232">
        <v>13871.18</v>
      </c>
      <c r="H237" s="35">
        <v>9.1578576711489355</v>
      </c>
      <c r="I237" s="232">
        <v>16870.509999999998</v>
      </c>
      <c r="J237" s="35">
        <v>7.3224120511423454</v>
      </c>
      <c r="K237" s="232">
        <v>12906.53</v>
      </c>
      <c r="L237" s="35">
        <v>8.4386760050669807</v>
      </c>
      <c r="M237" s="232">
        <v>38945.68</v>
      </c>
      <c r="N237" s="35">
        <v>7.40088690251077</v>
      </c>
      <c r="P237" s="232">
        <v>-30.3</v>
      </c>
      <c r="Q237" s="35">
        <v>1.1364891607980709E-2</v>
      </c>
      <c r="R237" s="232">
        <v>2999.34</v>
      </c>
      <c r="S237" s="35">
        <v>1.8354456200065901</v>
      </c>
      <c r="T237" s="232">
        <v>26039.15</v>
      </c>
      <c r="U237" s="35">
        <v>1.0377891025562107</v>
      </c>
      <c r="W237" s="35">
        <f t="shared" si="25"/>
        <v>598.54458039903545</v>
      </c>
      <c r="X237" s="35">
        <f t="shared" si="26"/>
        <v>88772.941000329505</v>
      </c>
      <c r="Y237" s="35">
        <f t="shared" si="27"/>
        <v>25850.305127810534</v>
      </c>
      <c r="Z237" s="35">
        <f t="shared" si="28"/>
        <v>0</v>
      </c>
      <c r="AA237" s="35">
        <f t="shared" si="29"/>
        <v>1</v>
      </c>
      <c r="AB237" s="35">
        <f t="shared" si="30"/>
        <v>0</v>
      </c>
    </row>
    <row r="238" spans="1:28">
      <c r="A238" s="35">
        <v>227</v>
      </c>
      <c r="B238" s="35">
        <v>4.8596731151284711E-4</v>
      </c>
      <c r="C238" s="232">
        <v>71.72</v>
      </c>
      <c r="D238" s="35">
        <v>5.0615450712024508</v>
      </c>
      <c r="E238" s="232">
        <v>40.090000000000003</v>
      </c>
      <c r="F238" s="35">
        <v>5.0499184287835099</v>
      </c>
      <c r="G238" s="232">
        <v>11374.45</v>
      </c>
      <c r="H238" s="35">
        <v>8.3837748569486674</v>
      </c>
      <c r="I238" s="232">
        <v>11897.64</v>
      </c>
      <c r="J238" s="35">
        <v>6.8078449841157092</v>
      </c>
      <c r="K238" s="232">
        <v>14522.99</v>
      </c>
      <c r="L238" s="35">
        <v>8.5217157753060544</v>
      </c>
      <c r="M238" s="232">
        <v>40526.1</v>
      </c>
      <c r="N238" s="35">
        <v>7.4394212765503118</v>
      </c>
      <c r="P238" s="232">
        <v>-31.63</v>
      </c>
      <c r="Q238" s="35">
        <v>1.1626642418940847E-2</v>
      </c>
      <c r="R238" s="232">
        <v>523.19000000000005</v>
      </c>
      <c r="S238" s="35">
        <v>1.5759298728329583</v>
      </c>
      <c r="T238" s="232">
        <v>26003.119999999999</v>
      </c>
      <c r="U238" s="35">
        <v>1.0822944987557426</v>
      </c>
      <c r="W238" s="35">
        <f t="shared" si="25"/>
        <v>612.96212094704231</v>
      </c>
      <c r="X238" s="35">
        <f t="shared" si="26"/>
        <v>78273.303641647915</v>
      </c>
      <c r="Y238" s="35">
        <f t="shared" si="27"/>
        <v>28111.604937787128</v>
      </c>
      <c r="Z238" s="35">
        <f t="shared" si="28"/>
        <v>0</v>
      </c>
      <c r="AA238" s="35">
        <f t="shared" si="29"/>
        <v>1</v>
      </c>
      <c r="AB238" s="35">
        <f t="shared" si="30"/>
        <v>0</v>
      </c>
    </row>
    <row r="239" spans="1:28">
      <c r="A239" s="35">
        <v>228</v>
      </c>
      <c r="B239" s="35">
        <v>4.7325588903468496E-4</v>
      </c>
      <c r="C239" s="232">
        <v>65.930000000000007</v>
      </c>
      <c r="D239" s="35">
        <v>5.0618064455451375</v>
      </c>
      <c r="E239" s="232">
        <v>45.58</v>
      </c>
      <c r="F239" s="35">
        <v>5.053107608252132</v>
      </c>
      <c r="G239" s="232">
        <v>10551.5</v>
      </c>
      <c r="H239" s="35">
        <v>8.4628128515758441</v>
      </c>
      <c r="I239" s="232">
        <v>11589.43</v>
      </c>
      <c r="J239" s="35">
        <v>6.7912934463326744</v>
      </c>
      <c r="K239" s="232">
        <v>11595.76</v>
      </c>
      <c r="L239" s="35">
        <v>8.6131274101382207</v>
      </c>
      <c r="M239" s="232">
        <v>37499.72</v>
      </c>
      <c r="N239" s="35">
        <v>7.5383505615725026</v>
      </c>
      <c r="P239" s="232">
        <v>-20.350000000000001</v>
      </c>
      <c r="Q239" s="35">
        <v>8.698837293005468E-3</v>
      </c>
      <c r="R239" s="232">
        <v>1037.93</v>
      </c>
      <c r="S239" s="35">
        <v>1.6715194052431697</v>
      </c>
      <c r="T239" s="232">
        <v>25903.95</v>
      </c>
      <c r="U239" s="35">
        <v>1.0747768485657181</v>
      </c>
      <c r="W239" s="35">
        <f t="shared" si="25"/>
        <v>455.2918646502734</v>
      </c>
      <c r="X239" s="35">
        <f t="shared" si="26"/>
        <v>82538.040262158494</v>
      </c>
      <c r="Y239" s="35">
        <f t="shared" si="27"/>
        <v>27834.892428285904</v>
      </c>
      <c r="Z239" s="35">
        <f t="shared" si="28"/>
        <v>0</v>
      </c>
      <c r="AA239" s="35">
        <f t="shared" si="29"/>
        <v>1</v>
      </c>
      <c r="AB239" s="35">
        <f t="shared" si="30"/>
        <v>0</v>
      </c>
    </row>
    <row r="240" spans="1:28">
      <c r="A240" s="35">
        <v>229</v>
      </c>
      <c r="B240" s="35">
        <v>3.3886913253382939E-4</v>
      </c>
      <c r="C240" s="232">
        <v>38.79</v>
      </c>
      <c r="D240" s="35">
        <v>5.0553532386580287</v>
      </c>
      <c r="E240" s="232">
        <v>30.45</v>
      </c>
      <c r="F240" s="35">
        <v>5.0499619951361092</v>
      </c>
      <c r="G240" s="232">
        <v>9107.57</v>
      </c>
      <c r="H240" s="35">
        <v>8.5755378057511411</v>
      </c>
      <c r="I240" s="232">
        <v>11140.12</v>
      </c>
      <c r="J240" s="35">
        <v>7.6542947621984609</v>
      </c>
      <c r="K240" s="232">
        <v>9289.58</v>
      </c>
      <c r="L240" s="35">
        <v>8.454032562065013</v>
      </c>
      <c r="M240" s="232">
        <v>35075.61</v>
      </c>
      <c r="N240" s="35">
        <v>7.3000863485894927</v>
      </c>
      <c r="P240" s="232">
        <v>-8.34</v>
      </c>
      <c r="Q240" s="35">
        <v>5.3912435219194421E-3</v>
      </c>
      <c r="R240" s="232">
        <v>2032.55</v>
      </c>
      <c r="S240" s="35">
        <v>0.92124304355268016</v>
      </c>
      <c r="T240" s="232">
        <v>25786.03</v>
      </c>
      <c r="U240" s="35">
        <v>1.1539462134755203</v>
      </c>
      <c r="W240" s="35">
        <f t="shared" si="25"/>
        <v>277.9021760959721</v>
      </c>
      <c r="X240" s="35">
        <f t="shared" si="26"/>
        <v>44029.602177634006</v>
      </c>
      <c r="Y240" s="35">
        <f t="shared" si="27"/>
        <v>31911.280673776018</v>
      </c>
      <c r="Z240" s="35">
        <f t="shared" si="28"/>
        <v>0</v>
      </c>
      <c r="AA240" s="35">
        <f t="shared" si="29"/>
        <v>1</v>
      </c>
      <c r="AB240" s="35">
        <f t="shared" si="30"/>
        <v>0</v>
      </c>
    </row>
    <row r="241" spans="1:28">
      <c r="A241" s="35">
        <v>230</v>
      </c>
      <c r="B241" s="35">
        <v>4.7109564196290421E-4</v>
      </c>
      <c r="C241" s="232">
        <v>86.52</v>
      </c>
      <c r="D241" s="35">
        <v>5.0617053735107778</v>
      </c>
      <c r="E241" s="232">
        <v>54.55</v>
      </c>
      <c r="F241" s="35">
        <v>5.0519090830839488</v>
      </c>
      <c r="G241" s="232">
        <v>13291.79</v>
      </c>
      <c r="H241" s="35">
        <v>8.6330215028264856</v>
      </c>
      <c r="I241" s="232">
        <v>14377.74</v>
      </c>
      <c r="J241" s="35">
        <v>8.1754909175904906</v>
      </c>
      <c r="K241" s="232">
        <v>22017.54</v>
      </c>
      <c r="L241" s="35">
        <v>8.2920364132014281</v>
      </c>
      <c r="M241" s="232">
        <v>48598.16</v>
      </c>
      <c r="N241" s="35">
        <v>7.0958421315960294</v>
      </c>
      <c r="P241" s="232">
        <v>-31.97</v>
      </c>
      <c r="Q241" s="35">
        <v>9.7962904268289464E-3</v>
      </c>
      <c r="R241" s="232">
        <v>1085.95</v>
      </c>
      <c r="S241" s="35">
        <v>0.45753058523599499</v>
      </c>
      <c r="T241" s="232">
        <v>26580.62</v>
      </c>
      <c r="U241" s="35">
        <v>1.1961942816053988</v>
      </c>
      <c r="W241" s="35">
        <f t="shared" si="25"/>
        <v>521.78452134144732</v>
      </c>
      <c r="X241" s="35">
        <f t="shared" si="26"/>
        <v>21790.57926179975</v>
      </c>
      <c r="Y241" s="35">
        <f t="shared" si="27"/>
        <v>33229.094080269933</v>
      </c>
      <c r="Z241" s="35">
        <f t="shared" si="28"/>
        <v>0</v>
      </c>
      <c r="AA241" s="35">
        <f t="shared" si="29"/>
        <v>0</v>
      </c>
      <c r="AB241" s="35">
        <f t="shared" si="30"/>
        <v>1</v>
      </c>
    </row>
    <row r="242" spans="1:28">
      <c r="A242" s="35">
        <v>231</v>
      </c>
      <c r="B242" s="35">
        <v>5.8924391148207356E-4</v>
      </c>
      <c r="C242" s="232">
        <v>70.58</v>
      </c>
      <c r="D242" s="35">
        <v>5.0720758397312196</v>
      </c>
      <c r="E242" s="232">
        <v>42.55</v>
      </c>
      <c r="F242" s="35">
        <v>5.056734651872727</v>
      </c>
      <c r="G242" s="232">
        <v>9562.1299999999992</v>
      </c>
      <c r="H242" s="35">
        <v>9.3496066313821871</v>
      </c>
      <c r="I242" s="232">
        <v>11076.02</v>
      </c>
      <c r="J242" s="35">
        <v>7.692394568567761</v>
      </c>
      <c r="K242" s="232">
        <v>10152.780000000001</v>
      </c>
      <c r="L242" s="35">
        <v>9.1495269910982469</v>
      </c>
      <c r="M242" s="232">
        <v>35842.449999999997</v>
      </c>
      <c r="N242" s="35">
        <v>8.1383832647994971</v>
      </c>
      <c r="P242" s="232">
        <v>-28.04</v>
      </c>
      <c r="Q242" s="35">
        <v>1.5341187858492589E-2</v>
      </c>
      <c r="R242" s="232">
        <v>1513.89</v>
      </c>
      <c r="S242" s="35">
        <v>1.657212062814426</v>
      </c>
      <c r="T242" s="232">
        <v>25689.67</v>
      </c>
      <c r="U242" s="35">
        <v>1.0111437262987497</v>
      </c>
      <c r="W242" s="35">
        <f t="shared" si="25"/>
        <v>795.09939292462946</v>
      </c>
      <c r="X242" s="35">
        <f t="shared" si="26"/>
        <v>81346.713140721302</v>
      </c>
      <c r="Y242" s="35">
        <f t="shared" si="27"/>
        <v>24867.516314937486</v>
      </c>
      <c r="Z242" s="35">
        <f t="shared" si="28"/>
        <v>0</v>
      </c>
      <c r="AA242" s="35">
        <f t="shared" si="29"/>
        <v>1</v>
      </c>
      <c r="AB242" s="35">
        <f t="shared" si="30"/>
        <v>0</v>
      </c>
    </row>
    <row r="243" spans="1:28">
      <c r="A243" s="35">
        <v>232</v>
      </c>
      <c r="B243" s="35">
        <v>5.0842267929640528E-4</v>
      </c>
      <c r="C243" s="232">
        <v>80.099999999999994</v>
      </c>
      <c r="D243" s="35">
        <v>5.0619458752564306</v>
      </c>
      <c r="E243" s="232">
        <v>46.66</v>
      </c>
      <c r="F243" s="35">
        <v>5.050814796430191</v>
      </c>
      <c r="G243" s="232">
        <v>11783.92</v>
      </c>
      <c r="H243" s="35">
        <v>8.0616313433860451</v>
      </c>
      <c r="I243" s="232">
        <v>12667.25</v>
      </c>
      <c r="J243" s="35">
        <v>6.9636494188718423</v>
      </c>
      <c r="K243" s="232">
        <v>15720.18</v>
      </c>
      <c r="L243" s="35">
        <v>8.7917352392464991</v>
      </c>
      <c r="M243" s="232">
        <v>41791.58</v>
      </c>
      <c r="N243" s="35">
        <v>7.7266559337279821</v>
      </c>
      <c r="P243" s="232">
        <v>-33.450000000000003</v>
      </c>
      <c r="Q243" s="35">
        <v>1.1131078826239538E-2</v>
      </c>
      <c r="R243" s="232">
        <v>883.33</v>
      </c>
      <c r="S243" s="35">
        <v>1.0979819245142028</v>
      </c>
      <c r="T243" s="232">
        <v>26071.4</v>
      </c>
      <c r="U243" s="35">
        <v>1.065079305518517</v>
      </c>
      <c r="W243" s="35">
        <f t="shared" si="25"/>
        <v>590.00394131197697</v>
      </c>
      <c r="X243" s="35">
        <f t="shared" si="26"/>
        <v>54015.76622571014</v>
      </c>
      <c r="Y243" s="35">
        <f t="shared" si="27"/>
        <v>27182.565275925852</v>
      </c>
      <c r="Z243" s="35">
        <f t="shared" si="28"/>
        <v>0</v>
      </c>
      <c r="AA243" s="35">
        <f t="shared" si="29"/>
        <v>1</v>
      </c>
      <c r="AB243" s="35">
        <f t="shared" si="30"/>
        <v>0</v>
      </c>
    </row>
    <row r="244" spans="1:28">
      <c r="A244" s="35">
        <v>233</v>
      </c>
      <c r="B244" s="35">
        <v>3.8022412744193241E-4</v>
      </c>
      <c r="C244" s="232">
        <v>47.92</v>
      </c>
      <c r="D244" s="35">
        <v>5.0583305471168503</v>
      </c>
      <c r="E244" s="232">
        <v>29.55</v>
      </c>
      <c r="F244" s="35">
        <v>5.0489455550828994</v>
      </c>
      <c r="G244" s="232">
        <v>10686.47</v>
      </c>
      <c r="H244" s="35">
        <v>9.114487906604408</v>
      </c>
      <c r="I244" s="232">
        <v>13150.56</v>
      </c>
      <c r="J244" s="35">
        <v>8.2096651684084687</v>
      </c>
      <c r="K244" s="232">
        <v>9432.16</v>
      </c>
      <c r="L244" s="35">
        <v>8.4573960140260134</v>
      </c>
      <c r="M244" s="232">
        <v>35267.86</v>
      </c>
      <c r="N244" s="35">
        <v>7.3867100061027653</v>
      </c>
      <c r="P244" s="232">
        <v>-18.37</v>
      </c>
      <c r="Q244" s="35">
        <v>9.384992033950823E-3</v>
      </c>
      <c r="R244" s="232">
        <v>2464.09</v>
      </c>
      <c r="S244" s="35">
        <v>0.90482273819593928</v>
      </c>
      <c r="T244" s="232">
        <v>25835.7</v>
      </c>
      <c r="U244" s="35">
        <v>1.0706860079232481</v>
      </c>
      <c r="W244" s="35">
        <f t="shared" si="25"/>
        <v>487.61960169754116</v>
      </c>
      <c r="X244" s="35">
        <f t="shared" si="26"/>
        <v>42777.046909796962</v>
      </c>
      <c r="Y244" s="35">
        <f t="shared" si="27"/>
        <v>27698.600396162405</v>
      </c>
      <c r="Z244" s="35">
        <f t="shared" si="28"/>
        <v>0</v>
      </c>
      <c r="AA244" s="35">
        <f t="shared" si="29"/>
        <v>1</v>
      </c>
      <c r="AB244" s="35">
        <f t="shared" si="30"/>
        <v>0</v>
      </c>
    </row>
    <row r="245" spans="1:28">
      <c r="A245" s="35">
        <v>234</v>
      </c>
      <c r="B245" s="35">
        <v>4.2581324031161884E-4</v>
      </c>
      <c r="C245" s="232">
        <v>61.07</v>
      </c>
      <c r="D245" s="35">
        <v>5.0616343579984076</v>
      </c>
      <c r="E245" s="232">
        <v>38.31</v>
      </c>
      <c r="F245" s="35">
        <v>5.0513754894145135</v>
      </c>
      <c r="G245" s="232">
        <v>11767.64</v>
      </c>
      <c r="H245" s="35">
        <v>9.2586279804882796</v>
      </c>
      <c r="I245" s="232">
        <v>13549.08</v>
      </c>
      <c r="J245" s="35">
        <v>8.194995997854571</v>
      </c>
      <c r="K245" s="232">
        <v>13165.64</v>
      </c>
      <c r="L245" s="35">
        <v>8.7685081610618205</v>
      </c>
      <c r="M245" s="232">
        <v>39173.56</v>
      </c>
      <c r="N245" s="35">
        <v>7.7917509812377839</v>
      </c>
      <c r="P245" s="232">
        <v>-22.76</v>
      </c>
      <c r="Q245" s="35">
        <v>1.0258868583894021E-2</v>
      </c>
      <c r="R245" s="232">
        <v>1781.44</v>
      </c>
      <c r="S245" s="35">
        <v>1.0636319826337086</v>
      </c>
      <c r="T245" s="232">
        <v>26007.93</v>
      </c>
      <c r="U245" s="35">
        <v>0.97675717982403665</v>
      </c>
      <c r="W245" s="35">
        <f t="shared" si="25"/>
        <v>535.70342919470102</v>
      </c>
      <c r="X245" s="35">
        <f t="shared" si="26"/>
        <v>51400.159131685432</v>
      </c>
      <c r="Y245" s="35">
        <f t="shared" si="27"/>
        <v>22829.928991201828</v>
      </c>
      <c r="Z245" s="35">
        <f t="shared" si="28"/>
        <v>0</v>
      </c>
      <c r="AA245" s="35">
        <f t="shared" si="29"/>
        <v>1</v>
      </c>
      <c r="AB245" s="35">
        <f t="shared" si="30"/>
        <v>0</v>
      </c>
    </row>
    <row r="246" spans="1:28">
      <c r="A246" s="35">
        <v>235</v>
      </c>
      <c r="B246" s="35">
        <v>5.5386878326191269E-4</v>
      </c>
      <c r="C246" s="232">
        <v>88.09</v>
      </c>
      <c r="D246" s="35">
        <v>5.0659953867703456</v>
      </c>
      <c r="E246" s="232">
        <v>48.94</v>
      </c>
      <c r="F246" s="35">
        <v>5.0523501008980363</v>
      </c>
      <c r="G246" s="232">
        <v>12384.97</v>
      </c>
      <c r="H246" s="35">
        <v>8.5466507493389248</v>
      </c>
      <c r="I246" s="232">
        <v>13451.04</v>
      </c>
      <c r="J246" s="35">
        <v>7.6327214901275005</v>
      </c>
      <c r="K246" s="232">
        <v>17385.240000000002</v>
      </c>
      <c r="L246" s="35">
        <v>8.8527274549746586</v>
      </c>
      <c r="M246" s="232">
        <v>43574.06</v>
      </c>
      <c r="N246" s="35">
        <v>7.8852696972880967</v>
      </c>
      <c r="P246" s="232">
        <v>-39.15</v>
      </c>
      <c r="Q246" s="35">
        <v>1.3645285872309287E-2</v>
      </c>
      <c r="R246" s="232">
        <v>1066.07</v>
      </c>
      <c r="S246" s="35">
        <v>0.91392925921142432</v>
      </c>
      <c r="T246" s="232">
        <v>26188.83</v>
      </c>
      <c r="U246" s="35">
        <v>0.96745775768656195</v>
      </c>
      <c r="W246" s="35">
        <f t="shared" si="25"/>
        <v>721.41429361546432</v>
      </c>
      <c r="X246" s="35">
        <f t="shared" si="26"/>
        <v>44630.392960571218</v>
      </c>
      <c r="Y246" s="35">
        <f t="shared" si="27"/>
        <v>22184.057884328096</v>
      </c>
      <c r="Z246" s="35">
        <f t="shared" si="28"/>
        <v>0</v>
      </c>
      <c r="AA246" s="35">
        <f t="shared" si="29"/>
        <v>1</v>
      </c>
      <c r="AB246" s="35">
        <f t="shared" si="30"/>
        <v>0</v>
      </c>
    </row>
    <row r="247" spans="1:28">
      <c r="A247" s="35">
        <v>236</v>
      </c>
      <c r="B247" s="35">
        <v>3.464159302536477E-4</v>
      </c>
      <c r="C247" s="232">
        <v>43.87</v>
      </c>
      <c r="D247" s="35">
        <v>5.0584872864480568</v>
      </c>
      <c r="E247" s="232">
        <v>31.13</v>
      </c>
      <c r="F247" s="35">
        <v>5.0508010793332785</v>
      </c>
      <c r="G247" s="232">
        <v>10418.48</v>
      </c>
      <c r="H247" s="35">
        <v>9.6219926356570973</v>
      </c>
      <c r="I247" s="232">
        <v>12596.49</v>
      </c>
      <c r="J247" s="35">
        <v>8.9791375175885175</v>
      </c>
      <c r="K247" s="232">
        <v>10609.46</v>
      </c>
      <c r="L247" s="35">
        <v>8.6690654572897756</v>
      </c>
      <c r="M247" s="232">
        <v>36614.5</v>
      </c>
      <c r="N247" s="35">
        <v>7.5472495333020859</v>
      </c>
      <c r="P247" s="232">
        <v>-12.73</v>
      </c>
      <c r="Q247" s="35">
        <v>7.6862071147782984E-3</v>
      </c>
      <c r="R247" s="232">
        <v>2178.0100000000002</v>
      </c>
      <c r="S247" s="35">
        <v>0.64285511806857976</v>
      </c>
      <c r="T247" s="232">
        <v>26005.040000000001</v>
      </c>
      <c r="U247" s="35">
        <v>1.1218159239876897</v>
      </c>
      <c r="W247" s="35">
        <f t="shared" si="25"/>
        <v>397.04035573891497</v>
      </c>
      <c r="X247" s="35">
        <f t="shared" si="26"/>
        <v>29964.745903428986</v>
      </c>
      <c r="Y247" s="35">
        <f t="shared" si="27"/>
        <v>30085.756199384487</v>
      </c>
      <c r="Z247" s="35">
        <f t="shared" si="28"/>
        <v>0</v>
      </c>
      <c r="AA247" s="35">
        <f t="shared" si="29"/>
        <v>0</v>
      </c>
      <c r="AB247" s="35">
        <f t="shared" si="30"/>
        <v>1</v>
      </c>
    </row>
    <row r="248" spans="1:28">
      <c r="A248" s="35">
        <v>237</v>
      </c>
      <c r="B248" s="35">
        <v>5.195145654622868E-4</v>
      </c>
      <c r="C248" s="232">
        <v>65.44</v>
      </c>
      <c r="D248" s="35">
        <v>5.0623879010244055</v>
      </c>
      <c r="E248" s="232">
        <v>41.29</v>
      </c>
      <c r="F248" s="35">
        <v>5.05198893163581</v>
      </c>
      <c r="G248" s="232">
        <v>9138.6200000000008</v>
      </c>
      <c r="H248" s="35">
        <v>8.1273122959222306</v>
      </c>
      <c r="I248" s="232">
        <v>10731.97</v>
      </c>
      <c r="J248" s="35">
        <v>7.5537296356777732</v>
      </c>
      <c r="K248" s="232">
        <v>12032.61</v>
      </c>
      <c r="L248" s="35">
        <v>8.5518322258578046</v>
      </c>
      <c r="M248" s="232">
        <v>37943.1</v>
      </c>
      <c r="N248" s="35">
        <v>7.528719068909993</v>
      </c>
      <c r="P248" s="232">
        <v>-24.15</v>
      </c>
      <c r="Q248" s="35">
        <v>1.0398969388595525E-2</v>
      </c>
      <c r="R248" s="232">
        <v>1593.35</v>
      </c>
      <c r="S248" s="35">
        <v>0.57358266024445737</v>
      </c>
      <c r="T248" s="232">
        <v>25910.49</v>
      </c>
      <c r="U248" s="35">
        <v>1.0231131569478116</v>
      </c>
      <c r="W248" s="35">
        <f t="shared" si="25"/>
        <v>544.09846942977617</v>
      </c>
      <c r="X248" s="35">
        <f t="shared" si="26"/>
        <v>27085.78301222287</v>
      </c>
      <c r="Y248" s="35">
        <f t="shared" si="27"/>
        <v>25245.167847390574</v>
      </c>
      <c r="Z248" s="35">
        <f t="shared" si="28"/>
        <v>0</v>
      </c>
      <c r="AA248" s="35">
        <f t="shared" si="29"/>
        <v>1</v>
      </c>
      <c r="AB248" s="35">
        <f t="shared" si="30"/>
        <v>0</v>
      </c>
    </row>
    <row r="249" spans="1:28">
      <c r="A249" s="35">
        <v>238</v>
      </c>
      <c r="B249" s="35">
        <v>3.0855074349983336E-4</v>
      </c>
      <c r="C249" s="232">
        <v>47.22</v>
      </c>
      <c r="D249" s="35">
        <v>5.0535140324699173</v>
      </c>
      <c r="E249" s="232">
        <v>30.45</v>
      </c>
      <c r="F249" s="35">
        <v>5.0467682269501211</v>
      </c>
      <c r="G249" s="232">
        <v>11560.61</v>
      </c>
      <c r="H249" s="35">
        <v>8.4656387327684346</v>
      </c>
      <c r="I249" s="232">
        <v>11920.33</v>
      </c>
      <c r="J249" s="35">
        <v>6.9127760431069571</v>
      </c>
      <c r="K249" s="232">
        <v>15495.89</v>
      </c>
      <c r="L249" s="35">
        <v>8.7167680603993301</v>
      </c>
      <c r="M249" s="232">
        <v>41676.720000000001</v>
      </c>
      <c r="N249" s="35">
        <v>7.6540059298510776</v>
      </c>
      <c r="P249" s="232">
        <v>-16.77</v>
      </c>
      <c r="Q249" s="35">
        <v>6.7458055197961997E-3</v>
      </c>
      <c r="R249" s="232">
        <v>359.72</v>
      </c>
      <c r="S249" s="35">
        <v>1.5528626896614774</v>
      </c>
      <c r="T249" s="232">
        <v>26180.82</v>
      </c>
      <c r="U249" s="35">
        <v>1.0627621305482524</v>
      </c>
      <c r="W249" s="35">
        <f t="shared" si="25"/>
        <v>354.06027598980995</v>
      </c>
      <c r="X249" s="35">
        <f t="shared" si="26"/>
        <v>77283.414483073866</v>
      </c>
      <c r="Y249" s="35">
        <f t="shared" si="27"/>
        <v>26957.286527412623</v>
      </c>
      <c r="Z249" s="35">
        <f t="shared" si="28"/>
        <v>0</v>
      </c>
      <c r="AA249" s="35">
        <f t="shared" si="29"/>
        <v>1</v>
      </c>
      <c r="AB249" s="35">
        <f t="shared" si="30"/>
        <v>0</v>
      </c>
    </row>
    <row r="250" spans="1:28">
      <c r="A250" s="35">
        <v>239</v>
      </c>
      <c r="B250" s="35">
        <v>3.9316281019967478E-4</v>
      </c>
      <c r="C250" s="232">
        <v>60.39</v>
      </c>
      <c r="D250" s="35">
        <v>5.0600339088535131</v>
      </c>
      <c r="E250" s="232">
        <v>43.98</v>
      </c>
      <c r="F250" s="35">
        <v>5.0526856749440725</v>
      </c>
      <c r="G250" s="232">
        <v>11891</v>
      </c>
      <c r="H250" s="35">
        <v>9.0407315388232448</v>
      </c>
      <c r="I250" s="232">
        <v>11945.27</v>
      </c>
      <c r="J250" s="35">
        <v>6.9523938841236506</v>
      </c>
      <c r="K250" s="232">
        <v>15759.03</v>
      </c>
      <c r="L250" s="35">
        <v>8.8434726322367361</v>
      </c>
      <c r="M250" s="232">
        <v>41904.18</v>
      </c>
      <c r="N250" s="35">
        <v>7.7323657328166604</v>
      </c>
      <c r="P250" s="232">
        <v>-16.41</v>
      </c>
      <c r="Q250" s="35">
        <v>7.3482339094406157E-3</v>
      </c>
      <c r="R250" s="232">
        <v>54.27</v>
      </c>
      <c r="S250" s="35">
        <v>2.0883376546995942</v>
      </c>
      <c r="T250" s="232">
        <v>26145.15</v>
      </c>
      <c r="U250" s="35">
        <v>1.1111068994200757</v>
      </c>
      <c r="W250" s="35">
        <f t="shared" si="25"/>
        <v>383.8216954720308</v>
      </c>
      <c r="X250" s="35">
        <f t="shared" si="26"/>
        <v>104362.6127349797</v>
      </c>
      <c r="Y250" s="35">
        <f t="shared" si="27"/>
        <v>29410.194971003781</v>
      </c>
      <c r="Z250" s="35">
        <f t="shared" si="28"/>
        <v>0</v>
      </c>
      <c r="AA250" s="35">
        <f t="shared" si="29"/>
        <v>1</v>
      </c>
      <c r="AB250" s="35">
        <f t="shared" si="30"/>
        <v>0</v>
      </c>
    </row>
    <row r="251" spans="1:28">
      <c r="A251" s="35">
        <v>240</v>
      </c>
      <c r="B251" s="35">
        <v>6.2130148458072743E-4</v>
      </c>
      <c r="C251" s="232">
        <v>92.94</v>
      </c>
      <c r="D251" s="35">
        <v>5.0701517325075862</v>
      </c>
      <c r="E251" s="232">
        <v>69.569999999999993</v>
      </c>
      <c r="F251" s="35">
        <v>5.0607741711706424</v>
      </c>
      <c r="G251" s="232">
        <v>12043.86</v>
      </c>
      <c r="H251" s="35">
        <v>8.6905481930554718</v>
      </c>
      <c r="I251" s="232">
        <v>14039.74</v>
      </c>
      <c r="J251" s="35">
        <v>7.4096733793852181</v>
      </c>
      <c r="K251" s="232">
        <v>12110.82</v>
      </c>
      <c r="L251" s="35">
        <v>8.400954997642744</v>
      </c>
      <c r="M251" s="232">
        <v>38073.160000000003</v>
      </c>
      <c r="N251" s="35">
        <v>7.294478493186813</v>
      </c>
      <c r="P251" s="232">
        <v>-23.37</v>
      </c>
      <c r="Q251" s="35">
        <v>9.3775613369437849E-3</v>
      </c>
      <c r="R251" s="232">
        <v>1995.88</v>
      </c>
      <c r="S251" s="35">
        <v>1.2808748136702537</v>
      </c>
      <c r="T251" s="232">
        <v>25962.34</v>
      </c>
      <c r="U251" s="35">
        <v>1.106476504455931</v>
      </c>
      <c r="W251" s="35">
        <f t="shared" si="25"/>
        <v>492.24806684718925</v>
      </c>
      <c r="X251" s="35">
        <f t="shared" si="26"/>
        <v>62047.860683512685</v>
      </c>
      <c r="Y251" s="35">
        <f t="shared" si="27"/>
        <v>29361.485222796549</v>
      </c>
      <c r="Z251" s="35">
        <f t="shared" si="28"/>
        <v>0</v>
      </c>
      <c r="AA251" s="35">
        <f t="shared" si="29"/>
        <v>1</v>
      </c>
      <c r="AB251" s="35">
        <f t="shared" si="30"/>
        <v>0</v>
      </c>
    </row>
    <row r="252" spans="1:28">
      <c r="A252" s="35">
        <v>241</v>
      </c>
      <c r="B252" s="35">
        <v>4.0201110925116689E-4</v>
      </c>
      <c r="C252" s="232">
        <v>65.22</v>
      </c>
      <c r="D252" s="35">
        <v>5.0606229971726409</v>
      </c>
      <c r="E252" s="232">
        <v>40.200000000000003</v>
      </c>
      <c r="F252" s="35">
        <v>5.0506373330556649</v>
      </c>
      <c r="G252" s="232">
        <v>13323.12</v>
      </c>
      <c r="H252" s="35">
        <v>9.2381121848555399</v>
      </c>
      <c r="I252" s="232">
        <v>15302.23</v>
      </c>
      <c r="J252" s="35">
        <v>8.5845274862838181</v>
      </c>
      <c r="K252" s="232">
        <v>14834.96</v>
      </c>
      <c r="L252" s="35">
        <v>8.7736419937058177</v>
      </c>
      <c r="M252" s="232">
        <v>41027.800000000003</v>
      </c>
      <c r="N252" s="35">
        <v>7.6264531709522148</v>
      </c>
      <c r="P252" s="232">
        <v>-25.02</v>
      </c>
      <c r="Q252" s="35">
        <v>9.9856641169759897E-3</v>
      </c>
      <c r="R252" s="232">
        <v>1979.11</v>
      </c>
      <c r="S252" s="35">
        <v>0.65358469857172174</v>
      </c>
      <c r="T252" s="232">
        <v>26192.85</v>
      </c>
      <c r="U252" s="35">
        <v>1.1471888227536029</v>
      </c>
      <c r="W252" s="35">
        <f t="shared" si="25"/>
        <v>524.30320584879951</v>
      </c>
      <c r="X252" s="35">
        <f t="shared" si="26"/>
        <v>30700.124928586087</v>
      </c>
      <c r="Y252" s="35">
        <f t="shared" si="27"/>
        <v>31166.591137680145</v>
      </c>
      <c r="Z252" s="35">
        <f t="shared" si="28"/>
        <v>0</v>
      </c>
      <c r="AA252" s="35">
        <f t="shared" si="29"/>
        <v>0</v>
      </c>
      <c r="AB252" s="35">
        <f t="shared" si="30"/>
        <v>1</v>
      </c>
    </row>
    <row r="253" spans="1:28">
      <c r="A253" s="35">
        <v>242</v>
      </c>
      <c r="B253" s="35">
        <v>4.6982109580540055E-4</v>
      </c>
      <c r="C253" s="232">
        <v>65.22</v>
      </c>
      <c r="D253" s="35">
        <v>5.0622552844276871</v>
      </c>
      <c r="E253" s="232">
        <v>37.19</v>
      </c>
      <c r="F253" s="35">
        <v>5.050427952289688</v>
      </c>
      <c r="G253" s="232">
        <v>11658.16</v>
      </c>
      <c r="H253" s="35">
        <v>8.7749886474304759</v>
      </c>
      <c r="I253" s="232">
        <v>13660.84</v>
      </c>
      <c r="J253" s="35">
        <v>7.3224140965068951</v>
      </c>
      <c r="K253" s="232">
        <v>12319.96</v>
      </c>
      <c r="L253" s="35">
        <v>8.6236771116406477</v>
      </c>
      <c r="M253" s="232">
        <v>38339.42</v>
      </c>
      <c r="N253" s="35">
        <v>7.5432342370324799</v>
      </c>
      <c r="P253" s="232">
        <v>-28.03</v>
      </c>
      <c r="Q253" s="35">
        <v>1.1827332137999136E-2</v>
      </c>
      <c r="R253" s="232">
        <v>2002.68</v>
      </c>
      <c r="S253" s="35">
        <v>1.4525745509235808</v>
      </c>
      <c r="T253" s="232">
        <v>26019.45</v>
      </c>
      <c r="U253" s="35">
        <v>1.0804428746081678</v>
      </c>
      <c r="W253" s="35">
        <f t="shared" si="25"/>
        <v>619.39660689995674</v>
      </c>
      <c r="X253" s="35">
        <f t="shared" si="26"/>
        <v>70626.047546179048</v>
      </c>
      <c r="Y253" s="35">
        <f t="shared" si="27"/>
        <v>28002.693730408388</v>
      </c>
      <c r="Z253" s="35">
        <f t="shared" si="28"/>
        <v>0</v>
      </c>
      <c r="AA253" s="35">
        <f t="shared" si="29"/>
        <v>1</v>
      </c>
      <c r="AB253" s="35">
        <f t="shared" si="30"/>
        <v>0</v>
      </c>
    </row>
    <row r="254" spans="1:28">
      <c r="A254" s="35">
        <v>243</v>
      </c>
      <c r="B254" s="35">
        <v>4.1034919242661312E-4</v>
      </c>
      <c r="C254" s="232">
        <v>86.17</v>
      </c>
      <c r="D254" s="35">
        <v>5.0594550549957225</v>
      </c>
      <c r="E254" s="232">
        <v>54.62</v>
      </c>
      <c r="F254" s="35">
        <v>5.0506546883320285</v>
      </c>
      <c r="G254" s="232">
        <v>15991.18</v>
      </c>
      <c r="H254" s="35">
        <v>8.7060147886633725</v>
      </c>
      <c r="I254" s="232">
        <v>16544.8</v>
      </c>
      <c r="J254" s="35">
        <v>7.7370022291508844</v>
      </c>
      <c r="K254" s="232">
        <v>22210.5</v>
      </c>
      <c r="L254" s="35">
        <v>8.7398320753590895</v>
      </c>
      <c r="M254" s="232">
        <v>48601.67</v>
      </c>
      <c r="N254" s="35">
        <v>7.6804385916327584</v>
      </c>
      <c r="P254" s="232">
        <v>-31.55</v>
      </c>
      <c r="Q254" s="35">
        <v>8.8003666636939926E-3</v>
      </c>
      <c r="R254" s="232">
        <v>553.63</v>
      </c>
      <c r="S254" s="35">
        <v>0.9690125595124881</v>
      </c>
      <c r="T254" s="232">
        <v>26391.17</v>
      </c>
      <c r="U254" s="35">
        <v>1.059393483726331</v>
      </c>
      <c r="W254" s="35">
        <f t="shared" si="25"/>
        <v>471.56833318469961</v>
      </c>
      <c r="X254" s="35">
        <f t="shared" si="26"/>
        <v>47896.997975624407</v>
      </c>
      <c r="Y254" s="35">
        <f t="shared" si="27"/>
        <v>26578.504186316553</v>
      </c>
      <c r="Z254" s="35">
        <f t="shared" si="28"/>
        <v>0</v>
      </c>
      <c r="AA254" s="35">
        <f t="shared" si="29"/>
        <v>1</v>
      </c>
      <c r="AB254" s="35">
        <f t="shared" si="30"/>
        <v>0</v>
      </c>
    </row>
    <row r="255" spans="1:28">
      <c r="A255" s="35">
        <v>244</v>
      </c>
      <c r="B255" s="35">
        <v>3.3194244932201747E-4</v>
      </c>
      <c r="C255" s="232">
        <v>36.659999999999997</v>
      </c>
      <c r="D255" s="35">
        <v>5.057308720507522</v>
      </c>
      <c r="E255" s="232">
        <v>25.97</v>
      </c>
      <c r="F255" s="35">
        <v>5.0497230572672054</v>
      </c>
      <c r="G255" s="232">
        <v>8611</v>
      </c>
      <c r="H255" s="35">
        <v>9.3601291074017556</v>
      </c>
      <c r="I255" s="232">
        <v>10460.32</v>
      </c>
      <c r="J255" s="35">
        <v>8.6431153832689027</v>
      </c>
      <c r="K255" s="232">
        <v>9825.06</v>
      </c>
      <c r="L255" s="35">
        <v>8.9049210006896438</v>
      </c>
      <c r="M255" s="232">
        <v>35666.75</v>
      </c>
      <c r="N255" s="35">
        <v>7.7404123356281884</v>
      </c>
      <c r="P255" s="232">
        <v>-10.68</v>
      </c>
      <c r="Q255" s="35">
        <v>7.5856632403166202E-3</v>
      </c>
      <c r="R255" s="232">
        <v>1849.32</v>
      </c>
      <c r="S255" s="35">
        <v>0.71701372413285291</v>
      </c>
      <c r="T255" s="232">
        <v>25841.69</v>
      </c>
      <c r="U255" s="35">
        <v>1.1645086650614553</v>
      </c>
      <c r="W255" s="35">
        <f t="shared" si="25"/>
        <v>389.96316201583102</v>
      </c>
      <c r="X255" s="35">
        <f t="shared" si="26"/>
        <v>34001.366206642648</v>
      </c>
      <c r="Y255" s="35">
        <f t="shared" si="27"/>
        <v>32383.743253072771</v>
      </c>
      <c r="Z255" s="35">
        <f t="shared" si="28"/>
        <v>0</v>
      </c>
      <c r="AA255" s="35">
        <f t="shared" si="29"/>
        <v>1</v>
      </c>
      <c r="AB255" s="35">
        <f t="shared" si="30"/>
        <v>0</v>
      </c>
    </row>
    <row r="256" spans="1:28">
      <c r="A256" s="35">
        <v>245</v>
      </c>
      <c r="B256" s="35">
        <v>4.893132388028576E-4</v>
      </c>
      <c r="C256" s="232">
        <v>77.849999999999994</v>
      </c>
      <c r="D256" s="35">
        <v>5.0626512243461148</v>
      </c>
      <c r="E256" s="232">
        <v>48.4</v>
      </c>
      <c r="F256" s="35">
        <v>5.0521301011232334</v>
      </c>
      <c r="G256" s="232">
        <v>12406.57</v>
      </c>
      <c r="H256" s="35">
        <v>8.7010634855242728</v>
      </c>
      <c r="I256" s="232">
        <v>13764.33</v>
      </c>
      <c r="J256" s="35">
        <v>7.9924535640698817</v>
      </c>
      <c r="K256" s="232">
        <v>16380.53</v>
      </c>
      <c r="L256" s="35">
        <v>8.3094670955644716</v>
      </c>
      <c r="M256" s="232">
        <v>42546.59</v>
      </c>
      <c r="N256" s="35">
        <v>7.1401876346304487</v>
      </c>
      <c r="P256" s="232">
        <v>-29.46</v>
      </c>
      <c r="Q256" s="35">
        <v>1.0521123222881457E-2</v>
      </c>
      <c r="R256" s="232">
        <v>1357.76</v>
      </c>
      <c r="S256" s="35">
        <v>0.70860992145439106</v>
      </c>
      <c r="T256" s="232">
        <v>26166.07</v>
      </c>
      <c r="U256" s="35">
        <v>1.1692794609340229</v>
      </c>
      <c r="W256" s="35">
        <f t="shared" si="25"/>
        <v>555.51616114407284</v>
      </c>
      <c r="X256" s="35">
        <f t="shared" si="26"/>
        <v>34072.736072719548</v>
      </c>
      <c r="Y256" s="35">
        <f t="shared" si="27"/>
        <v>32297.903046701147</v>
      </c>
      <c r="Z256" s="35">
        <f t="shared" si="28"/>
        <v>0</v>
      </c>
      <c r="AA256" s="35">
        <f t="shared" si="29"/>
        <v>1</v>
      </c>
      <c r="AB256" s="35">
        <f t="shared" si="30"/>
        <v>0</v>
      </c>
    </row>
    <row r="257" spans="1:28">
      <c r="A257" s="35">
        <v>246</v>
      </c>
      <c r="B257" s="35">
        <v>4.1746701656581202E-4</v>
      </c>
      <c r="C257" s="232">
        <v>57.03</v>
      </c>
      <c r="D257" s="35">
        <v>5.0607755145006035</v>
      </c>
      <c r="E257" s="232">
        <v>35.22</v>
      </c>
      <c r="F257" s="35">
        <v>5.0505679537687032</v>
      </c>
      <c r="G257" s="232">
        <v>11169.23</v>
      </c>
      <c r="H257" s="35">
        <v>9.0660156569714072</v>
      </c>
      <c r="I257" s="232">
        <v>12904.24</v>
      </c>
      <c r="J257" s="35">
        <v>7.8166708498744706</v>
      </c>
      <c r="K257" s="232">
        <v>12496.68</v>
      </c>
      <c r="L257" s="35">
        <v>8.6783005971947755</v>
      </c>
      <c r="M257" s="232">
        <v>38559.4</v>
      </c>
      <c r="N257" s="35">
        <v>7.4262040093139339</v>
      </c>
      <c r="P257" s="232">
        <v>-21.81</v>
      </c>
      <c r="Q257" s="35">
        <v>1.0207560731900323E-2</v>
      </c>
      <c r="R257" s="232">
        <v>1735.01</v>
      </c>
      <c r="S257" s="35">
        <v>1.2493448070969366</v>
      </c>
      <c r="T257" s="232">
        <v>26062.720000000001</v>
      </c>
      <c r="U257" s="35">
        <v>1.2520965878808417</v>
      </c>
      <c r="W257" s="35">
        <f t="shared" si="25"/>
        <v>532.18803659501611</v>
      </c>
      <c r="X257" s="35">
        <f t="shared" si="26"/>
        <v>60732.230354846826</v>
      </c>
      <c r="Y257" s="35">
        <f t="shared" si="27"/>
        <v>36542.109394042083</v>
      </c>
      <c r="Z257" s="35">
        <f t="shared" si="28"/>
        <v>0</v>
      </c>
      <c r="AA257" s="35">
        <f t="shared" si="29"/>
        <v>1</v>
      </c>
      <c r="AB257" s="35">
        <f t="shared" si="30"/>
        <v>0</v>
      </c>
    </row>
    <row r="258" spans="1:28">
      <c r="A258" s="35">
        <v>247</v>
      </c>
      <c r="B258" s="35">
        <v>3.6119057195710082E-4</v>
      </c>
      <c r="C258" s="232">
        <v>48.95</v>
      </c>
      <c r="D258" s="35">
        <v>5.0559291129673465</v>
      </c>
      <c r="E258" s="232">
        <v>31.19</v>
      </c>
      <c r="F258" s="35">
        <v>5.0480497818831758</v>
      </c>
      <c r="G258" s="232">
        <v>10516.22</v>
      </c>
      <c r="H258" s="35">
        <v>8.5070563269760839</v>
      </c>
      <c r="I258" s="232">
        <v>12068.37</v>
      </c>
      <c r="J258" s="35">
        <v>7.5911686670200824</v>
      </c>
      <c r="K258" s="232">
        <v>12328.61</v>
      </c>
      <c r="L258" s="35">
        <v>8.4690901059491761</v>
      </c>
      <c r="M258" s="232">
        <v>38280.92</v>
      </c>
      <c r="N258" s="35">
        <v>7.4190685679515518</v>
      </c>
      <c r="P258" s="232">
        <v>-17.760000000000002</v>
      </c>
      <c r="Q258" s="35">
        <v>7.8793310841707154E-3</v>
      </c>
      <c r="R258" s="232">
        <v>1552.15</v>
      </c>
      <c r="S258" s="35">
        <v>0.91588765995600152</v>
      </c>
      <c r="T258" s="232">
        <v>25952.31</v>
      </c>
      <c r="U258" s="35">
        <v>1.0500215379976243</v>
      </c>
      <c r="W258" s="35">
        <f t="shared" si="25"/>
        <v>411.72655420853573</v>
      </c>
      <c r="X258" s="35">
        <f t="shared" si="26"/>
        <v>44242.232997800078</v>
      </c>
      <c r="Y258" s="35">
        <f t="shared" si="27"/>
        <v>26548.766899881211</v>
      </c>
      <c r="Z258" s="35">
        <f t="shared" si="28"/>
        <v>0</v>
      </c>
      <c r="AA258" s="35">
        <f t="shared" si="29"/>
        <v>1</v>
      </c>
      <c r="AB258" s="35">
        <f t="shared" si="30"/>
        <v>0</v>
      </c>
    </row>
    <row r="259" spans="1:28">
      <c r="A259" s="35">
        <v>248</v>
      </c>
      <c r="B259" s="35">
        <v>5.9968139284372057E-4</v>
      </c>
      <c r="C259" s="232">
        <v>70.69</v>
      </c>
      <c r="D259" s="35">
        <v>5.0708494412017702</v>
      </c>
      <c r="E259" s="232">
        <v>42.77</v>
      </c>
      <c r="F259" s="35">
        <v>5.0561354242219965</v>
      </c>
      <c r="G259" s="232">
        <v>9094.41</v>
      </c>
      <c r="H259" s="35">
        <v>8.8573696752221966</v>
      </c>
      <c r="I259" s="232">
        <v>11374.03</v>
      </c>
      <c r="J259" s="35">
        <v>8.9521355525504553</v>
      </c>
      <c r="K259" s="232">
        <v>10226.790000000001</v>
      </c>
      <c r="L259" s="35">
        <v>9.1187929870518971</v>
      </c>
      <c r="M259" s="232">
        <v>35934.44</v>
      </c>
      <c r="N259" s="35">
        <v>8.0077231988512434</v>
      </c>
      <c r="P259" s="232">
        <v>-27.92</v>
      </c>
      <c r="Q259" s="35">
        <v>1.4714016979773703E-2</v>
      </c>
      <c r="R259" s="232">
        <v>2279.62</v>
      </c>
      <c r="S259" s="35">
        <v>-9.4765877328258696E-2</v>
      </c>
      <c r="T259" s="232">
        <v>25707.66</v>
      </c>
      <c r="U259" s="35">
        <v>1.1110697882006537</v>
      </c>
      <c r="W259" s="35">
        <f t="shared" si="25"/>
        <v>763.62084898868511</v>
      </c>
      <c r="X259" s="35">
        <f t="shared" si="26"/>
        <v>-7017.913866412935</v>
      </c>
      <c r="Y259" s="35">
        <f t="shared" si="27"/>
        <v>29845.829410032686</v>
      </c>
      <c r="Z259" s="35">
        <f t="shared" si="28"/>
        <v>0</v>
      </c>
      <c r="AA259" s="35">
        <f t="shared" si="29"/>
        <v>0</v>
      </c>
      <c r="AB259" s="35">
        <f t="shared" si="30"/>
        <v>1</v>
      </c>
    </row>
    <row r="260" spans="1:28">
      <c r="A260" s="35">
        <v>249</v>
      </c>
      <c r="B260" s="35">
        <v>5.9757350319455949E-4</v>
      </c>
      <c r="C260" s="232">
        <v>129.87</v>
      </c>
      <c r="D260" s="35">
        <v>5.0668815526440865</v>
      </c>
      <c r="E260" s="232">
        <v>68.069999999999993</v>
      </c>
      <c r="F260" s="35">
        <v>5.0522815072254232</v>
      </c>
      <c r="G260" s="232">
        <v>16832.240000000002</v>
      </c>
      <c r="H260" s="35">
        <v>8.4907204975246859</v>
      </c>
      <c r="I260" s="232">
        <v>15879.02</v>
      </c>
      <c r="J260" s="35">
        <v>6.9116062059283712</v>
      </c>
      <c r="K260" s="232">
        <v>23426.27</v>
      </c>
      <c r="L260" s="35">
        <v>8.4342359006649641</v>
      </c>
      <c r="M260" s="232">
        <v>49986.97</v>
      </c>
      <c r="N260" s="35">
        <v>7.4059481386211878</v>
      </c>
      <c r="P260" s="232">
        <v>-61.8</v>
      </c>
      <c r="Q260" s="35">
        <v>1.4600045418663221E-2</v>
      </c>
      <c r="R260" s="232">
        <v>-953.22</v>
      </c>
      <c r="S260" s="35">
        <v>1.5791142915963148</v>
      </c>
      <c r="T260" s="232">
        <v>26560.7</v>
      </c>
      <c r="U260" s="35">
        <v>1.0282877620437763</v>
      </c>
      <c r="W260" s="35">
        <f t="shared" si="25"/>
        <v>791.80227093316103</v>
      </c>
      <c r="X260" s="35">
        <f t="shared" si="26"/>
        <v>79908.934579815745</v>
      </c>
      <c r="Y260" s="35">
        <f t="shared" si="27"/>
        <v>24853.688102188815</v>
      </c>
      <c r="Z260" s="35">
        <f t="shared" si="28"/>
        <v>0</v>
      </c>
      <c r="AA260" s="35">
        <f t="shared" si="29"/>
        <v>1</v>
      </c>
      <c r="AB260" s="35">
        <f t="shared" si="30"/>
        <v>0</v>
      </c>
    </row>
    <row r="261" spans="1:28">
      <c r="A261" s="35">
        <v>250</v>
      </c>
      <c r="B261" s="35">
        <v>4.1596575384002997E-4</v>
      </c>
      <c r="C261" s="232">
        <v>81.760000000000005</v>
      </c>
      <c r="D261" s="35">
        <v>5.0578350684268862</v>
      </c>
      <c r="E261" s="232">
        <v>49.04</v>
      </c>
      <c r="F261" s="35">
        <v>5.0489720693962337</v>
      </c>
      <c r="G261" s="232">
        <v>15314.47</v>
      </c>
      <c r="H261" s="35">
        <v>8.3592070078546286</v>
      </c>
      <c r="I261" s="232">
        <v>15511.91</v>
      </c>
      <c r="J261" s="35">
        <v>7.2096820673421016</v>
      </c>
      <c r="K261" s="232">
        <v>22078.42</v>
      </c>
      <c r="L261" s="35">
        <v>8.2172322928304897</v>
      </c>
      <c r="M261" s="232">
        <v>48414.93</v>
      </c>
      <c r="N261" s="35">
        <v>7.1654333341684993</v>
      </c>
      <c r="P261" s="232">
        <v>-32.72</v>
      </c>
      <c r="Q261" s="35">
        <v>8.8629990306525741E-3</v>
      </c>
      <c r="R261" s="232">
        <v>197.44</v>
      </c>
      <c r="S261" s="35">
        <v>1.149524940512527</v>
      </c>
      <c r="T261" s="232">
        <v>26336.51</v>
      </c>
      <c r="U261" s="35">
        <v>1.0517989586619905</v>
      </c>
      <c r="W261" s="35">
        <f t="shared" si="25"/>
        <v>475.86995153262876</v>
      </c>
      <c r="X261" s="35">
        <f t="shared" si="26"/>
        <v>57278.807025626345</v>
      </c>
      <c r="Y261" s="35">
        <f t="shared" si="27"/>
        <v>26253.437933099525</v>
      </c>
      <c r="Z261" s="35">
        <f t="shared" si="28"/>
        <v>0</v>
      </c>
      <c r="AA261" s="35">
        <f t="shared" si="29"/>
        <v>1</v>
      </c>
      <c r="AB261" s="35">
        <f t="shared" si="30"/>
        <v>0</v>
      </c>
    </row>
    <row r="262" spans="1:28">
      <c r="A262" s="35">
        <v>251</v>
      </c>
      <c r="B262" s="35">
        <v>5.4034616376275046E-4</v>
      </c>
      <c r="C262" s="232">
        <v>79.78</v>
      </c>
      <c r="D262" s="35">
        <v>5.065291900541351</v>
      </c>
      <c r="E262" s="232">
        <v>48.24</v>
      </c>
      <c r="F262" s="35">
        <v>5.0532126437399567</v>
      </c>
      <c r="G262" s="232">
        <v>11330.38</v>
      </c>
      <c r="H262" s="35">
        <v>8.4317842156592793</v>
      </c>
      <c r="I262" s="232">
        <v>12371.93</v>
      </c>
      <c r="J262" s="35">
        <v>7.3309602386960657</v>
      </c>
      <c r="K262" s="232">
        <v>15212.83</v>
      </c>
      <c r="L262" s="35">
        <v>8.8317388503975618</v>
      </c>
      <c r="M262" s="232">
        <v>41214</v>
      </c>
      <c r="N262" s="35">
        <v>7.7213853107118968</v>
      </c>
      <c r="P262" s="232">
        <v>-31.54</v>
      </c>
      <c r="Q262" s="35">
        <v>1.2079256801394322E-2</v>
      </c>
      <c r="R262" s="232">
        <v>1041.56</v>
      </c>
      <c r="S262" s="35">
        <v>1.1008239769632135</v>
      </c>
      <c r="T262" s="232">
        <v>26001.17</v>
      </c>
      <c r="U262" s="35">
        <v>1.110353539685665</v>
      </c>
      <c r="W262" s="35">
        <f t="shared" si="25"/>
        <v>635.50284006971606</v>
      </c>
      <c r="X262" s="35">
        <f t="shared" si="26"/>
        <v>53999.638848160677</v>
      </c>
      <c r="Y262" s="35">
        <f t="shared" si="27"/>
        <v>29516.506984283253</v>
      </c>
      <c r="Z262" s="35">
        <f t="shared" si="28"/>
        <v>0</v>
      </c>
      <c r="AA262" s="35">
        <f t="shared" si="29"/>
        <v>1</v>
      </c>
      <c r="AB262" s="35">
        <f t="shared" si="30"/>
        <v>0</v>
      </c>
    </row>
    <row r="263" spans="1:28">
      <c r="A263" s="35">
        <v>252</v>
      </c>
      <c r="B263" s="35">
        <v>4.6306499623172126E-4</v>
      </c>
      <c r="C263" s="232">
        <v>71.81</v>
      </c>
      <c r="D263" s="35">
        <v>5.0592437829784185</v>
      </c>
      <c r="E263" s="232">
        <v>47.89</v>
      </c>
      <c r="F263" s="35">
        <v>5.0510533967313878</v>
      </c>
      <c r="G263" s="232">
        <v>11608.13</v>
      </c>
      <c r="H263" s="35">
        <v>7.946516594414943</v>
      </c>
      <c r="I263" s="232">
        <v>12455.57</v>
      </c>
      <c r="J263" s="35">
        <v>6.8246332806337513</v>
      </c>
      <c r="K263" s="232">
        <v>15551.47</v>
      </c>
      <c r="L263" s="35">
        <v>8.3501238498184662</v>
      </c>
      <c r="M263" s="232">
        <v>41512.720000000001</v>
      </c>
      <c r="N263" s="35">
        <v>7.2415004315483547</v>
      </c>
      <c r="P263" s="232">
        <v>-23.92</v>
      </c>
      <c r="Q263" s="35">
        <v>8.1903862470307232E-3</v>
      </c>
      <c r="R263" s="232">
        <v>847.44</v>
      </c>
      <c r="S263" s="35">
        <v>1.1218833137811917</v>
      </c>
      <c r="T263" s="232">
        <v>25961.25</v>
      </c>
      <c r="U263" s="35">
        <v>1.1086234182701116</v>
      </c>
      <c r="W263" s="35">
        <f t="shared" si="25"/>
        <v>433.43931235153616</v>
      </c>
      <c r="X263" s="35">
        <f t="shared" si="26"/>
        <v>55246.725689059582</v>
      </c>
      <c r="Y263" s="35">
        <f t="shared" si="27"/>
        <v>29469.920913505579</v>
      </c>
      <c r="Z263" s="35">
        <f t="shared" si="28"/>
        <v>0</v>
      </c>
      <c r="AA263" s="35">
        <f t="shared" si="29"/>
        <v>1</v>
      </c>
      <c r="AB263" s="35">
        <f t="shared" si="30"/>
        <v>0</v>
      </c>
    </row>
    <row r="264" spans="1:28">
      <c r="A264" s="35">
        <v>253</v>
      </c>
      <c r="B264" s="35">
        <v>4.9617886157560243E-4</v>
      </c>
      <c r="C264" s="232">
        <v>75.55</v>
      </c>
      <c r="D264" s="35">
        <v>5.0640459614883575</v>
      </c>
      <c r="E264" s="232">
        <v>45.54</v>
      </c>
      <c r="F264" s="35">
        <v>5.0524010216633615</v>
      </c>
      <c r="G264" s="232">
        <v>12342.8</v>
      </c>
      <c r="H264" s="35">
        <v>8.8094767875091833</v>
      </c>
      <c r="I264" s="232">
        <v>14155.87</v>
      </c>
      <c r="J264" s="35">
        <v>8.0248297872773637</v>
      </c>
      <c r="K264" s="232">
        <v>14306.45</v>
      </c>
      <c r="L264" s="35">
        <v>8.6546015176019147</v>
      </c>
      <c r="M264" s="232">
        <v>40488.910000000003</v>
      </c>
      <c r="N264" s="35">
        <v>7.5356992908324161</v>
      </c>
      <c r="P264" s="232">
        <v>-30.01</v>
      </c>
      <c r="Q264" s="35">
        <v>1.1644939824996037E-2</v>
      </c>
      <c r="R264" s="232">
        <v>1813.07</v>
      </c>
      <c r="S264" s="35">
        <v>0.78464700023181955</v>
      </c>
      <c r="T264" s="232">
        <v>26182.45</v>
      </c>
      <c r="U264" s="35">
        <v>1.1189022267694986</v>
      </c>
      <c r="W264" s="35">
        <f t="shared" si="25"/>
        <v>612.25699124980179</v>
      </c>
      <c r="X264" s="35">
        <f t="shared" si="26"/>
        <v>37419.280011590978</v>
      </c>
      <c r="Y264" s="35">
        <f t="shared" si="27"/>
        <v>29762.661338474925</v>
      </c>
      <c r="Z264" s="35">
        <f t="shared" si="28"/>
        <v>0</v>
      </c>
      <c r="AA264" s="35">
        <f t="shared" si="29"/>
        <v>1</v>
      </c>
      <c r="AB264" s="35">
        <f t="shared" si="30"/>
        <v>0</v>
      </c>
    </row>
    <row r="265" spans="1:28">
      <c r="A265" s="35">
        <v>254</v>
      </c>
      <c r="B265" s="35">
        <v>4.2564656113236292E-4</v>
      </c>
      <c r="C265" s="232">
        <v>68.31</v>
      </c>
      <c r="D265" s="35">
        <v>5.0604088489665191</v>
      </c>
      <c r="E265" s="232">
        <v>37.61</v>
      </c>
      <c r="F265" s="35">
        <v>5.0490963211216755</v>
      </c>
      <c r="G265" s="232">
        <v>11971.47</v>
      </c>
      <c r="H265" s="35">
        <v>9.0030236090832183</v>
      </c>
      <c r="I265" s="232">
        <v>11720.01</v>
      </c>
      <c r="J265" s="35">
        <v>7.6410892810803945</v>
      </c>
      <c r="K265" s="232">
        <v>16699.53</v>
      </c>
      <c r="L265" s="35">
        <v>8.5593481992699338</v>
      </c>
      <c r="M265" s="232">
        <v>42993.04</v>
      </c>
      <c r="N265" s="35">
        <v>7.4762783388836649</v>
      </c>
      <c r="P265" s="232">
        <v>-30.7</v>
      </c>
      <c r="Q265" s="35">
        <v>1.1312527844843601E-2</v>
      </c>
      <c r="R265" s="232">
        <v>-251.46</v>
      </c>
      <c r="S265" s="35">
        <v>1.3619343280028238</v>
      </c>
      <c r="T265" s="232">
        <v>26293.51</v>
      </c>
      <c r="U265" s="35">
        <v>1.083069860386269</v>
      </c>
      <c r="W265" s="35">
        <f t="shared" si="25"/>
        <v>596.32639224218008</v>
      </c>
      <c r="X265" s="35">
        <f t="shared" si="26"/>
        <v>68348.176400141194</v>
      </c>
      <c r="Y265" s="35">
        <f t="shared" si="27"/>
        <v>27859.983019313451</v>
      </c>
      <c r="Z265" s="35">
        <f t="shared" si="28"/>
        <v>0</v>
      </c>
      <c r="AA265" s="35">
        <f t="shared" si="29"/>
        <v>1</v>
      </c>
      <c r="AB265" s="35">
        <f t="shared" si="30"/>
        <v>0</v>
      </c>
    </row>
    <row r="266" spans="1:28">
      <c r="A266" s="35">
        <v>255</v>
      </c>
      <c r="B266" s="35">
        <v>4.8886265145153818E-4</v>
      </c>
      <c r="C266" s="232">
        <v>77.87</v>
      </c>
      <c r="D266" s="35">
        <v>5.0614502682001117</v>
      </c>
      <c r="E266" s="232">
        <v>48.66</v>
      </c>
      <c r="F266" s="35">
        <v>5.0515162798703486</v>
      </c>
      <c r="G266" s="232">
        <v>11729.67</v>
      </c>
      <c r="H266" s="35">
        <v>8.3891988157707598</v>
      </c>
      <c r="I266" s="232">
        <v>12095.79</v>
      </c>
      <c r="J266" s="35">
        <v>7.1712101558876116</v>
      </c>
      <c r="K266" s="232">
        <v>15576.41</v>
      </c>
      <c r="L266" s="35">
        <v>8.3340244202836153</v>
      </c>
      <c r="M266" s="232">
        <v>41641.11</v>
      </c>
      <c r="N266" s="35">
        <v>7.2930128391676519</v>
      </c>
      <c r="P266" s="232">
        <v>-29.21</v>
      </c>
      <c r="Q266" s="35">
        <v>9.9339883297631104E-3</v>
      </c>
      <c r="R266" s="232">
        <v>366.12</v>
      </c>
      <c r="S266" s="35">
        <v>1.2179886598831482</v>
      </c>
      <c r="T266" s="232">
        <v>26064.7</v>
      </c>
      <c r="U266" s="35">
        <v>1.0410115811159635</v>
      </c>
      <c r="W266" s="35">
        <f t="shared" si="25"/>
        <v>525.90941648815556</v>
      </c>
      <c r="X266" s="35">
        <f t="shared" si="26"/>
        <v>60533.312994157408</v>
      </c>
      <c r="Y266" s="35">
        <f t="shared" si="27"/>
        <v>25985.879055798174</v>
      </c>
      <c r="Z266" s="35">
        <f t="shared" si="28"/>
        <v>0</v>
      </c>
      <c r="AA266" s="35">
        <f t="shared" si="29"/>
        <v>1</v>
      </c>
      <c r="AB266" s="35">
        <f t="shared" si="30"/>
        <v>0</v>
      </c>
    </row>
    <row r="267" spans="1:28">
      <c r="A267" s="35">
        <v>256</v>
      </c>
      <c r="B267" s="35">
        <v>4.5362313312902192E-4</v>
      </c>
      <c r="C267" s="232">
        <v>66.31</v>
      </c>
      <c r="D267" s="35">
        <v>5.0627219491731905</v>
      </c>
      <c r="E267" s="232">
        <v>43.77</v>
      </c>
      <c r="F267" s="35">
        <v>5.0529231619539425</v>
      </c>
      <c r="G267" s="232">
        <v>11466.28</v>
      </c>
      <c r="H267" s="35">
        <v>9.1094954442774654</v>
      </c>
      <c r="I267" s="232">
        <v>13664.69</v>
      </c>
      <c r="J267" s="35">
        <v>9.0788039750953828</v>
      </c>
      <c r="K267" s="232">
        <v>14534.13</v>
      </c>
      <c r="L267" s="35">
        <v>8.5325132667421375</v>
      </c>
      <c r="M267" s="232">
        <v>40549.519999999997</v>
      </c>
      <c r="N267" s="35">
        <v>7.4739535268600772</v>
      </c>
      <c r="P267" s="232">
        <v>-22.53</v>
      </c>
      <c r="Q267" s="35">
        <v>9.7987872192479841E-3</v>
      </c>
      <c r="R267" s="232">
        <v>2198.41</v>
      </c>
      <c r="S267" s="35">
        <v>3.0691469182082542E-2</v>
      </c>
      <c r="T267" s="232">
        <v>26015.39</v>
      </c>
      <c r="U267" s="35">
        <v>1.0585597398820603</v>
      </c>
      <c r="W267" s="35">
        <f t="shared" si="25"/>
        <v>512.46936096239915</v>
      </c>
      <c r="X267" s="35">
        <f t="shared" si="26"/>
        <v>-663.83654089587276</v>
      </c>
      <c r="Y267" s="35">
        <f t="shared" si="27"/>
        <v>26912.59699410302</v>
      </c>
      <c r="Z267" s="35">
        <f t="shared" si="28"/>
        <v>0</v>
      </c>
      <c r="AA267" s="35">
        <f t="shared" si="29"/>
        <v>0</v>
      </c>
      <c r="AB267" s="35">
        <f t="shared" si="30"/>
        <v>1</v>
      </c>
    </row>
    <row r="268" spans="1:28">
      <c r="A268" s="35">
        <v>257</v>
      </c>
      <c r="B268" s="35">
        <v>3.539276089100627E-4</v>
      </c>
      <c r="C268" s="232">
        <v>56.73</v>
      </c>
      <c r="D268" s="35">
        <v>5.0572958426520858</v>
      </c>
      <c r="E268" s="232">
        <v>37.840000000000003</v>
      </c>
      <c r="F268" s="35">
        <v>5.0495930072508681</v>
      </c>
      <c r="G268" s="232">
        <v>11941.81</v>
      </c>
      <c r="H268" s="35">
        <v>8.7506019466263769</v>
      </c>
      <c r="I268" s="232">
        <v>13904.17</v>
      </c>
      <c r="J268" s="35">
        <v>8.4464665865162321</v>
      </c>
      <c r="K268" s="232">
        <v>13753.07</v>
      </c>
      <c r="L268" s="35">
        <v>9.2690786068947215</v>
      </c>
      <c r="M268" s="232">
        <v>39740.83</v>
      </c>
      <c r="N268" s="35">
        <v>8.1969175449361575</v>
      </c>
      <c r="P268" s="232">
        <v>-18.89</v>
      </c>
      <c r="Q268" s="35">
        <v>7.7028354012176337E-3</v>
      </c>
      <c r="R268" s="232">
        <v>1962.36</v>
      </c>
      <c r="S268" s="35">
        <v>0.30413536011014486</v>
      </c>
      <c r="T268" s="232">
        <v>25987.759999999998</v>
      </c>
      <c r="U268" s="35">
        <v>1.072161061958564</v>
      </c>
      <c r="W268" s="35">
        <f t="shared" ref="W268:W331" si="31">$X$2*Q268-P268</f>
        <v>404.03177006088168</v>
      </c>
      <c r="X268" s="35">
        <f t="shared" ref="X268:X331" si="32">$X$2*S268-R268</f>
        <v>13244.408005507243</v>
      </c>
      <c r="Y268" s="35">
        <f t="shared" ref="Y268:Y331" si="33">$X$2*U268-T268</f>
        <v>27620.293097928199</v>
      </c>
      <c r="Z268" s="35">
        <f t="shared" ref="Z268:Z331" si="34">IF(W268=MAX($W268:$Y268), 1, 0)</f>
        <v>0</v>
      </c>
      <c r="AA268" s="35">
        <f t="shared" ref="AA268:AA331" si="35">IF(X268=MAX($W268:$Y268), 1, 0)</f>
        <v>0</v>
      </c>
      <c r="AB268" s="35">
        <f t="shared" ref="AB268:AB331" si="36">IF(Y268=MAX($W268:$Y268), 1, 0)</f>
        <v>1</v>
      </c>
    </row>
    <row r="269" spans="1:28">
      <c r="A269" s="35">
        <v>258</v>
      </c>
      <c r="B269" s="35">
        <v>4.3304704976053298E-4</v>
      </c>
      <c r="C269" s="232">
        <v>76.709999999999994</v>
      </c>
      <c r="D269" s="35">
        <v>5.0600087903546509</v>
      </c>
      <c r="E269" s="232">
        <v>48.91</v>
      </c>
      <c r="F269" s="35">
        <v>5.0509487332365302</v>
      </c>
      <c r="G269" s="232">
        <v>13246.78</v>
      </c>
      <c r="H269" s="35">
        <v>8.6049716183923426</v>
      </c>
      <c r="I269" s="232">
        <v>14464.86</v>
      </c>
      <c r="J269" s="35">
        <v>7.8405402772486639</v>
      </c>
      <c r="K269" s="232">
        <v>16575.810000000001</v>
      </c>
      <c r="L269" s="35">
        <v>8.4604368302479909</v>
      </c>
      <c r="M269" s="232">
        <v>42570.64</v>
      </c>
      <c r="N269" s="35">
        <v>7.3130744223215727</v>
      </c>
      <c r="P269" s="232">
        <v>-27.8</v>
      </c>
      <c r="Q269" s="35">
        <v>9.0600571181207457E-3</v>
      </c>
      <c r="R269" s="232">
        <v>1218.08</v>
      </c>
      <c r="S269" s="35">
        <v>0.76443134114367872</v>
      </c>
      <c r="T269" s="232">
        <v>25994.83</v>
      </c>
      <c r="U269" s="35">
        <v>1.1473624079264182</v>
      </c>
      <c r="W269" s="35">
        <f t="shared" si="31"/>
        <v>480.80285590603728</v>
      </c>
      <c r="X269" s="35">
        <f t="shared" si="32"/>
        <v>37003.487057183935</v>
      </c>
      <c r="Y269" s="35">
        <f t="shared" si="33"/>
        <v>31373.29039632091</v>
      </c>
      <c r="Z269" s="35">
        <f t="shared" si="34"/>
        <v>0</v>
      </c>
      <c r="AA269" s="35">
        <f t="shared" si="35"/>
        <v>1</v>
      </c>
      <c r="AB269" s="35">
        <f t="shared" si="36"/>
        <v>0</v>
      </c>
    </row>
    <row r="270" spans="1:28">
      <c r="A270" s="35">
        <v>259</v>
      </c>
      <c r="B270" s="35">
        <v>4.9603387360430684E-4</v>
      </c>
      <c r="C270" s="232">
        <v>83.16</v>
      </c>
      <c r="D270" s="35">
        <v>5.0648253497324962</v>
      </c>
      <c r="E270" s="232">
        <v>47.36</v>
      </c>
      <c r="F270" s="35">
        <v>5.0520564728643196</v>
      </c>
      <c r="G270" s="232">
        <v>14040.16</v>
      </c>
      <c r="H270" s="35">
        <v>9.2199093068294591</v>
      </c>
      <c r="I270" s="232">
        <v>15964.08</v>
      </c>
      <c r="J270" s="35">
        <v>7.5351391413064643</v>
      </c>
      <c r="K270" s="232">
        <v>14416.47</v>
      </c>
      <c r="L270" s="35">
        <v>8.5002982324843046</v>
      </c>
      <c r="M270" s="232">
        <v>40355.83</v>
      </c>
      <c r="N270" s="35">
        <v>7.5765660632614171</v>
      </c>
      <c r="P270" s="232">
        <v>-35.799999999999997</v>
      </c>
      <c r="Q270" s="35">
        <v>1.2768876868176626E-2</v>
      </c>
      <c r="R270" s="232">
        <v>1923.92</v>
      </c>
      <c r="S270" s="35">
        <v>1.6847701655229947</v>
      </c>
      <c r="T270" s="232">
        <v>25939.360000000001</v>
      </c>
      <c r="U270" s="35">
        <v>0.92373216922288748</v>
      </c>
      <c r="W270" s="35">
        <f t="shared" si="31"/>
        <v>674.24384340883125</v>
      </c>
      <c r="X270" s="35">
        <f t="shared" si="32"/>
        <v>82314.588276149734</v>
      </c>
      <c r="Y270" s="35">
        <f t="shared" si="33"/>
        <v>20247.248461144372</v>
      </c>
      <c r="Z270" s="35">
        <f t="shared" si="34"/>
        <v>0</v>
      </c>
      <c r="AA270" s="35">
        <f t="shared" si="35"/>
        <v>1</v>
      </c>
      <c r="AB270" s="35">
        <f t="shared" si="36"/>
        <v>0</v>
      </c>
    </row>
    <row r="271" spans="1:28">
      <c r="A271" s="35">
        <v>260</v>
      </c>
      <c r="B271" s="35">
        <v>4.508021189589817E-4</v>
      </c>
      <c r="C271" s="232">
        <v>49.91</v>
      </c>
      <c r="D271" s="35">
        <v>5.0610085883816396</v>
      </c>
      <c r="E271" s="232">
        <v>30.66</v>
      </c>
      <c r="F271" s="35">
        <v>5.0504089926231615</v>
      </c>
      <c r="G271" s="232">
        <v>8427.3799999999992</v>
      </c>
      <c r="H271" s="35">
        <v>8.6967980474500806</v>
      </c>
      <c r="I271" s="232">
        <v>9519.81</v>
      </c>
      <c r="J271" s="35">
        <v>7.3837991556566456</v>
      </c>
      <c r="K271" s="232">
        <v>10665.18</v>
      </c>
      <c r="L271" s="35">
        <v>8.5440533334897193</v>
      </c>
      <c r="M271" s="232">
        <v>36637.870000000003</v>
      </c>
      <c r="N271" s="35">
        <v>7.38386569741985</v>
      </c>
      <c r="P271" s="232">
        <v>-19.25</v>
      </c>
      <c r="Q271" s="35">
        <v>1.0599595758478131E-2</v>
      </c>
      <c r="R271" s="232">
        <v>1092.42</v>
      </c>
      <c r="S271" s="35">
        <v>1.312998891793435</v>
      </c>
      <c r="T271" s="232">
        <v>25972.69</v>
      </c>
      <c r="U271" s="35">
        <v>1.1601876360698693</v>
      </c>
      <c r="W271" s="35">
        <f t="shared" si="31"/>
        <v>549.22978792390654</v>
      </c>
      <c r="X271" s="35">
        <f t="shared" si="32"/>
        <v>64557.524589671753</v>
      </c>
      <c r="Y271" s="35">
        <f t="shared" si="33"/>
        <v>32036.691803493468</v>
      </c>
      <c r="Z271" s="35">
        <f t="shared" si="34"/>
        <v>0</v>
      </c>
      <c r="AA271" s="35">
        <f t="shared" si="35"/>
        <v>1</v>
      </c>
      <c r="AB271" s="35">
        <f t="shared" si="36"/>
        <v>0</v>
      </c>
    </row>
    <row r="272" spans="1:28">
      <c r="A272" s="35">
        <v>261</v>
      </c>
      <c r="B272" s="35">
        <v>4.6820163850169738E-4</v>
      </c>
      <c r="C272" s="232">
        <v>78.209999999999994</v>
      </c>
      <c r="D272" s="35">
        <v>5.0606956424576097</v>
      </c>
      <c r="E272" s="232">
        <v>47.86</v>
      </c>
      <c r="F272" s="35">
        <v>5.0507910154684348</v>
      </c>
      <c r="G272" s="232">
        <v>12877.59</v>
      </c>
      <c r="H272" s="35">
        <v>8.3725858889460749</v>
      </c>
      <c r="I272" s="232">
        <v>13329.34</v>
      </c>
      <c r="J272" s="35">
        <v>6.9672136064733534</v>
      </c>
      <c r="K272" s="232">
        <v>17062.400000000001</v>
      </c>
      <c r="L272" s="35">
        <v>8.4552961523453849</v>
      </c>
      <c r="M272" s="232">
        <v>43277.23</v>
      </c>
      <c r="N272" s="35">
        <v>7.3709919068408354</v>
      </c>
      <c r="P272" s="232">
        <v>-30.35</v>
      </c>
      <c r="Q272" s="35">
        <v>9.9046269891749361E-3</v>
      </c>
      <c r="R272" s="232">
        <v>451.76</v>
      </c>
      <c r="S272" s="35">
        <v>1.4053722824727215</v>
      </c>
      <c r="T272" s="232">
        <v>26214.82</v>
      </c>
      <c r="U272" s="35">
        <v>1.0843042455045495</v>
      </c>
      <c r="W272" s="35">
        <f t="shared" si="31"/>
        <v>525.58134945874679</v>
      </c>
      <c r="X272" s="35">
        <f t="shared" si="32"/>
        <v>69816.854123636076</v>
      </c>
      <c r="Y272" s="35">
        <f t="shared" si="33"/>
        <v>28000.392275227474</v>
      </c>
      <c r="Z272" s="35">
        <f t="shared" si="34"/>
        <v>0</v>
      </c>
      <c r="AA272" s="35">
        <f t="shared" si="35"/>
        <v>1</v>
      </c>
      <c r="AB272" s="35">
        <f t="shared" si="36"/>
        <v>0</v>
      </c>
    </row>
    <row r="273" spans="1:28">
      <c r="A273" s="35">
        <v>262</v>
      </c>
      <c r="B273" s="35">
        <v>4.33800874233024E-4</v>
      </c>
      <c r="C273" s="232">
        <v>55.58</v>
      </c>
      <c r="D273" s="35">
        <v>5.0607522199147184</v>
      </c>
      <c r="E273" s="232">
        <v>38.369999999999997</v>
      </c>
      <c r="F273" s="35">
        <v>5.0521766580808363</v>
      </c>
      <c r="G273" s="232">
        <v>9864.9699999999993</v>
      </c>
      <c r="H273" s="35">
        <v>8.8580783115126049</v>
      </c>
      <c r="I273" s="232">
        <v>11185.73</v>
      </c>
      <c r="J273" s="35">
        <v>7.8402375106591027</v>
      </c>
      <c r="K273" s="232">
        <v>12220.83</v>
      </c>
      <c r="L273" s="35">
        <v>8.4784365220069553</v>
      </c>
      <c r="M273" s="232">
        <v>38219.65</v>
      </c>
      <c r="N273" s="35">
        <v>7.4039235095731302</v>
      </c>
      <c r="P273" s="232">
        <v>-17.22</v>
      </c>
      <c r="Q273" s="35">
        <v>8.5755618338820838E-3</v>
      </c>
      <c r="R273" s="232">
        <v>1320.76</v>
      </c>
      <c r="S273" s="35">
        <v>1.0178408008535023</v>
      </c>
      <c r="T273" s="232">
        <v>25998.83</v>
      </c>
      <c r="U273" s="35">
        <v>1.0745130124338251</v>
      </c>
      <c r="W273" s="35">
        <f t="shared" si="31"/>
        <v>445.99809169410423</v>
      </c>
      <c r="X273" s="35">
        <f t="shared" si="32"/>
        <v>49571.280042675113</v>
      </c>
      <c r="Y273" s="35">
        <f t="shared" si="33"/>
        <v>27726.820621691251</v>
      </c>
      <c r="Z273" s="35">
        <f t="shared" si="34"/>
        <v>0</v>
      </c>
      <c r="AA273" s="35">
        <f t="shared" si="35"/>
        <v>1</v>
      </c>
      <c r="AB273" s="35">
        <f t="shared" si="36"/>
        <v>0</v>
      </c>
    </row>
    <row r="274" spans="1:28">
      <c r="A274" s="35">
        <v>263</v>
      </c>
      <c r="B274" s="35">
        <v>5.6728996828381284E-4</v>
      </c>
      <c r="C274" s="232">
        <v>58.66</v>
      </c>
      <c r="D274" s="35">
        <v>5.0671035845342507</v>
      </c>
      <c r="E274" s="232">
        <v>33.21</v>
      </c>
      <c r="F274" s="35">
        <v>5.0526204604421459</v>
      </c>
      <c r="G274" s="232">
        <v>7630.67</v>
      </c>
      <c r="H274" s="35">
        <v>8.7244537095356485</v>
      </c>
      <c r="I274" s="232">
        <v>8705.5300000000007</v>
      </c>
      <c r="J274" s="35">
        <v>7.5558131629313783</v>
      </c>
      <c r="K274" s="232">
        <v>10074.48</v>
      </c>
      <c r="L274" s="35">
        <v>8.5237466918979958</v>
      </c>
      <c r="M274" s="232">
        <v>36023.79</v>
      </c>
      <c r="N274" s="35">
        <v>7.3563551361689195</v>
      </c>
      <c r="P274" s="232">
        <v>-25.45</v>
      </c>
      <c r="Q274" s="35">
        <v>1.4483124092104838E-2</v>
      </c>
      <c r="R274" s="232">
        <v>1074.8599999999999</v>
      </c>
      <c r="S274" s="35">
        <v>1.1686405466042702</v>
      </c>
      <c r="T274" s="232">
        <v>25949.31</v>
      </c>
      <c r="U274" s="35">
        <v>1.1673915557290764</v>
      </c>
      <c r="W274" s="35">
        <f t="shared" si="31"/>
        <v>749.60620460524194</v>
      </c>
      <c r="X274" s="35">
        <f t="shared" si="32"/>
        <v>57357.16733021351</v>
      </c>
      <c r="Y274" s="35">
        <f t="shared" si="33"/>
        <v>32420.267786453816</v>
      </c>
      <c r="Z274" s="35">
        <f t="shared" si="34"/>
        <v>0</v>
      </c>
      <c r="AA274" s="35">
        <f t="shared" si="35"/>
        <v>1</v>
      </c>
      <c r="AB274" s="35">
        <f t="shared" si="36"/>
        <v>0</v>
      </c>
    </row>
    <row r="275" spans="1:28">
      <c r="A275" s="35">
        <v>264</v>
      </c>
      <c r="B275" s="35">
        <v>5.024469641817797E-4</v>
      </c>
      <c r="C275" s="232">
        <v>81.12</v>
      </c>
      <c r="D275" s="35">
        <v>5.0646395770833754</v>
      </c>
      <c r="E275" s="232">
        <v>49.08</v>
      </c>
      <c r="F275" s="35">
        <v>5.0528801053446433</v>
      </c>
      <c r="G275" s="232">
        <v>12639.92</v>
      </c>
      <c r="H275" s="35">
        <v>8.9269878209461808</v>
      </c>
      <c r="I275" s="232">
        <v>13590.45</v>
      </c>
      <c r="J275" s="35">
        <v>7.8862771726772882</v>
      </c>
      <c r="K275" s="232">
        <v>16868.96</v>
      </c>
      <c r="L275" s="35">
        <v>8.6592401196570066</v>
      </c>
      <c r="M275" s="232">
        <v>43117.88</v>
      </c>
      <c r="N275" s="35">
        <v>7.607950689045154</v>
      </c>
      <c r="P275" s="232">
        <v>-32.04</v>
      </c>
      <c r="Q275" s="35">
        <v>1.1759471738732152E-2</v>
      </c>
      <c r="R275" s="232">
        <v>950.53</v>
      </c>
      <c r="S275" s="35">
        <v>1.0407106482688926</v>
      </c>
      <c r="T275" s="232">
        <v>26248.92</v>
      </c>
      <c r="U275" s="35">
        <v>1.0512894306118525</v>
      </c>
      <c r="W275" s="35">
        <f t="shared" si="31"/>
        <v>620.01358693660757</v>
      </c>
      <c r="X275" s="35">
        <f t="shared" si="32"/>
        <v>51085.002413444628</v>
      </c>
      <c r="Y275" s="35">
        <f t="shared" si="33"/>
        <v>26315.551530592631</v>
      </c>
      <c r="Z275" s="35">
        <f t="shared" si="34"/>
        <v>0</v>
      </c>
      <c r="AA275" s="35">
        <f t="shared" si="35"/>
        <v>1</v>
      </c>
      <c r="AB275" s="35">
        <f t="shared" si="36"/>
        <v>0</v>
      </c>
    </row>
    <row r="276" spans="1:28">
      <c r="A276" s="35">
        <v>265</v>
      </c>
      <c r="B276" s="35">
        <v>4.605715229100138E-4</v>
      </c>
      <c r="C276" s="232">
        <v>64.78</v>
      </c>
      <c r="D276" s="35">
        <v>5.0646336940825289</v>
      </c>
      <c r="E276" s="232">
        <v>35.880000000000003</v>
      </c>
      <c r="F276" s="35">
        <v>5.0512065393068779</v>
      </c>
      <c r="G276" s="232">
        <v>11497.16</v>
      </c>
      <c r="H276" s="35">
        <v>9.4022451198592432</v>
      </c>
      <c r="I276" s="232">
        <v>13371.33</v>
      </c>
      <c r="J276" s="35">
        <v>8.6285566808893286</v>
      </c>
      <c r="K276" s="232">
        <v>12971.41</v>
      </c>
      <c r="L276" s="35">
        <v>8.9399853820578645</v>
      </c>
      <c r="M276" s="232">
        <v>38941.440000000002</v>
      </c>
      <c r="N276" s="35">
        <v>7.8159647059711732</v>
      </c>
      <c r="P276" s="232">
        <v>-28.9</v>
      </c>
      <c r="Q276" s="35">
        <v>1.342715477565104E-2</v>
      </c>
      <c r="R276" s="232">
        <v>1874.17</v>
      </c>
      <c r="S276" s="35">
        <v>0.77368843896991457</v>
      </c>
      <c r="T276" s="232">
        <v>25970.02</v>
      </c>
      <c r="U276" s="35">
        <v>1.1240206760866913</v>
      </c>
      <c r="W276" s="35">
        <f t="shared" si="31"/>
        <v>700.257738782552</v>
      </c>
      <c r="X276" s="35">
        <f t="shared" si="32"/>
        <v>36810.25194849573</v>
      </c>
      <c r="Y276" s="35">
        <f t="shared" si="33"/>
        <v>30231.013804334569</v>
      </c>
      <c r="Z276" s="35">
        <f t="shared" si="34"/>
        <v>0</v>
      </c>
      <c r="AA276" s="35">
        <f t="shared" si="35"/>
        <v>1</v>
      </c>
      <c r="AB276" s="35">
        <f t="shared" si="36"/>
        <v>0</v>
      </c>
    </row>
    <row r="277" spans="1:28">
      <c r="A277" s="35">
        <v>266</v>
      </c>
      <c r="B277" s="35">
        <v>4.8290845038823083E-4</v>
      </c>
      <c r="C277" s="232">
        <v>65.7</v>
      </c>
      <c r="D277" s="35">
        <v>5.0629119746263589</v>
      </c>
      <c r="E277" s="232">
        <v>38.76</v>
      </c>
      <c r="F277" s="35">
        <v>5.0512696201515004</v>
      </c>
      <c r="G277" s="232">
        <v>10335.58</v>
      </c>
      <c r="H277" s="35">
        <v>8.6508937332636542</v>
      </c>
      <c r="I277" s="232">
        <v>11939.22</v>
      </c>
      <c r="J277" s="35">
        <v>7.9136943346488868</v>
      </c>
      <c r="K277" s="232">
        <v>11951.66</v>
      </c>
      <c r="L277" s="35">
        <v>8.798745576713932</v>
      </c>
      <c r="M277" s="232">
        <v>37723.980000000003</v>
      </c>
      <c r="N277" s="35">
        <v>7.677105794937698</v>
      </c>
      <c r="P277" s="232">
        <v>-26.94</v>
      </c>
      <c r="Q277" s="35">
        <v>1.1642354474858507E-2</v>
      </c>
      <c r="R277" s="232">
        <v>1603.64</v>
      </c>
      <c r="S277" s="35">
        <v>0.73719939861476735</v>
      </c>
      <c r="T277" s="232">
        <v>25772.32</v>
      </c>
      <c r="U277" s="35">
        <v>1.121639781776234</v>
      </c>
      <c r="W277" s="35">
        <f t="shared" si="31"/>
        <v>609.05772374292542</v>
      </c>
      <c r="X277" s="35">
        <f t="shared" si="32"/>
        <v>35256.329930738371</v>
      </c>
      <c r="Y277" s="35">
        <f t="shared" si="33"/>
        <v>30309.669088811701</v>
      </c>
      <c r="Z277" s="35">
        <f t="shared" si="34"/>
        <v>0</v>
      </c>
      <c r="AA277" s="35">
        <f t="shared" si="35"/>
        <v>1</v>
      </c>
      <c r="AB277" s="35">
        <f t="shared" si="36"/>
        <v>0</v>
      </c>
    </row>
    <row r="278" spans="1:28">
      <c r="A278" s="35">
        <v>267</v>
      </c>
      <c r="B278" s="35">
        <v>4.53126673662263E-4</v>
      </c>
      <c r="C278" s="232">
        <v>78.23</v>
      </c>
      <c r="D278" s="35">
        <v>5.062855191951428</v>
      </c>
      <c r="E278" s="232">
        <v>46.99</v>
      </c>
      <c r="F278" s="35">
        <v>5.0517292593450547</v>
      </c>
      <c r="G278" s="232">
        <v>13861.01</v>
      </c>
      <c r="H278" s="35">
        <v>9.2865127933907257</v>
      </c>
      <c r="I278" s="232">
        <v>15200.75</v>
      </c>
      <c r="J278" s="35">
        <v>8.2129328354057805</v>
      </c>
      <c r="K278" s="232">
        <v>15818.06</v>
      </c>
      <c r="L278" s="35">
        <v>8.4967751838615779</v>
      </c>
      <c r="M278" s="232">
        <v>41811.5</v>
      </c>
      <c r="N278" s="35">
        <v>7.3940158757121219</v>
      </c>
      <c r="P278" s="232">
        <v>-31.24</v>
      </c>
      <c r="Q278" s="35">
        <v>1.112593260637329E-2</v>
      </c>
      <c r="R278" s="232">
        <v>1339.74</v>
      </c>
      <c r="S278" s="35">
        <v>1.0735799579849452</v>
      </c>
      <c r="T278" s="232">
        <v>25993.439999999999</v>
      </c>
      <c r="U278" s="35">
        <v>1.102759308149456</v>
      </c>
      <c r="W278" s="35">
        <f t="shared" si="31"/>
        <v>587.53663031866449</v>
      </c>
      <c r="X278" s="35">
        <f t="shared" si="32"/>
        <v>52339.257899247263</v>
      </c>
      <c r="Y278" s="35">
        <f t="shared" si="33"/>
        <v>29144.525407472804</v>
      </c>
      <c r="Z278" s="35">
        <f t="shared" si="34"/>
        <v>0</v>
      </c>
      <c r="AA278" s="35">
        <f t="shared" si="35"/>
        <v>1</v>
      </c>
      <c r="AB278" s="35">
        <f t="shared" si="36"/>
        <v>0</v>
      </c>
    </row>
    <row r="279" spans="1:28">
      <c r="A279" s="35">
        <v>268</v>
      </c>
      <c r="B279" s="35">
        <v>4.7187855698183068E-4</v>
      </c>
      <c r="C279" s="232">
        <v>55.47</v>
      </c>
      <c r="D279" s="35">
        <v>5.0630933772326427</v>
      </c>
      <c r="E279" s="232">
        <v>33.28</v>
      </c>
      <c r="F279" s="35">
        <v>5.0513609636110228</v>
      </c>
      <c r="G279" s="232">
        <v>8515.2000000000007</v>
      </c>
      <c r="H279" s="35">
        <v>8.7832110944376662</v>
      </c>
      <c r="I279" s="232">
        <v>9358.5</v>
      </c>
      <c r="J279" s="35">
        <v>7.2599125693560289</v>
      </c>
      <c r="K279" s="232">
        <v>9983.57</v>
      </c>
      <c r="L279" s="35">
        <v>8.892518845939394</v>
      </c>
      <c r="M279" s="232">
        <v>35875.35</v>
      </c>
      <c r="N279" s="35">
        <v>7.8618129129563936</v>
      </c>
      <c r="P279" s="232">
        <v>-22.19</v>
      </c>
      <c r="Q279" s="35">
        <v>1.1732413621619919E-2</v>
      </c>
      <c r="R279" s="232">
        <v>843.3</v>
      </c>
      <c r="S279" s="35">
        <v>1.5232985250816373</v>
      </c>
      <c r="T279" s="232">
        <v>25891.78</v>
      </c>
      <c r="U279" s="35">
        <v>1.0307059329830004</v>
      </c>
      <c r="W279" s="35">
        <f t="shared" si="31"/>
        <v>608.81068108099601</v>
      </c>
      <c r="X279" s="35">
        <f t="shared" si="32"/>
        <v>75321.626254081857</v>
      </c>
      <c r="Y279" s="35">
        <f t="shared" si="33"/>
        <v>25643.51664915002</v>
      </c>
      <c r="Z279" s="35">
        <f t="shared" si="34"/>
        <v>0</v>
      </c>
      <c r="AA279" s="35">
        <f t="shared" si="35"/>
        <v>1</v>
      </c>
      <c r="AB279" s="35">
        <f t="shared" si="36"/>
        <v>0</v>
      </c>
    </row>
    <row r="280" spans="1:28">
      <c r="A280" s="35">
        <v>269</v>
      </c>
      <c r="B280" s="35">
        <v>4.3733715572394881E-4</v>
      </c>
      <c r="C280" s="232">
        <v>45.58</v>
      </c>
      <c r="D280" s="35">
        <v>5.0619936386089366</v>
      </c>
      <c r="E280" s="232">
        <v>29.61</v>
      </c>
      <c r="F280" s="35">
        <v>5.0516235334086819</v>
      </c>
      <c r="G280" s="232">
        <v>8443.59</v>
      </c>
      <c r="H280" s="35">
        <v>9.213890684012604</v>
      </c>
      <c r="I280" s="232">
        <v>10250.31</v>
      </c>
      <c r="J280" s="35">
        <v>8.2933804255218853</v>
      </c>
      <c r="K280" s="232">
        <v>9876.43</v>
      </c>
      <c r="L280" s="35">
        <v>8.5217721035725749</v>
      </c>
      <c r="M280" s="232">
        <v>35749.54</v>
      </c>
      <c r="N280" s="35">
        <v>7.4112060617517486</v>
      </c>
      <c r="P280" s="232">
        <v>-15.98</v>
      </c>
      <c r="Q280" s="35">
        <v>1.037010520025472E-2</v>
      </c>
      <c r="R280" s="232">
        <v>1806.72</v>
      </c>
      <c r="S280" s="35">
        <v>0.92051025849071877</v>
      </c>
      <c r="T280" s="232">
        <v>25873.11</v>
      </c>
      <c r="U280" s="35">
        <v>1.1105660418208263</v>
      </c>
      <c r="W280" s="35">
        <f t="shared" si="31"/>
        <v>534.48526001273603</v>
      </c>
      <c r="X280" s="35">
        <f t="shared" si="32"/>
        <v>44218.792924535934</v>
      </c>
      <c r="Y280" s="35">
        <f t="shared" si="33"/>
        <v>29655.192091041317</v>
      </c>
      <c r="Z280" s="35">
        <f t="shared" si="34"/>
        <v>0</v>
      </c>
      <c r="AA280" s="35">
        <f t="shared" si="35"/>
        <v>1</v>
      </c>
      <c r="AB280" s="35">
        <f t="shared" si="36"/>
        <v>0</v>
      </c>
    </row>
    <row r="281" spans="1:28">
      <c r="A281" s="35">
        <v>270</v>
      </c>
      <c r="B281" s="35">
        <v>4.7593763241393638E-4</v>
      </c>
      <c r="C281" s="232">
        <v>65.19</v>
      </c>
      <c r="D281" s="35">
        <v>5.0625955299763259</v>
      </c>
      <c r="E281" s="232">
        <v>41.39</v>
      </c>
      <c r="F281" s="35">
        <v>5.0522010446578571</v>
      </c>
      <c r="G281" s="232">
        <v>10932.57</v>
      </c>
      <c r="H281" s="35">
        <v>8.6227385735062914</v>
      </c>
      <c r="I281" s="232">
        <v>12574.93</v>
      </c>
      <c r="J281" s="35">
        <v>7.7219654241212776</v>
      </c>
      <c r="K281" s="232">
        <v>13471.76</v>
      </c>
      <c r="L281" s="35">
        <v>8.6315774283706599</v>
      </c>
      <c r="M281" s="232">
        <v>39480.76</v>
      </c>
      <c r="N281" s="35">
        <v>7.5209656628054482</v>
      </c>
      <c r="P281" s="232">
        <v>-23.8</v>
      </c>
      <c r="Q281" s="35">
        <v>1.039448531846876E-2</v>
      </c>
      <c r="R281" s="232">
        <v>1642.36</v>
      </c>
      <c r="S281" s="35">
        <v>0.90077314938501374</v>
      </c>
      <c r="T281" s="232">
        <v>26009</v>
      </c>
      <c r="U281" s="35">
        <v>1.1106117655652117</v>
      </c>
      <c r="W281" s="35">
        <f t="shared" si="31"/>
        <v>543.52426592343795</v>
      </c>
      <c r="X281" s="35">
        <f t="shared" si="32"/>
        <v>43396.297469250683</v>
      </c>
      <c r="Y281" s="35">
        <f t="shared" si="33"/>
        <v>29521.588278260584</v>
      </c>
      <c r="Z281" s="35">
        <f t="shared" si="34"/>
        <v>0</v>
      </c>
      <c r="AA281" s="35">
        <f t="shared" si="35"/>
        <v>1</v>
      </c>
      <c r="AB281" s="35">
        <f t="shared" si="36"/>
        <v>0</v>
      </c>
    </row>
    <row r="282" spans="1:28">
      <c r="A282" s="35">
        <v>271</v>
      </c>
      <c r="B282" s="35">
        <v>5.8312008285210659E-4</v>
      </c>
      <c r="C282" s="232">
        <v>67.28</v>
      </c>
      <c r="D282" s="35">
        <v>5.0709005876056086</v>
      </c>
      <c r="E282" s="232">
        <v>40</v>
      </c>
      <c r="F282" s="35">
        <v>5.0557320951993541</v>
      </c>
      <c r="G282" s="232">
        <v>8712.11</v>
      </c>
      <c r="H282" s="35">
        <v>9.1874783920469341</v>
      </c>
      <c r="I282" s="232">
        <v>9475.58</v>
      </c>
      <c r="J282" s="35">
        <v>7.5111247696278767</v>
      </c>
      <c r="K282" s="232">
        <v>10723.07</v>
      </c>
      <c r="L282" s="35">
        <v>8.900208868361398</v>
      </c>
      <c r="M282" s="232">
        <v>36508.68</v>
      </c>
      <c r="N282" s="35">
        <v>7.7635106962849152</v>
      </c>
      <c r="P282" s="232">
        <v>-27.28</v>
      </c>
      <c r="Q282" s="35">
        <v>1.5168492406254508E-2</v>
      </c>
      <c r="R282" s="232">
        <v>763.48</v>
      </c>
      <c r="S282" s="35">
        <v>1.6763536224190574</v>
      </c>
      <c r="T282" s="232">
        <v>25785.62</v>
      </c>
      <c r="U282" s="35">
        <v>1.1366981720764828</v>
      </c>
      <c r="W282" s="35">
        <f t="shared" si="31"/>
        <v>785.70462031272541</v>
      </c>
      <c r="X282" s="35">
        <f t="shared" si="32"/>
        <v>83054.201120952872</v>
      </c>
      <c r="Y282" s="35">
        <f t="shared" si="33"/>
        <v>31049.288603824145</v>
      </c>
      <c r="Z282" s="35">
        <f t="shared" si="34"/>
        <v>0</v>
      </c>
      <c r="AA282" s="35">
        <f t="shared" si="35"/>
        <v>1</v>
      </c>
      <c r="AB282" s="35">
        <f t="shared" si="36"/>
        <v>0</v>
      </c>
    </row>
    <row r="283" spans="1:28">
      <c r="A283" s="35">
        <v>272</v>
      </c>
      <c r="B283" s="35">
        <v>4.3314663603114445E-4</v>
      </c>
      <c r="C283" s="232">
        <v>59.46</v>
      </c>
      <c r="D283" s="35">
        <v>5.061890005621172</v>
      </c>
      <c r="E283" s="232">
        <v>36.75</v>
      </c>
      <c r="F283" s="35">
        <v>5.0512597092399485</v>
      </c>
      <c r="G283" s="232">
        <v>10614.68</v>
      </c>
      <c r="H283" s="35">
        <v>9.1486247897390029</v>
      </c>
      <c r="I283" s="232">
        <v>11496.11</v>
      </c>
      <c r="J283" s="35">
        <v>7.451838083630193</v>
      </c>
      <c r="K283" s="232">
        <v>11920.6</v>
      </c>
      <c r="L283" s="35">
        <v>8.8243791433023731</v>
      </c>
      <c r="M283" s="232">
        <v>37817.86</v>
      </c>
      <c r="N283" s="35">
        <v>7.7476052527667454</v>
      </c>
      <c r="P283" s="232">
        <v>-22.71</v>
      </c>
      <c r="Q283" s="35">
        <v>1.0630296381223481E-2</v>
      </c>
      <c r="R283" s="232">
        <v>881.43</v>
      </c>
      <c r="S283" s="35">
        <v>1.69678670610881</v>
      </c>
      <c r="T283" s="232">
        <v>25897.26</v>
      </c>
      <c r="U283" s="35">
        <v>1.0767738905356277</v>
      </c>
      <c r="W283" s="35">
        <f t="shared" si="31"/>
        <v>554.22481906117412</v>
      </c>
      <c r="X283" s="35">
        <f t="shared" si="32"/>
        <v>83957.905305440509</v>
      </c>
      <c r="Y283" s="35">
        <f t="shared" si="33"/>
        <v>27941.434526781388</v>
      </c>
      <c r="Z283" s="35">
        <f t="shared" si="34"/>
        <v>0</v>
      </c>
      <c r="AA283" s="35">
        <f t="shared" si="35"/>
        <v>1</v>
      </c>
      <c r="AB283" s="35">
        <f t="shared" si="36"/>
        <v>0</v>
      </c>
    </row>
    <row r="284" spans="1:28">
      <c r="A284" s="35">
        <v>273</v>
      </c>
      <c r="B284" s="35">
        <v>5.3235184248823231E-4</v>
      </c>
      <c r="C284" s="232">
        <v>124.71</v>
      </c>
      <c r="D284" s="35">
        <v>5.0669104479404368</v>
      </c>
      <c r="E284" s="232">
        <v>76.44</v>
      </c>
      <c r="F284" s="35">
        <v>5.0548381569515621</v>
      </c>
      <c r="G284" s="232">
        <v>17821.990000000002</v>
      </c>
      <c r="H284" s="35">
        <v>9.2496853400398962</v>
      </c>
      <c r="I284" s="232">
        <v>17590.7</v>
      </c>
      <c r="J284" s="35">
        <v>8.1614659934494505</v>
      </c>
      <c r="K284" s="232">
        <v>23453.119999999999</v>
      </c>
      <c r="L284" s="35">
        <v>8.2671704199803138</v>
      </c>
      <c r="M284" s="232">
        <v>49949.78</v>
      </c>
      <c r="N284" s="35">
        <v>7.1888169078786683</v>
      </c>
      <c r="P284" s="232">
        <v>-48.26</v>
      </c>
      <c r="Q284" s="35">
        <v>1.2072290988874634E-2</v>
      </c>
      <c r="R284" s="232">
        <v>-231.29</v>
      </c>
      <c r="S284" s="35">
        <v>1.0882193465904457</v>
      </c>
      <c r="T284" s="232">
        <v>26496.65</v>
      </c>
      <c r="U284" s="35">
        <v>1.0783535121016454</v>
      </c>
      <c r="W284" s="35">
        <f t="shared" si="31"/>
        <v>651.87454944373167</v>
      </c>
      <c r="X284" s="35">
        <f t="shared" si="32"/>
        <v>54642.25732952229</v>
      </c>
      <c r="Y284" s="35">
        <f t="shared" si="33"/>
        <v>27421.025605082272</v>
      </c>
      <c r="Z284" s="35">
        <f t="shared" si="34"/>
        <v>0</v>
      </c>
      <c r="AA284" s="35">
        <f t="shared" si="35"/>
        <v>1</v>
      </c>
      <c r="AB284" s="35">
        <f t="shared" si="36"/>
        <v>0</v>
      </c>
    </row>
    <row r="285" spans="1:28">
      <c r="A285" s="35">
        <v>274</v>
      </c>
      <c r="B285" s="35">
        <v>5.080078224459772E-4</v>
      </c>
      <c r="C285" s="232">
        <v>69.02</v>
      </c>
      <c r="D285" s="35">
        <v>5.0652090593640136</v>
      </c>
      <c r="E285" s="232">
        <v>46.93</v>
      </c>
      <c r="F285" s="35">
        <v>5.0550283233145068</v>
      </c>
      <c r="G285" s="232">
        <v>10100.48</v>
      </c>
      <c r="H285" s="35">
        <v>8.8597363095182367</v>
      </c>
      <c r="I285" s="232">
        <v>10157.620000000001</v>
      </c>
      <c r="J285" s="35">
        <v>7.0405025343793133</v>
      </c>
      <c r="K285" s="232">
        <v>13409.07</v>
      </c>
      <c r="L285" s="35">
        <v>8.6443908344311247</v>
      </c>
      <c r="M285" s="232">
        <v>39348.080000000002</v>
      </c>
      <c r="N285" s="35">
        <v>7.4800938789177556</v>
      </c>
      <c r="P285" s="232">
        <v>-22.09</v>
      </c>
      <c r="Q285" s="35">
        <v>1.0180736049506756E-2</v>
      </c>
      <c r="R285" s="232">
        <v>57.14</v>
      </c>
      <c r="S285" s="35">
        <v>1.8192337751389234</v>
      </c>
      <c r="T285" s="232">
        <v>25939.01</v>
      </c>
      <c r="U285" s="35">
        <v>1.1642969555133691</v>
      </c>
      <c r="W285" s="35">
        <f t="shared" si="31"/>
        <v>531.12680247533774</v>
      </c>
      <c r="X285" s="35">
        <f t="shared" si="32"/>
        <v>90904.548756946169</v>
      </c>
      <c r="Y285" s="35">
        <f t="shared" si="33"/>
        <v>32275.837775668453</v>
      </c>
      <c r="Z285" s="35">
        <f t="shared" si="34"/>
        <v>0</v>
      </c>
      <c r="AA285" s="35">
        <f t="shared" si="35"/>
        <v>1</v>
      </c>
      <c r="AB285" s="35">
        <f t="shared" si="36"/>
        <v>0</v>
      </c>
    </row>
    <row r="286" spans="1:28">
      <c r="A286" s="35">
        <v>275</v>
      </c>
      <c r="B286" s="35">
        <v>4.2142733121735453E-4</v>
      </c>
      <c r="C286" s="232">
        <v>62.09</v>
      </c>
      <c r="D286" s="35">
        <v>5.0610086893012856</v>
      </c>
      <c r="E286" s="232">
        <v>35.07</v>
      </c>
      <c r="F286" s="35">
        <v>5.0495987760575138</v>
      </c>
      <c r="G286" s="232">
        <v>11793.27</v>
      </c>
      <c r="H286" s="35">
        <v>8.9855968609988519</v>
      </c>
      <c r="I286" s="232">
        <v>12845.42</v>
      </c>
      <c r="J286" s="35">
        <v>7.5757718745435652</v>
      </c>
      <c r="K286" s="232">
        <v>14848.22</v>
      </c>
      <c r="L286" s="35">
        <v>9.1138089754133915</v>
      </c>
      <c r="M286" s="232">
        <v>40840.92</v>
      </c>
      <c r="N286" s="35">
        <v>8.0909133718637527</v>
      </c>
      <c r="P286" s="232">
        <v>-27.02</v>
      </c>
      <c r="Q286" s="35">
        <v>1.1409913243771719E-2</v>
      </c>
      <c r="R286" s="232">
        <v>1052.1500000000001</v>
      </c>
      <c r="S286" s="35">
        <v>1.4098249864552868</v>
      </c>
      <c r="T286" s="232">
        <v>25992.7</v>
      </c>
      <c r="U286" s="35">
        <v>1.0228956035496388</v>
      </c>
      <c r="W286" s="35">
        <f t="shared" si="31"/>
        <v>597.51566218858591</v>
      </c>
      <c r="X286" s="35">
        <f t="shared" si="32"/>
        <v>69439.099322764348</v>
      </c>
      <c r="Y286" s="35">
        <f t="shared" si="33"/>
        <v>25152.080177481937</v>
      </c>
      <c r="Z286" s="35">
        <f t="shared" si="34"/>
        <v>0</v>
      </c>
      <c r="AA286" s="35">
        <f t="shared" si="35"/>
        <v>1</v>
      </c>
      <c r="AB286" s="35">
        <f t="shared" si="36"/>
        <v>0</v>
      </c>
    </row>
    <row r="287" spans="1:28">
      <c r="A287" s="35">
        <v>276</v>
      </c>
      <c r="B287" s="35">
        <v>5.258219219738125E-4</v>
      </c>
      <c r="C287" s="232">
        <v>83.24</v>
      </c>
      <c r="D287" s="35">
        <v>5.066793504758401</v>
      </c>
      <c r="E287" s="232">
        <v>56.86</v>
      </c>
      <c r="F287" s="35">
        <v>5.0563737039032484</v>
      </c>
      <c r="G287" s="232">
        <v>11998.78</v>
      </c>
      <c r="H287" s="35">
        <v>8.9812349499468418</v>
      </c>
      <c r="I287" s="232">
        <v>12816.48</v>
      </c>
      <c r="J287" s="35">
        <v>7.8316397740104353</v>
      </c>
      <c r="K287" s="232">
        <v>15791.56</v>
      </c>
      <c r="L287" s="35">
        <v>8.7233459989409052</v>
      </c>
      <c r="M287" s="232">
        <v>41934.81</v>
      </c>
      <c r="N287" s="35">
        <v>7.5963806094191204</v>
      </c>
      <c r="P287" s="232">
        <v>-26.38</v>
      </c>
      <c r="Q287" s="35">
        <v>1.0419800855152594E-2</v>
      </c>
      <c r="R287" s="232">
        <v>817.7</v>
      </c>
      <c r="S287" s="35">
        <v>1.1495951759364065</v>
      </c>
      <c r="T287" s="232">
        <v>26143.25</v>
      </c>
      <c r="U287" s="35">
        <v>1.1269653895217848</v>
      </c>
      <c r="W287" s="35">
        <f t="shared" si="31"/>
        <v>547.37004275762968</v>
      </c>
      <c r="X287" s="35">
        <f t="shared" si="32"/>
        <v>56662.058796820325</v>
      </c>
      <c r="Y287" s="35">
        <f t="shared" si="33"/>
        <v>30205.019476089241</v>
      </c>
      <c r="Z287" s="35">
        <f t="shared" si="34"/>
        <v>0</v>
      </c>
      <c r="AA287" s="35">
        <f t="shared" si="35"/>
        <v>1</v>
      </c>
      <c r="AB287" s="35">
        <f t="shared" si="36"/>
        <v>0</v>
      </c>
    </row>
    <row r="288" spans="1:28">
      <c r="A288" s="35">
        <v>277</v>
      </c>
      <c r="B288" s="35">
        <v>4.8365136243300189E-4</v>
      </c>
      <c r="C288" s="232">
        <v>57.56</v>
      </c>
      <c r="D288" s="35">
        <v>5.0625155066888388</v>
      </c>
      <c r="E288" s="232">
        <v>40.049999999999997</v>
      </c>
      <c r="F288" s="35">
        <v>5.0534682113346463</v>
      </c>
      <c r="G288" s="232">
        <v>8986.06</v>
      </c>
      <c r="H288" s="35">
        <v>8.2375348208188175</v>
      </c>
      <c r="I288" s="232">
        <v>10491.83</v>
      </c>
      <c r="J288" s="35">
        <v>7.3766085251381446</v>
      </c>
      <c r="K288" s="232">
        <v>12441.59</v>
      </c>
      <c r="L288" s="35">
        <v>8.999483206899594</v>
      </c>
      <c r="M288" s="232">
        <v>38389.64</v>
      </c>
      <c r="N288" s="35">
        <v>7.8768164325108003</v>
      </c>
      <c r="P288" s="232">
        <v>-17.510000000000002</v>
      </c>
      <c r="Q288" s="35">
        <v>9.0472953541924639E-3</v>
      </c>
      <c r="R288" s="232">
        <v>1505.77</v>
      </c>
      <c r="S288" s="35">
        <v>0.86092629568067292</v>
      </c>
      <c r="T288" s="232">
        <v>25948.05</v>
      </c>
      <c r="U288" s="35">
        <v>1.1226667743887937</v>
      </c>
      <c r="W288" s="35">
        <f t="shared" si="31"/>
        <v>469.8747677096232</v>
      </c>
      <c r="X288" s="35">
        <f t="shared" si="32"/>
        <v>41540.544784033649</v>
      </c>
      <c r="Y288" s="35">
        <f t="shared" si="33"/>
        <v>30185.288719439686</v>
      </c>
      <c r="Z288" s="35">
        <f t="shared" si="34"/>
        <v>0</v>
      </c>
      <c r="AA288" s="35">
        <f t="shared" si="35"/>
        <v>1</v>
      </c>
      <c r="AB288" s="35">
        <f t="shared" si="36"/>
        <v>0</v>
      </c>
    </row>
    <row r="289" spans="1:28">
      <c r="A289" s="35">
        <v>278</v>
      </c>
      <c r="B289" s="35">
        <v>4.8367105630242602E-4</v>
      </c>
      <c r="C289" s="232">
        <v>79.67</v>
      </c>
      <c r="D289" s="35">
        <v>5.063405056694033</v>
      </c>
      <c r="E289" s="232">
        <v>52.12</v>
      </c>
      <c r="F289" s="35">
        <v>5.0534208741539999</v>
      </c>
      <c r="G289" s="232">
        <v>12935.32</v>
      </c>
      <c r="H289" s="35">
        <v>8.8960368120817179</v>
      </c>
      <c r="I289" s="232">
        <v>13745.88</v>
      </c>
      <c r="J289" s="35">
        <v>7.5420697929285945</v>
      </c>
      <c r="K289" s="232">
        <v>16239.02</v>
      </c>
      <c r="L289" s="35">
        <v>8.5264009424257114</v>
      </c>
      <c r="M289" s="232">
        <v>42376.02</v>
      </c>
      <c r="N289" s="35">
        <v>7.4407843404796958</v>
      </c>
      <c r="P289" s="232">
        <v>-27.55</v>
      </c>
      <c r="Q289" s="35">
        <v>9.9841825400330819E-3</v>
      </c>
      <c r="R289" s="232">
        <v>810.56</v>
      </c>
      <c r="S289" s="35">
        <v>1.3539670191531235</v>
      </c>
      <c r="T289" s="232">
        <v>26137</v>
      </c>
      <c r="U289" s="35">
        <v>1.0856166019460156</v>
      </c>
      <c r="W289" s="35">
        <f t="shared" si="31"/>
        <v>526.75912700165406</v>
      </c>
      <c r="X289" s="35">
        <f t="shared" si="32"/>
        <v>66887.79095765618</v>
      </c>
      <c r="Y289" s="35">
        <f t="shared" si="33"/>
        <v>28143.830097300779</v>
      </c>
      <c r="Z289" s="35">
        <f t="shared" si="34"/>
        <v>0</v>
      </c>
      <c r="AA289" s="35">
        <f t="shared" si="35"/>
        <v>1</v>
      </c>
      <c r="AB289" s="35">
        <f t="shared" si="36"/>
        <v>0</v>
      </c>
    </row>
    <row r="290" spans="1:28">
      <c r="A290" s="35">
        <v>279</v>
      </c>
      <c r="B290" s="35">
        <v>3.8604970273629138E-4</v>
      </c>
      <c r="C290" s="232">
        <v>61.95</v>
      </c>
      <c r="D290" s="35">
        <v>5.056628998554034</v>
      </c>
      <c r="E290" s="232">
        <v>40.909999999999997</v>
      </c>
      <c r="F290" s="35">
        <v>5.0491686328345482</v>
      </c>
      <c r="G290" s="232">
        <v>12057.06</v>
      </c>
      <c r="H290" s="35">
        <v>8.2974621471251204</v>
      </c>
      <c r="I290" s="232">
        <v>12968.8</v>
      </c>
      <c r="J290" s="35">
        <v>7.5109798450982179</v>
      </c>
      <c r="K290" s="232">
        <v>18379.560000000001</v>
      </c>
      <c r="L290" s="35">
        <v>8.4615685759984789</v>
      </c>
      <c r="M290" s="232">
        <v>44544.31</v>
      </c>
      <c r="N290" s="35">
        <v>7.3593147799739214</v>
      </c>
      <c r="P290" s="232">
        <v>-21.04</v>
      </c>
      <c r="Q290" s="35">
        <v>7.4603657194858286E-3</v>
      </c>
      <c r="R290" s="232">
        <v>911.74</v>
      </c>
      <c r="S290" s="35">
        <v>0.7864823020269025</v>
      </c>
      <c r="T290" s="232">
        <v>26164.75</v>
      </c>
      <c r="U290" s="35">
        <v>1.1022537960245575</v>
      </c>
      <c r="W290" s="35">
        <f t="shared" si="31"/>
        <v>394.05828597429144</v>
      </c>
      <c r="X290" s="35">
        <f t="shared" si="32"/>
        <v>38412.375101345126</v>
      </c>
      <c r="Y290" s="35">
        <f t="shared" si="33"/>
        <v>28947.939801227876</v>
      </c>
      <c r="Z290" s="35">
        <f t="shared" si="34"/>
        <v>0</v>
      </c>
      <c r="AA290" s="35">
        <f t="shared" si="35"/>
        <v>1</v>
      </c>
      <c r="AB290" s="35">
        <f t="shared" si="36"/>
        <v>0</v>
      </c>
    </row>
    <row r="291" spans="1:28">
      <c r="A291" s="35">
        <v>280</v>
      </c>
      <c r="B291" s="35">
        <v>3.5524513093913732E-4</v>
      </c>
      <c r="C291" s="232">
        <v>37.28</v>
      </c>
      <c r="D291" s="35">
        <v>5.0561811086459558</v>
      </c>
      <c r="E291" s="232">
        <v>25.05</v>
      </c>
      <c r="F291" s="35">
        <v>5.0483972359491647</v>
      </c>
      <c r="G291" s="232">
        <v>8170.98</v>
      </c>
      <c r="H291" s="35">
        <v>8.4215365923885876</v>
      </c>
      <c r="I291" s="232">
        <v>10101.93</v>
      </c>
      <c r="J291" s="35">
        <v>7.5393853114144447</v>
      </c>
      <c r="K291" s="232">
        <v>8600.7900000000009</v>
      </c>
      <c r="L291" s="35">
        <v>8.852865239448116</v>
      </c>
      <c r="M291" s="232">
        <v>34533.120000000003</v>
      </c>
      <c r="N291" s="35">
        <v>7.6889894930678597</v>
      </c>
      <c r="P291" s="232">
        <v>-12.23</v>
      </c>
      <c r="Q291" s="35">
        <v>7.7838726967911498E-3</v>
      </c>
      <c r="R291" s="232">
        <v>1930.95</v>
      </c>
      <c r="S291" s="35">
        <v>0.88215128097414297</v>
      </c>
      <c r="T291" s="232">
        <v>25932.33</v>
      </c>
      <c r="U291" s="35">
        <v>1.1638757463802563</v>
      </c>
      <c r="W291" s="35">
        <f t="shared" si="31"/>
        <v>401.42363483955751</v>
      </c>
      <c r="X291" s="35">
        <f t="shared" si="32"/>
        <v>42176.614048707153</v>
      </c>
      <c r="Y291" s="35">
        <f t="shared" si="33"/>
        <v>32261.457319012814</v>
      </c>
      <c r="Z291" s="35">
        <f t="shared" si="34"/>
        <v>0</v>
      </c>
      <c r="AA291" s="35">
        <f t="shared" si="35"/>
        <v>1</v>
      </c>
      <c r="AB291" s="35">
        <f t="shared" si="36"/>
        <v>0</v>
      </c>
    </row>
    <row r="292" spans="1:28">
      <c r="A292" s="35">
        <v>281</v>
      </c>
      <c r="B292" s="35">
        <v>3.7966750327455802E-4</v>
      </c>
      <c r="C292" s="232">
        <v>66.290000000000006</v>
      </c>
      <c r="D292" s="35">
        <v>5.0576342549234843</v>
      </c>
      <c r="E292" s="232">
        <v>41.74</v>
      </c>
      <c r="F292" s="35">
        <v>5.0492443855826172</v>
      </c>
      <c r="G292" s="232">
        <v>13319.56</v>
      </c>
      <c r="H292" s="35">
        <v>8.799919182004011</v>
      </c>
      <c r="I292" s="232">
        <v>13636.02</v>
      </c>
      <c r="J292" s="35">
        <v>7.4145976335617281</v>
      </c>
      <c r="K292" s="232">
        <v>17440.79</v>
      </c>
      <c r="L292" s="35">
        <v>8.3774239228847893</v>
      </c>
      <c r="M292" s="232">
        <v>43669.13</v>
      </c>
      <c r="N292" s="35">
        <v>7.2987339955701502</v>
      </c>
      <c r="P292" s="232">
        <v>-24.55</v>
      </c>
      <c r="Q292" s="35">
        <v>8.3898693408670511E-3</v>
      </c>
      <c r="R292" s="232">
        <v>316.45999999999998</v>
      </c>
      <c r="S292" s="35">
        <v>1.3853215484422829</v>
      </c>
      <c r="T292" s="232">
        <v>26228.34</v>
      </c>
      <c r="U292" s="35">
        <v>1.0786899273146391</v>
      </c>
      <c r="W292" s="35">
        <f t="shared" si="31"/>
        <v>444.04346704335256</v>
      </c>
      <c r="X292" s="35">
        <f t="shared" si="32"/>
        <v>68949.617422114141</v>
      </c>
      <c r="Y292" s="35">
        <f t="shared" si="33"/>
        <v>27706.156365731953</v>
      </c>
      <c r="Z292" s="35">
        <f t="shared" si="34"/>
        <v>0</v>
      </c>
      <c r="AA292" s="35">
        <f t="shared" si="35"/>
        <v>1</v>
      </c>
      <c r="AB292" s="35">
        <f t="shared" si="36"/>
        <v>0</v>
      </c>
    </row>
    <row r="293" spans="1:28">
      <c r="A293" s="35">
        <v>282</v>
      </c>
      <c r="B293" s="35">
        <v>5.3018408315019805E-4</v>
      </c>
      <c r="C293" s="232">
        <v>71.819999999999993</v>
      </c>
      <c r="D293" s="35">
        <v>5.0652537436070233</v>
      </c>
      <c r="E293" s="232">
        <v>51.99</v>
      </c>
      <c r="F293" s="35">
        <v>5.0563117033417546</v>
      </c>
      <c r="G293" s="232">
        <v>10487.35</v>
      </c>
      <c r="H293" s="35">
        <v>8.5576468165016966</v>
      </c>
      <c r="I293" s="232">
        <v>11895.59</v>
      </c>
      <c r="J293" s="35">
        <v>7.5015552169822941</v>
      </c>
      <c r="K293" s="232">
        <v>12786.76</v>
      </c>
      <c r="L293" s="35">
        <v>8.6515892892828816</v>
      </c>
      <c r="M293" s="232">
        <v>38432.51</v>
      </c>
      <c r="N293" s="35">
        <v>7.5400252184549377</v>
      </c>
      <c r="P293" s="232">
        <v>-19.829999999999998</v>
      </c>
      <c r="Q293" s="35">
        <v>8.9420402652686803E-3</v>
      </c>
      <c r="R293" s="232">
        <v>1408.24</v>
      </c>
      <c r="S293" s="35">
        <v>1.0560915995194025</v>
      </c>
      <c r="T293" s="232">
        <v>25645.75</v>
      </c>
      <c r="U293" s="35">
        <v>1.111564070827944</v>
      </c>
      <c r="W293" s="35">
        <f t="shared" si="31"/>
        <v>466.93201326343399</v>
      </c>
      <c r="X293" s="35">
        <f t="shared" si="32"/>
        <v>51396.339975970128</v>
      </c>
      <c r="Y293" s="35">
        <f t="shared" si="33"/>
        <v>29932.453541397197</v>
      </c>
      <c r="Z293" s="35">
        <f t="shared" si="34"/>
        <v>0</v>
      </c>
      <c r="AA293" s="35">
        <f t="shared" si="35"/>
        <v>1</v>
      </c>
      <c r="AB293" s="35">
        <f t="shared" si="36"/>
        <v>0</v>
      </c>
    </row>
    <row r="294" spans="1:28">
      <c r="A294" s="35">
        <v>283</v>
      </c>
      <c r="B294" s="35">
        <v>4.4767627221153905E-4</v>
      </c>
      <c r="C294" s="232">
        <v>88.68</v>
      </c>
      <c r="D294" s="35">
        <v>5.0598146867995277</v>
      </c>
      <c r="E294" s="232">
        <v>52.72</v>
      </c>
      <c r="F294" s="35">
        <v>5.0500317369806238</v>
      </c>
      <c r="G294" s="232">
        <v>14919.87</v>
      </c>
      <c r="H294" s="35">
        <v>8.5030383116191377</v>
      </c>
      <c r="I294" s="232">
        <v>13646.09</v>
      </c>
      <c r="J294" s="35">
        <v>6.7878470947533289</v>
      </c>
      <c r="K294" s="232">
        <v>20965.27</v>
      </c>
      <c r="L294" s="35">
        <v>8.3343652624161066</v>
      </c>
      <c r="M294" s="232">
        <v>47397.91</v>
      </c>
      <c r="N294" s="35">
        <v>7.2318208571885476</v>
      </c>
      <c r="P294" s="232">
        <v>-35.96</v>
      </c>
      <c r="Q294" s="35">
        <v>9.7829498189039299E-3</v>
      </c>
      <c r="R294" s="232">
        <v>-1273.78</v>
      </c>
      <c r="S294" s="35">
        <v>1.7151912168658088</v>
      </c>
      <c r="T294" s="232">
        <v>26432.65</v>
      </c>
      <c r="U294" s="35">
        <v>1.102544405227559</v>
      </c>
      <c r="W294" s="35">
        <f t="shared" si="31"/>
        <v>525.10749094519656</v>
      </c>
      <c r="X294" s="35">
        <f t="shared" si="32"/>
        <v>87033.34084329044</v>
      </c>
      <c r="Y294" s="35">
        <f t="shared" si="33"/>
        <v>28694.57026137795</v>
      </c>
      <c r="Z294" s="35">
        <f t="shared" si="34"/>
        <v>0</v>
      </c>
      <c r="AA294" s="35">
        <f t="shared" si="35"/>
        <v>1</v>
      </c>
      <c r="AB294" s="35">
        <f t="shared" si="36"/>
        <v>0</v>
      </c>
    </row>
    <row r="295" spans="1:28">
      <c r="A295" s="35">
        <v>284</v>
      </c>
      <c r="B295" s="35">
        <v>5.0992248200831813E-4</v>
      </c>
      <c r="C295" s="232">
        <v>60.71</v>
      </c>
      <c r="D295" s="35">
        <v>5.0638767000592226</v>
      </c>
      <c r="E295" s="232">
        <v>41.82</v>
      </c>
      <c r="F295" s="35">
        <v>5.0542352657636496</v>
      </c>
      <c r="G295" s="232">
        <v>9696.69</v>
      </c>
      <c r="H295" s="35">
        <v>8.4161034182610326</v>
      </c>
      <c r="I295" s="232">
        <v>11546.85</v>
      </c>
      <c r="J295" s="35">
        <v>6.4505501633957341</v>
      </c>
      <c r="K295" s="232">
        <v>10258.469999999999</v>
      </c>
      <c r="L295" s="35">
        <v>8.7505593371970996</v>
      </c>
      <c r="M295" s="232">
        <v>36207.83</v>
      </c>
      <c r="N295" s="35">
        <v>7.6162153709734302</v>
      </c>
      <c r="P295" s="232">
        <v>-18.89</v>
      </c>
      <c r="Q295" s="35">
        <v>9.6414342955730703E-3</v>
      </c>
      <c r="R295" s="232">
        <v>1850.16</v>
      </c>
      <c r="S295" s="35">
        <v>1.9655532548652985</v>
      </c>
      <c r="T295" s="232">
        <v>25949.360000000001</v>
      </c>
      <c r="U295" s="35">
        <v>1.1343439662236694</v>
      </c>
      <c r="W295" s="35">
        <f t="shared" si="31"/>
        <v>500.96171477865352</v>
      </c>
      <c r="X295" s="35">
        <f t="shared" si="32"/>
        <v>96427.502743264922</v>
      </c>
      <c r="Y295" s="35">
        <f t="shared" si="33"/>
        <v>30767.83831118347</v>
      </c>
      <c r="Z295" s="35">
        <f t="shared" si="34"/>
        <v>0</v>
      </c>
      <c r="AA295" s="35">
        <f t="shared" si="35"/>
        <v>1</v>
      </c>
      <c r="AB295" s="35">
        <f t="shared" si="36"/>
        <v>0</v>
      </c>
    </row>
    <row r="296" spans="1:28">
      <c r="A296" s="35">
        <v>285</v>
      </c>
      <c r="B296" s="35">
        <v>5.2497896071879158E-4</v>
      </c>
      <c r="C296" s="232">
        <v>85.51</v>
      </c>
      <c r="D296" s="35">
        <v>5.0650157459452014</v>
      </c>
      <c r="E296" s="232">
        <v>55.83</v>
      </c>
      <c r="F296" s="35">
        <v>5.0544497591954043</v>
      </c>
      <c r="G296" s="232">
        <v>11980.31</v>
      </c>
      <c r="H296" s="35">
        <v>8.6337673450874561</v>
      </c>
      <c r="I296" s="232">
        <v>11908.03</v>
      </c>
      <c r="J296" s="35">
        <v>7.2282880002203127</v>
      </c>
      <c r="K296" s="232">
        <v>16998.84</v>
      </c>
      <c r="L296" s="35">
        <v>8.549418661752588</v>
      </c>
      <c r="M296" s="232">
        <v>43152.18</v>
      </c>
      <c r="N296" s="35">
        <v>7.4268033244958707</v>
      </c>
      <c r="P296" s="232">
        <v>-29.68</v>
      </c>
      <c r="Q296" s="35">
        <v>1.056598674979714E-2</v>
      </c>
      <c r="R296" s="232">
        <v>-72.28</v>
      </c>
      <c r="S296" s="35">
        <v>1.4054793448671434</v>
      </c>
      <c r="T296" s="232">
        <v>26153.34</v>
      </c>
      <c r="U296" s="35">
        <v>1.1226153372567174</v>
      </c>
      <c r="W296" s="35">
        <f t="shared" si="31"/>
        <v>557.97933748985702</v>
      </c>
      <c r="X296" s="35">
        <f t="shared" si="32"/>
        <v>70346.247243357167</v>
      </c>
      <c r="Y296" s="35">
        <f t="shared" si="33"/>
        <v>29977.426862835866</v>
      </c>
      <c r="Z296" s="35">
        <f t="shared" si="34"/>
        <v>0</v>
      </c>
      <c r="AA296" s="35">
        <f t="shared" si="35"/>
        <v>1</v>
      </c>
      <c r="AB296" s="35">
        <f t="shared" si="36"/>
        <v>0</v>
      </c>
    </row>
    <row r="297" spans="1:28">
      <c r="A297" s="35">
        <v>286</v>
      </c>
      <c r="B297" s="35">
        <v>3.8067671839614925E-4</v>
      </c>
      <c r="C297" s="232">
        <v>62.33</v>
      </c>
      <c r="D297" s="35">
        <v>5.0607847834057313</v>
      </c>
      <c r="E297" s="232">
        <v>38.92</v>
      </c>
      <c r="F297" s="35">
        <v>5.0508529366194859</v>
      </c>
      <c r="G297" s="232">
        <v>12958.03</v>
      </c>
      <c r="H297" s="35">
        <v>9.5006313086233209</v>
      </c>
      <c r="I297" s="232">
        <v>13801.57</v>
      </c>
      <c r="J297" s="35">
        <v>7.7704207361189548</v>
      </c>
      <c r="K297" s="232">
        <v>15311.57</v>
      </c>
      <c r="L297" s="35">
        <v>9.2100736961726763</v>
      </c>
      <c r="M297" s="232">
        <v>41400.67</v>
      </c>
      <c r="N297" s="35">
        <v>8.0889477866064272</v>
      </c>
      <c r="P297" s="232">
        <v>-23.41</v>
      </c>
      <c r="Q297" s="35">
        <v>9.9318467862454796E-3</v>
      </c>
      <c r="R297" s="232">
        <v>843.54</v>
      </c>
      <c r="S297" s="35">
        <v>1.7302105725043662</v>
      </c>
      <c r="T297" s="232">
        <v>26089.1</v>
      </c>
      <c r="U297" s="35">
        <v>1.1211259095662491</v>
      </c>
      <c r="W297" s="35">
        <f t="shared" si="31"/>
        <v>520.00233931227399</v>
      </c>
      <c r="X297" s="35">
        <f t="shared" si="32"/>
        <v>85666.988625218321</v>
      </c>
      <c r="Y297" s="35">
        <f t="shared" si="33"/>
        <v>29967.19547831246</v>
      </c>
      <c r="Z297" s="35">
        <f t="shared" si="34"/>
        <v>0</v>
      </c>
      <c r="AA297" s="35">
        <f t="shared" si="35"/>
        <v>1</v>
      </c>
      <c r="AB297" s="35">
        <f t="shared" si="36"/>
        <v>0</v>
      </c>
    </row>
    <row r="298" spans="1:28">
      <c r="A298" s="35">
        <v>287</v>
      </c>
      <c r="B298" s="35">
        <v>4.3494187451840886E-4</v>
      </c>
      <c r="C298" s="232">
        <v>58.98</v>
      </c>
      <c r="D298" s="35">
        <v>5.0625572396244172</v>
      </c>
      <c r="E298" s="232">
        <v>36.950000000000003</v>
      </c>
      <c r="F298" s="35">
        <v>5.0518230482111752</v>
      </c>
      <c r="G298" s="232">
        <v>11337.31</v>
      </c>
      <c r="H298" s="35">
        <v>9.2944639789639432</v>
      </c>
      <c r="I298" s="232">
        <v>13415.25</v>
      </c>
      <c r="J298" s="35">
        <v>8.6533998627595974</v>
      </c>
      <c r="K298" s="232">
        <v>12370.28</v>
      </c>
      <c r="L298" s="35">
        <v>8.762089369122906</v>
      </c>
      <c r="M298" s="232">
        <v>38208.230000000003</v>
      </c>
      <c r="N298" s="35">
        <v>7.6727782532960562</v>
      </c>
      <c r="P298" s="232">
        <v>-22.04</v>
      </c>
      <c r="Q298" s="35">
        <v>1.0734191413241945E-2</v>
      </c>
      <c r="R298" s="232">
        <v>2077.94</v>
      </c>
      <c r="S298" s="35">
        <v>0.64106411620434578</v>
      </c>
      <c r="T298" s="232">
        <v>25837.96</v>
      </c>
      <c r="U298" s="35">
        <v>1.0893111158268498</v>
      </c>
      <c r="W298" s="35">
        <f t="shared" si="31"/>
        <v>558.7495706620972</v>
      </c>
      <c r="X298" s="35">
        <f t="shared" si="32"/>
        <v>29975.26581021729</v>
      </c>
      <c r="Y298" s="35">
        <f t="shared" si="33"/>
        <v>28627.595791342494</v>
      </c>
      <c r="Z298" s="35">
        <f t="shared" si="34"/>
        <v>0</v>
      </c>
      <c r="AA298" s="35">
        <f t="shared" si="35"/>
        <v>1</v>
      </c>
      <c r="AB298" s="35">
        <f t="shared" si="36"/>
        <v>0</v>
      </c>
    </row>
    <row r="299" spans="1:28">
      <c r="A299" s="35">
        <v>288</v>
      </c>
      <c r="B299" s="35">
        <v>4.1116320436699363E-4</v>
      </c>
      <c r="C299" s="232">
        <v>62.35</v>
      </c>
      <c r="D299" s="35">
        <v>5.0580643218662971</v>
      </c>
      <c r="E299" s="232">
        <v>36.17</v>
      </c>
      <c r="F299" s="35">
        <v>5.0484229750824881</v>
      </c>
      <c r="G299" s="232">
        <v>11861.98</v>
      </c>
      <c r="H299" s="35">
        <v>8.5278901543832006</v>
      </c>
      <c r="I299" s="232">
        <v>12417.25</v>
      </c>
      <c r="J299" s="35">
        <v>7.0243651671326059</v>
      </c>
      <c r="K299" s="232">
        <v>15288.51</v>
      </c>
      <c r="L299" s="35">
        <v>8.3990318700003872</v>
      </c>
      <c r="M299" s="232">
        <v>41517.480000000003</v>
      </c>
      <c r="N299" s="35">
        <v>7.3103560905131797</v>
      </c>
      <c r="P299" s="232">
        <v>-26.18</v>
      </c>
      <c r="Q299" s="35">
        <v>9.6413467838090128E-3</v>
      </c>
      <c r="R299" s="232">
        <v>555.27</v>
      </c>
      <c r="S299" s="35">
        <v>1.5035249872505947</v>
      </c>
      <c r="T299" s="232">
        <v>26228.97</v>
      </c>
      <c r="U299" s="35">
        <v>1.0886757794872075</v>
      </c>
      <c r="W299" s="35">
        <f t="shared" si="31"/>
        <v>508.24733919045065</v>
      </c>
      <c r="X299" s="35">
        <f t="shared" si="32"/>
        <v>74620.979362529732</v>
      </c>
      <c r="Y299" s="35">
        <f t="shared" si="33"/>
        <v>28204.818974360373</v>
      </c>
      <c r="Z299" s="35">
        <f t="shared" si="34"/>
        <v>0</v>
      </c>
      <c r="AA299" s="35">
        <f t="shared" si="35"/>
        <v>1</v>
      </c>
      <c r="AB299" s="35">
        <f t="shared" si="36"/>
        <v>0</v>
      </c>
    </row>
    <row r="300" spans="1:28">
      <c r="A300" s="35">
        <v>289</v>
      </c>
      <c r="B300" s="35">
        <v>4.4861030630027887E-4</v>
      </c>
      <c r="C300" s="232">
        <v>50.99</v>
      </c>
      <c r="D300" s="35">
        <v>5.0600034331523194</v>
      </c>
      <c r="E300" s="232">
        <v>31.24</v>
      </c>
      <c r="F300" s="35">
        <v>5.0498653309224446</v>
      </c>
      <c r="G300" s="232">
        <v>8824.15</v>
      </c>
      <c r="H300" s="35">
        <v>8.3861454078084172</v>
      </c>
      <c r="I300" s="232">
        <v>10262.69</v>
      </c>
      <c r="J300" s="35">
        <v>7.3456499832927156</v>
      </c>
      <c r="K300" s="232">
        <v>11008.2</v>
      </c>
      <c r="L300" s="35">
        <v>8.5182838530699492</v>
      </c>
      <c r="M300" s="232">
        <v>36575.11</v>
      </c>
      <c r="N300" s="35">
        <v>7.4221342105244137</v>
      </c>
      <c r="P300" s="232">
        <v>-19.75</v>
      </c>
      <c r="Q300" s="35">
        <v>1.0138102229874768E-2</v>
      </c>
      <c r="R300" s="232">
        <v>1438.54</v>
      </c>
      <c r="S300" s="35">
        <v>1.0404954245157017</v>
      </c>
      <c r="T300" s="232">
        <v>25566.9</v>
      </c>
      <c r="U300" s="35">
        <v>1.0961496425455355</v>
      </c>
      <c r="W300" s="35">
        <f t="shared" si="31"/>
        <v>526.65511149373833</v>
      </c>
      <c r="X300" s="35">
        <f t="shared" si="32"/>
        <v>50586.231225785079</v>
      </c>
      <c r="Y300" s="35">
        <f t="shared" si="33"/>
        <v>29240.582127276772</v>
      </c>
      <c r="Z300" s="35">
        <f t="shared" si="34"/>
        <v>0</v>
      </c>
      <c r="AA300" s="35">
        <f t="shared" si="35"/>
        <v>1</v>
      </c>
      <c r="AB300" s="35">
        <f t="shared" si="36"/>
        <v>0</v>
      </c>
    </row>
    <row r="301" spans="1:28">
      <c r="A301" s="35">
        <v>290</v>
      </c>
      <c r="B301" s="35">
        <v>5.2556835584571804E-4</v>
      </c>
      <c r="C301" s="232">
        <v>101.47</v>
      </c>
      <c r="D301" s="35">
        <v>5.0671716329141665</v>
      </c>
      <c r="E301" s="232">
        <v>53.13</v>
      </c>
      <c r="F301" s="35">
        <v>5.0521784050856411</v>
      </c>
      <c r="G301" s="232">
        <v>14669.26</v>
      </c>
      <c r="H301" s="35">
        <v>9.054765089105576</v>
      </c>
      <c r="I301" s="232">
        <v>14283.21</v>
      </c>
      <c r="J301" s="35">
        <v>7.6578259693248425</v>
      </c>
      <c r="K301" s="232">
        <v>21735.18</v>
      </c>
      <c r="L301" s="35">
        <v>9.2441103682790029</v>
      </c>
      <c r="M301" s="232">
        <v>48212.41</v>
      </c>
      <c r="N301" s="35">
        <v>8.1711867248703367</v>
      </c>
      <c r="P301" s="232">
        <v>-48.34</v>
      </c>
      <c r="Q301" s="35">
        <v>1.4993227828525413E-2</v>
      </c>
      <c r="R301" s="232">
        <v>-386.05</v>
      </c>
      <c r="S301" s="35">
        <v>1.3969391197807335</v>
      </c>
      <c r="T301" s="232">
        <v>26477.24</v>
      </c>
      <c r="U301" s="35">
        <v>1.0729236434086662</v>
      </c>
      <c r="W301" s="35">
        <f t="shared" si="31"/>
        <v>798.00139142627063</v>
      </c>
      <c r="X301" s="35">
        <f t="shared" si="32"/>
        <v>70233.005989036683</v>
      </c>
      <c r="Y301" s="35">
        <f t="shared" si="33"/>
        <v>27168.942170433311</v>
      </c>
      <c r="Z301" s="35">
        <f t="shared" si="34"/>
        <v>0</v>
      </c>
      <c r="AA301" s="35">
        <f t="shared" si="35"/>
        <v>1</v>
      </c>
      <c r="AB301" s="35">
        <f t="shared" si="36"/>
        <v>0</v>
      </c>
    </row>
    <row r="302" spans="1:28">
      <c r="A302" s="35">
        <v>291</v>
      </c>
      <c r="B302" s="35">
        <v>5.1212919918841582E-4</v>
      </c>
      <c r="C302" s="232">
        <v>74.08</v>
      </c>
      <c r="D302" s="35">
        <v>5.0657292528268352</v>
      </c>
      <c r="E302" s="232">
        <v>47.63</v>
      </c>
      <c r="F302" s="35">
        <v>5.0544260588523073</v>
      </c>
      <c r="G302" s="232">
        <v>10809.88</v>
      </c>
      <c r="H302" s="35">
        <v>8.9480713210953109</v>
      </c>
      <c r="I302" s="232">
        <v>11446.15</v>
      </c>
      <c r="J302" s="35">
        <v>7.245739890720226</v>
      </c>
      <c r="K302" s="232">
        <v>12181.52</v>
      </c>
      <c r="L302" s="35">
        <v>8.8070492801727678</v>
      </c>
      <c r="M302" s="232">
        <v>38155.11</v>
      </c>
      <c r="N302" s="35">
        <v>7.7365841918256111</v>
      </c>
      <c r="P302" s="232">
        <v>-26.45</v>
      </c>
      <c r="Q302" s="35">
        <v>1.1303193974527836E-2</v>
      </c>
      <c r="R302" s="232">
        <v>636.28</v>
      </c>
      <c r="S302" s="35">
        <v>1.7023314303750849</v>
      </c>
      <c r="T302" s="232">
        <v>25973.59</v>
      </c>
      <c r="U302" s="35">
        <v>1.0704650883471567</v>
      </c>
      <c r="W302" s="35">
        <f t="shared" si="31"/>
        <v>591.60969872639191</v>
      </c>
      <c r="X302" s="35">
        <f t="shared" si="32"/>
        <v>84480.291518754253</v>
      </c>
      <c r="Y302" s="35">
        <f t="shared" si="33"/>
        <v>27549.664417357835</v>
      </c>
      <c r="Z302" s="35">
        <f t="shared" si="34"/>
        <v>0</v>
      </c>
      <c r="AA302" s="35">
        <f t="shared" si="35"/>
        <v>1</v>
      </c>
      <c r="AB302" s="35">
        <f t="shared" si="36"/>
        <v>0</v>
      </c>
    </row>
    <row r="303" spans="1:28">
      <c r="A303" s="35">
        <v>292</v>
      </c>
      <c r="B303" s="35">
        <v>5.4505356752410083E-4</v>
      </c>
      <c r="C303" s="232">
        <v>90.18</v>
      </c>
      <c r="D303" s="35">
        <v>5.06788282235794</v>
      </c>
      <c r="E303" s="232">
        <v>53.78</v>
      </c>
      <c r="F303" s="35">
        <v>5.0545700011935937</v>
      </c>
      <c r="G303" s="232">
        <v>13084.2</v>
      </c>
      <c r="H303" s="35">
        <v>9.0259997641136263</v>
      </c>
      <c r="I303" s="232">
        <v>14814.5</v>
      </c>
      <c r="J303" s="35">
        <v>8.3419915343166107</v>
      </c>
      <c r="K303" s="232">
        <v>14977.85</v>
      </c>
      <c r="L303" s="35">
        <v>8.8940931056107715</v>
      </c>
      <c r="M303" s="232">
        <v>41121.93</v>
      </c>
      <c r="N303" s="35">
        <v>7.7523234935002305</v>
      </c>
      <c r="P303" s="232">
        <v>-36.4</v>
      </c>
      <c r="Q303" s="35">
        <v>1.3312821164346289E-2</v>
      </c>
      <c r="R303" s="232">
        <v>1730.3</v>
      </c>
      <c r="S303" s="35">
        <v>0.68400822979701559</v>
      </c>
      <c r="T303" s="232">
        <v>26144.080000000002</v>
      </c>
      <c r="U303" s="35">
        <v>1.141769612110541</v>
      </c>
      <c r="W303" s="35">
        <f t="shared" si="31"/>
        <v>702.04105821731446</v>
      </c>
      <c r="X303" s="35">
        <f t="shared" si="32"/>
        <v>32470.111489850777</v>
      </c>
      <c r="Y303" s="35">
        <f t="shared" si="33"/>
        <v>30944.400605527044</v>
      </c>
      <c r="Z303" s="35">
        <f t="shared" si="34"/>
        <v>0</v>
      </c>
      <c r="AA303" s="35">
        <f t="shared" si="35"/>
        <v>1</v>
      </c>
      <c r="AB303" s="35">
        <f t="shared" si="36"/>
        <v>0</v>
      </c>
    </row>
    <row r="304" spans="1:28">
      <c r="A304" s="35">
        <v>293</v>
      </c>
      <c r="B304" s="35">
        <v>4.0193548708318815E-4</v>
      </c>
      <c r="C304" s="232">
        <v>61.68</v>
      </c>
      <c r="D304" s="35">
        <v>5.0610081766225017</v>
      </c>
      <c r="E304" s="232">
        <v>37.799999999999997</v>
      </c>
      <c r="F304" s="35">
        <v>5.05069901238664</v>
      </c>
      <c r="G304" s="232">
        <v>12243.84</v>
      </c>
      <c r="H304" s="35">
        <v>9.366535972498923</v>
      </c>
      <c r="I304" s="232">
        <v>14368.7</v>
      </c>
      <c r="J304" s="35">
        <v>9.182583683117727</v>
      </c>
      <c r="K304" s="232">
        <v>13651.5</v>
      </c>
      <c r="L304" s="35">
        <v>8.9392916834819456</v>
      </c>
      <c r="M304" s="232">
        <v>39797.15</v>
      </c>
      <c r="N304" s="35">
        <v>7.8971777154448866</v>
      </c>
      <c r="P304" s="232">
        <v>-23.88</v>
      </c>
      <c r="Q304" s="35">
        <v>1.0309164235861701E-2</v>
      </c>
      <c r="R304" s="232">
        <v>2124.85</v>
      </c>
      <c r="S304" s="35">
        <v>0.18395228938119601</v>
      </c>
      <c r="T304" s="232">
        <v>26145.65</v>
      </c>
      <c r="U304" s="35">
        <v>1.042113968037059</v>
      </c>
      <c r="W304" s="35">
        <f t="shared" si="31"/>
        <v>539.33821179308507</v>
      </c>
      <c r="X304" s="35">
        <f t="shared" si="32"/>
        <v>7072.7644690598008</v>
      </c>
      <c r="Y304" s="35">
        <f t="shared" si="33"/>
        <v>25960.048401852953</v>
      </c>
      <c r="Z304" s="35">
        <f t="shared" si="34"/>
        <v>0</v>
      </c>
      <c r="AA304" s="35">
        <f t="shared" si="35"/>
        <v>0</v>
      </c>
      <c r="AB304" s="35">
        <f t="shared" si="36"/>
        <v>1</v>
      </c>
    </row>
    <row r="305" spans="1:28">
      <c r="A305" s="35">
        <v>294</v>
      </c>
      <c r="B305" s="35">
        <v>4.8790089463512931E-4</v>
      </c>
      <c r="C305" s="232">
        <v>82.04</v>
      </c>
      <c r="D305" s="35">
        <v>5.0654835744273443</v>
      </c>
      <c r="E305" s="232">
        <v>48.39</v>
      </c>
      <c r="F305" s="35">
        <v>5.0529490426841308</v>
      </c>
      <c r="G305" s="232">
        <v>12970.88</v>
      </c>
      <c r="H305" s="35">
        <v>9.3484017109317961</v>
      </c>
      <c r="I305" s="232">
        <v>13320.08</v>
      </c>
      <c r="J305" s="35">
        <v>7.9017136943668724</v>
      </c>
      <c r="K305" s="232">
        <v>16319.45</v>
      </c>
      <c r="L305" s="35">
        <v>8.7073399130415794</v>
      </c>
      <c r="M305" s="232">
        <v>42582.76</v>
      </c>
      <c r="N305" s="35">
        <v>7.6207242983663619</v>
      </c>
      <c r="P305" s="232">
        <v>-33.64</v>
      </c>
      <c r="Q305" s="35">
        <v>1.2534531743213506E-2</v>
      </c>
      <c r="R305" s="232">
        <v>349.2</v>
      </c>
      <c r="S305" s="35">
        <v>1.4466880165649236</v>
      </c>
      <c r="T305" s="232">
        <v>26263.31</v>
      </c>
      <c r="U305" s="35">
        <v>1.0866156146752175</v>
      </c>
      <c r="W305" s="35">
        <f t="shared" si="31"/>
        <v>660.36658716067529</v>
      </c>
      <c r="X305" s="35">
        <f t="shared" si="32"/>
        <v>71985.20082824619</v>
      </c>
      <c r="Y305" s="35">
        <f t="shared" si="33"/>
        <v>28067.470733760874</v>
      </c>
      <c r="Z305" s="35">
        <f t="shared" si="34"/>
        <v>0</v>
      </c>
      <c r="AA305" s="35">
        <f t="shared" si="35"/>
        <v>1</v>
      </c>
      <c r="AB305" s="35">
        <f t="shared" si="36"/>
        <v>0</v>
      </c>
    </row>
    <row r="306" spans="1:28">
      <c r="A306" s="35">
        <v>295</v>
      </c>
      <c r="B306" s="35">
        <v>4.7200022214222148E-4</v>
      </c>
      <c r="C306" s="232">
        <v>72.78</v>
      </c>
      <c r="D306" s="35">
        <v>5.0652889072857334</v>
      </c>
      <c r="E306" s="232">
        <v>44.33</v>
      </c>
      <c r="F306" s="35">
        <v>5.0532110597112645</v>
      </c>
      <c r="G306" s="232">
        <v>12045.78</v>
      </c>
      <c r="H306" s="35">
        <v>9.375115274471213</v>
      </c>
      <c r="I306" s="232">
        <v>13328</v>
      </c>
      <c r="J306" s="35">
        <v>8.2238858142074491</v>
      </c>
      <c r="K306" s="232">
        <v>13983.58</v>
      </c>
      <c r="L306" s="35">
        <v>9.1209320787572636</v>
      </c>
      <c r="M306" s="232">
        <v>40020.43</v>
      </c>
      <c r="N306" s="35">
        <v>8.0653259222735052</v>
      </c>
      <c r="P306" s="232">
        <v>-28.46</v>
      </c>
      <c r="Q306" s="35">
        <v>1.2077847574468947E-2</v>
      </c>
      <c r="R306" s="232">
        <v>1282.21</v>
      </c>
      <c r="S306" s="35">
        <v>1.1512294602637638</v>
      </c>
      <c r="T306" s="232">
        <v>26036.85</v>
      </c>
      <c r="U306" s="35">
        <v>1.0556061564837584</v>
      </c>
      <c r="W306" s="35">
        <f t="shared" si="31"/>
        <v>632.35237872344737</v>
      </c>
      <c r="X306" s="35">
        <f t="shared" si="32"/>
        <v>56279.263013188189</v>
      </c>
      <c r="Y306" s="35">
        <f t="shared" si="33"/>
        <v>26743.457824187921</v>
      </c>
      <c r="Z306" s="35">
        <f t="shared" si="34"/>
        <v>0</v>
      </c>
      <c r="AA306" s="35">
        <f t="shared" si="35"/>
        <v>1</v>
      </c>
      <c r="AB306" s="35">
        <f t="shared" si="36"/>
        <v>0</v>
      </c>
    </row>
    <row r="307" spans="1:28">
      <c r="A307" s="35">
        <v>296</v>
      </c>
      <c r="B307" s="35">
        <v>4.2079428714019747E-4</v>
      </c>
      <c r="C307" s="232">
        <v>42.02</v>
      </c>
      <c r="D307" s="35">
        <v>5.0594134033361975</v>
      </c>
      <c r="E307" s="232">
        <v>28.73</v>
      </c>
      <c r="F307" s="35">
        <v>5.0507457261134938</v>
      </c>
      <c r="G307" s="232">
        <v>7958.82</v>
      </c>
      <c r="H307" s="35">
        <v>8.7251307942708429</v>
      </c>
      <c r="I307" s="232">
        <v>10137.19</v>
      </c>
      <c r="J307" s="35">
        <v>8.5996971963711815</v>
      </c>
      <c r="K307" s="232">
        <v>8919.26</v>
      </c>
      <c r="L307" s="35">
        <v>8.3711254661092536</v>
      </c>
      <c r="M307" s="232">
        <v>34738.94</v>
      </c>
      <c r="N307" s="35">
        <v>7.3133737098530531</v>
      </c>
      <c r="P307" s="232">
        <v>-13.29</v>
      </c>
      <c r="Q307" s="35">
        <v>8.6676772227036736E-3</v>
      </c>
      <c r="R307" s="232">
        <v>2178.37</v>
      </c>
      <c r="S307" s="35">
        <v>0.12543359789966146</v>
      </c>
      <c r="T307" s="232">
        <v>25819.67</v>
      </c>
      <c r="U307" s="35">
        <v>1.0577517562562004</v>
      </c>
      <c r="W307" s="35">
        <f t="shared" si="31"/>
        <v>446.6738611351837</v>
      </c>
      <c r="X307" s="35">
        <f t="shared" si="32"/>
        <v>4093.3098949830737</v>
      </c>
      <c r="Y307" s="35">
        <f t="shared" si="33"/>
        <v>27067.917812810025</v>
      </c>
      <c r="Z307" s="35">
        <f t="shared" si="34"/>
        <v>0</v>
      </c>
      <c r="AA307" s="35">
        <f t="shared" si="35"/>
        <v>0</v>
      </c>
      <c r="AB307" s="35">
        <f t="shared" si="36"/>
        <v>1</v>
      </c>
    </row>
    <row r="308" spans="1:28">
      <c r="A308" s="35">
        <v>297</v>
      </c>
      <c r="B308" s="35">
        <v>4.6406884744365495E-4</v>
      </c>
      <c r="C308" s="232">
        <v>46.03</v>
      </c>
      <c r="D308" s="35">
        <v>5.0615209383599566</v>
      </c>
      <c r="E308" s="232">
        <v>26.86</v>
      </c>
      <c r="F308" s="35">
        <v>5.0498151384321721</v>
      </c>
      <c r="G308" s="232">
        <v>8357.6</v>
      </c>
      <c r="H308" s="35">
        <v>8.5626738127685513</v>
      </c>
      <c r="I308" s="232">
        <v>10490.33</v>
      </c>
      <c r="J308" s="35">
        <v>7.3999312768509409</v>
      </c>
      <c r="K308" s="232">
        <v>8509.6200000000008</v>
      </c>
      <c r="L308" s="35">
        <v>8.6365403780685295</v>
      </c>
      <c r="M308" s="232">
        <v>34238.01</v>
      </c>
      <c r="N308" s="35">
        <v>7.4986203132953104</v>
      </c>
      <c r="P308" s="232">
        <v>-19.170000000000002</v>
      </c>
      <c r="Q308" s="35">
        <v>1.1705799927784533E-2</v>
      </c>
      <c r="R308" s="232">
        <v>2132.73</v>
      </c>
      <c r="S308" s="35">
        <v>1.1627425359176105</v>
      </c>
      <c r="T308" s="232">
        <v>25728.39</v>
      </c>
      <c r="U308" s="35">
        <v>1.1379200647732191</v>
      </c>
      <c r="W308" s="35">
        <f t="shared" si="31"/>
        <v>604.4599963892266</v>
      </c>
      <c r="X308" s="35">
        <f t="shared" si="32"/>
        <v>56004.396795880522</v>
      </c>
      <c r="Y308" s="35">
        <f t="shared" si="33"/>
        <v>31167.613238660953</v>
      </c>
      <c r="Z308" s="35">
        <f t="shared" si="34"/>
        <v>0</v>
      </c>
      <c r="AA308" s="35">
        <f t="shared" si="35"/>
        <v>1</v>
      </c>
      <c r="AB308" s="35">
        <f t="shared" si="36"/>
        <v>0</v>
      </c>
    </row>
    <row r="309" spans="1:28">
      <c r="A309" s="35">
        <v>298</v>
      </c>
      <c r="B309" s="35">
        <v>4.5591017409463142E-4</v>
      </c>
      <c r="C309" s="232">
        <v>66.209999999999994</v>
      </c>
      <c r="D309" s="35">
        <v>5.0636474590014018</v>
      </c>
      <c r="E309" s="232">
        <v>43.88</v>
      </c>
      <c r="F309" s="35">
        <v>5.0535477948093712</v>
      </c>
      <c r="G309" s="232">
        <v>11187.5</v>
      </c>
      <c r="H309" s="35">
        <v>9.0826503895424757</v>
      </c>
      <c r="I309" s="232">
        <v>12086.12</v>
      </c>
      <c r="J309" s="35">
        <v>7.6034109208193987</v>
      </c>
      <c r="K309" s="232">
        <v>13958.6</v>
      </c>
      <c r="L309" s="35">
        <v>8.8750524046111359</v>
      </c>
      <c r="M309" s="232">
        <v>40062.18</v>
      </c>
      <c r="N309" s="35">
        <v>7.7244168635934241</v>
      </c>
      <c r="P309" s="232">
        <v>-22.33</v>
      </c>
      <c r="Q309" s="35">
        <v>1.0099664192030566E-2</v>
      </c>
      <c r="R309" s="232">
        <v>898.62</v>
      </c>
      <c r="S309" s="35">
        <v>1.479239468723077</v>
      </c>
      <c r="T309" s="232">
        <v>26103.57</v>
      </c>
      <c r="U309" s="35">
        <v>1.1506355410177118</v>
      </c>
      <c r="W309" s="35">
        <f t="shared" si="31"/>
        <v>527.31320960152834</v>
      </c>
      <c r="X309" s="35">
        <f t="shared" si="32"/>
        <v>73063.353436153848</v>
      </c>
      <c r="Y309" s="35">
        <f t="shared" si="33"/>
        <v>31428.20705088559</v>
      </c>
      <c r="Z309" s="35">
        <f t="shared" si="34"/>
        <v>0</v>
      </c>
      <c r="AA309" s="35">
        <f t="shared" si="35"/>
        <v>1</v>
      </c>
      <c r="AB309" s="35">
        <f t="shared" si="36"/>
        <v>0</v>
      </c>
    </row>
    <row r="310" spans="1:28">
      <c r="A310" s="35">
        <v>299</v>
      </c>
      <c r="B310" s="35">
        <v>5.6402365240826313E-4</v>
      </c>
      <c r="C310" s="232">
        <v>89.53</v>
      </c>
      <c r="D310" s="35">
        <v>5.0688787394434618</v>
      </c>
      <c r="E310" s="232">
        <v>63.14</v>
      </c>
      <c r="F310" s="35">
        <v>5.0584886082989167</v>
      </c>
      <c r="G310" s="232">
        <v>11668.42</v>
      </c>
      <c r="H310" s="35">
        <v>9.0697161518167153</v>
      </c>
      <c r="I310" s="232">
        <v>13146.66</v>
      </c>
      <c r="J310" s="35">
        <v>8.6165326964421247</v>
      </c>
      <c r="K310" s="232">
        <v>16605.2</v>
      </c>
      <c r="L310" s="35">
        <v>8.6470385791816611</v>
      </c>
      <c r="M310" s="232">
        <v>42838.83</v>
      </c>
      <c r="N310" s="35">
        <v>7.5908704550930395</v>
      </c>
      <c r="P310" s="232">
        <v>-26.38</v>
      </c>
      <c r="Q310" s="35">
        <v>1.0390131144545123E-2</v>
      </c>
      <c r="R310" s="232">
        <v>1478.24</v>
      </c>
      <c r="S310" s="35">
        <v>0.45318345537459059</v>
      </c>
      <c r="T310" s="232">
        <v>26233.63</v>
      </c>
      <c r="U310" s="35">
        <v>1.0561681240886216</v>
      </c>
      <c r="W310" s="35">
        <f t="shared" si="31"/>
        <v>545.88655722725616</v>
      </c>
      <c r="X310" s="35">
        <f t="shared" si="32"/>
        <v>21180.932768729526</v>
      </c>
      <c r="Y310" s="35">
        <f t="shared" si="33"/>
        <v>26574.776204431077</v>
      </c>
      <c r="Z310" s="35">
        <f t="shared" si="34"/>
        <v>0</v>
      </c>
      <c r="AA310" s="35">
        <f t="shared" si="35"/>
        <v>0</v>
      </c>
      <c r="AB310" s="35">
        <f t="shared" si="36"/>
        <v>1</v>
      </c>
    </row>
    <row r="311" spans="1:28">
      <c r="A311" s="35">
        <v>300</v>
      </c>
      <c r="B311" s="35">
        <v>3.6121496708777174E-4</v>
      </c>
      <c r="C311" s="232">
        <v>53</v>
      </c>
      <c r="D311" s="35">
        <v>5.0557590823608747</v>
      </c>
      <c r="E311" s="232">
        <v>33.159999999999997</v>
      </c>
      <c r="F311" s="35">
        <v>5.0478495051947778</v>
      </c>
      <c r="G311" s="232">
        <v>11265.06</v>
      </c>
      <c r="H311" s="35">
        <v>8.5881092191714377</v>
      </c>
      <c r="I311" s="232">
        <v>12383.28</v>
      </c>
      <c r="J311" s="35">
        <v>7.4645085927733685</v>
      </c>
      <c r="K311" s="232">
        <v>13331.33</v>
      </c>
      <c r="L311" s="35">
        <v>8.3285054135142982</v>
      </c>
      <c r="M311" s="232">
        <v>39357.660000000003</v>
      </c>
      <c r="N311" s="35">
        <v>7.2977701101836541</v>
      </c>
      <c r="P311" s="232">
        <v>-19.84</v>
      </c>
      <c r="Q311" s="35">
        <v>7.9095771660968595E-3</v>
      </c>
      <c r="R311" s="232">
        <v>1118.22</v>
      </c>
      <c r="S311" s="35">
        <v>1.1236006263980691</v>
      </c>
      <c r="T311" s="232">
        <v>26026.33</v>
      </c>
      <c r="U311" s="35">
        <v>1.0307353033306441</v>
      </c>
      <c r="W311" s="35">
        <f t="shared" si="31"/>
        <v>415.31885830484293</v>
      </c>
      <c r="X311" s="35">
        <f t="shared" si="32"/>
        <v>55061.811319903456</v>
      </c>
      <c r="Y311" s="35">
        <f t="shared" si="33"/>
        <v>25510.435166532203</v>
      </c>
      <c r="Z311" s="35">
        <f t="shared" si="34"/>
        <v>0</v>
      </c>
      <c r="AA311" s="35">
        <f t="shared" si="35"/>
        <v>1</v>
      </c>
      <c r="AB311" s="35">
        <f t="shared" si="36"/>
        <v>0</v>
      </c>
    </row>
    <row r="312" spans="1:28">
      <c r="A312" s="35">
        <v>301</v>
      </c>
      <c r="B312" s="35">
        <v>4.2718438416535973E-4</v>
      </c>
      <c r="C312" s="232">
        <v>55.34</v>
      </c>
      <c r="D312" s="35">
        <v>5.0594469286900132</v>
      </c>
      <c r="E312" s="232">
        <v>34.85</v>
      </c>
      <c r="F312" s="35">
        <v>5.0500519648091524</v>
      </c>
      <c r="G312" s="232">
        <v>10177.52</v>
      </c>
      <c r="H312" s="35">
        <v>8.693413117000544</v>
      </c>
      <c r="I312" s="232">
        <v>11472.33</v>
      </c>
      <c r="J312" s="35">
        <v>7.6735779382676332</v>
      </c>
      <c r="K312" s="232">
        <v>13073.81</v>
      </c>
      <c r="L312" s="35">
        <v>8.2906083033869837</v>
      </c>
      <c r="M312" s="232">
        <v>39200.36</v>
      </c>
      <c r="N312" s="35">
        <v>7.2286649605077171</v>
      </c>
      <c r="P312" s="232">
        <v>-20.49</v>
      </c>
      <c r="Q312" s="35">
        <v>9.3949638808608071E-3</v>
      </c>
      <c r="R312" s="232">
        <v>1294.81</v>
      </c>
      <c r="S312" s="35">
        <v>1.0198351787329107</v>
      </c>
      <c r="T312" s="232">
        <v>26126.54</v>
      </c>
      <c r="U312" s="35">
        <v>1.0619433428792666</v>
      </c>
      <c r="W312" s="35">
        <f t="shared" si="31"/>
        <v>490.23819404304038</v>
      </c>
      <c r="X312" s="35">
        <f t="shared" si="32"/>
        <v>49696.948936645538</v>
      </c>
      <c r="Y312" s="35">
        <f t="shared" si="33"/>
        <v>26970.627143963327</v>
      </c>
      <c r="Z312" s="35">
        <f t="shared" si="34"/>
        <v>0</v>
      </c>
      <c r="AA312" s="35">
        <f t="shared" si="35"/>
        <v>1</v>
      </c>
      <c r="AB312" s="35">
        <f t="shared" si="36"/>
        <v>0</v>
      </c>
    </row>
    <row r="313" spans="1:28">
      <c r="A313" s="35">
        <v>302</v>
      </c>
      <c r="B313" s="35">
        <v>4.0636092856915205E-4</v>
      </c>
      <c r="C313" s="232">
        <v>49.83</v>
      </c>
      <c r="D313" s="35">
        <v>5.0600228145753512</v>
      </c>
      <c r="E313" s="232">
        <v>33.520000000000003</v>
      </c>
      <c r="F313" s="35">
        <v>5.0511654537783688</v>
      </c>
      <c r="G313" s="232">
        <v>9575.92</v>
      </c>
      <c r="H313" s="35">
        <v>8.8277818209343639</v>
      </c>
      <c r="I313" s="232">
        <v>10919.28</v>
      </c>
      <c r="J313" s="35">
        <v>7.4707711714595124</v>
      </c>
      <c r="K313" s="232">
        <v>11726.69</v>
      </c>
      <c r="L313" s="35">
        <v>8.9654975432709705</v>
      </c>
      <c r="M313" s="232">
        <v>37754.879999999997</v>
      </c>
      <c r="N313" s="35">
        <v>7.8442534458442497</v>
      </c>
      <c r="P313" s="232">
        <v>-16.309999999999999</v>
      </c>
      <c r="Q313" s="35">
        <v>8.8573607969824053E-3</v>
      </c>
      <c r="R313" s="232">
        <v>1343.36</v>
      </c>
      <c r="S313" s="35">
        <v>1.3570106494748515</v>
      </c>
      <c r="T313" s="232">
        <v>26028.19</v>
      </c>
      <c r="U313" s="35">
        <v>1.1212440974267208</v>
      </c>
      <c r="W313" s="35">
        <f t="shared" si="31"/>
        <v>459.17803984912024</v>
      </c>
      <c r="X313" s="35">
        <f t="shared" si="32"/>
        <v>66507.172473742568</v>
      </c>
      <c r="Y313" s="35">
        <f t="shared" si="33"/>
        <v>30034.014871336043</v>
      </c>
      <c r="Z313" s="35">
        <f t="shared" si="34"/>
        <v>0</v>
      </c>
      <c r="AA313" s="35">
        <f t="shared" si="35"/>
        <v>1</v>
      </c>
      <c r="AB313" s="35">
        <f t="shared" si="36"/>
        <v>0</v>
      </c>
    </row>
    <row r="314" spans="1:28">
      <c r="A314" s="35">
        <v>303</v>
      </c>
      <c r="B314" s="35">
        <v>4.3739524983580139E-4</v>
      </c>
      <c r="C314" s="232">
        <v>49.61</v>
      </c>
      <c r="D314" s="35">
        <v>5.0616437162963397</v>
      </c>
      <c r="E314" s="232">
        <v>29.95</v>
      </c>
      <c r="F314" s="35">
        <v>5.0504925190367054</v>
      </c>
      <c r="G314" s="232">
        <v>8578.27</v>
      </c>
      <c r="H314" s="35">
        <v>8.9978696483995151</v>
      </c>
      <c r="I314" s="232">
        <v>10058.5</v>
      </c>
      <c r="J314" s="35">
        <v>8.0648105688437752</v>
      </c>
      <c r="K314" s="232">
        <v>10440.959999999999</v>
      </c>
      <c r="L314" s="35">
        <v>8.8004108423919156</v>
      </c>
      <c r="M314" s="232">
        <v>36463.339999999997</v>
      </c>
      <c r="N314" s="35">
        <v>7.7044935965931121</v>
      </c>
      <c r="P314" s="232">
        <v>-19.66</v>
      </c>
      <c r="Q314" s="35">
        <v>1.1151197259634316E-2</v>
      </c>
      <c r="R314" s="232">
        <v>1480.24</v>
      </c>
      <c r="S314" s="35">
        <v>0.93305907955573986</v>
      </c>
      <c r="T314" s="232">
        <v>26022.38</v>
      </c>
      <c r="U314" s="35">
        <v>1.0959172457988036</v>
      </c>
      <c r="W314" s="35">
        <f t="shared" si="31"/>
        <v>577.21986298171578</v>
      </c>
      <c r="X314" s="35">
        <f t="shared" si="32"/>
        <v>45172.713977786996</v>
      </c>
      <c r="Y314" s="35">
        <f t="shared" si="33"/>
        <v>28773.482289940181</v>
      </c>
      <c r="Z314" s="35">
        <f t="shared" si="34"/>
        <v>0</v>
      </c>
      <c r="AA314" s="35">
        <f t="shared" si="35"/>
        <v>1</v>
      </c>
      <c r="AB314" s="35">
        <f t="shared" si="36"/>
        <v>0</v>
      </c>
    </row>
    <row r="315" spans="1:28">
      <c r="A315" s="35">
        <v>304</v>
      </c>
      <c r="B315" s="35">
        <v>3.4369185459870363E-4</v>
      </c>
      <c r="C315" s="232">
        <v>50.02</v>
      </c>
      <c r="D315" s="35">
        <v>5.05444548567145</v>
      </c>
      <c r="E315" s="232">
        <v>32.1</v>
      </c>
      <c r="F315" s="35">
        <v>5.0473157275403695</v>
      </c>
      <c r="G315" s="232">
        <v>11173.67</v>
      </c>
      <c r="H315" s="35">
        <v>8.3872616469884296</v>
      </c>
      <c r="I315" s="232">
        <v>12376.08</v>
      </c>
      <c r="J315" s="35">
        <v>7.3365942131070883</v>
      </c>
      <c r="K315" s="232">
        <v>13425.4</v>
      </c>
      <c r="L315" s="35">
        <v>8.2359699329286613</v>
      </c>
      <c r="M315" s="232">
        <v>39160.97</v>
      </c>
      <c r="N315" s="35">
        <v>7.2240100824345523</v>
      </c>
      <c r="P315" s="232">
        <v>-17.920000000000002</v>
      </c>
      <c r="Q315" s="35">
        <v>7.1297581310805214E-3</v>
      </c>
      <c r="R315" s="232">
        <v>1202.4100000000001</v>
      </c>
      <c r="S315" s="35">
        <v>1.0506674338813413</v>
      </c>
      <c r="T315" s="232">
        <v>25735.57</v>
      </c>
      <c r="U315" s="35">
        <v>1.011959850494109</v>
      </c>
      <c r="W315" s="35">
        <f t="shared" si="31"/>
        <v>374.40790655402606</v>
      </c>
      <c r="X315" s="35">
        <f t="shared" si="32"/>
        <v>51330.96169406706</v>
      </c>
      <c r="Y315" s="35">
        <f t="shared" si="33"/>
        <v>24862.422524705449</v>
      </c>
      <c r="Z315" s="35">
        <f t="shared" si="34"/>
        <v>0</v>
      </c>
      <c r="AA315" s="35">
        <f t="shared" si="35"/>
        <v>1</v>
      </c>
      <c r="AB315" s="35">
        <f t="shared" si="36"/>
        <v>0</v>
      </c>
    </row>
    <row r="316" spans="1:28">
      <c r="A316" s="35">
        <v>305</v>
      </c>
      <c r="B316" s="35">
        <v>3.9795749746938388E-4</v>
      </c>
      <c r="C316" s="232">
        <v>59.94</v>
      </c>
      <c r="D316" s="35">
        <v>5.0598526181555101</v>
      </c>
      <c r="E316" s="232">
        <v>38.36</v>
      </c>
      <c r="F316" s="35">
        <v>5.05061614444267</v>
      </c>
      <c r="G316" s="232">
        <v>11638.88</v>
      </c>
      <c r="H316" s="35">
        <v>8.9557921701865961</v>
      </c>
      <c r="I316" s="232">
        <v>12740.59</v>
      </c>
      <c r="J316" s="35">
        <v>7.5531020063386078</v>
      </c>
      <c r="K316" s="232">
        <v>13914.65</v>
      </c>
      <c r="L316" s="35">
        <v>8.808062775960483</v>
      </c>
      <c r="M316" s="232">
        <v>40073.26</v>
      </c>
      <c r="N316" s="35">
        <v>7.6633149238947178</v>
      </c>
      <c r="P316" s="232">
        <v>-21.58</v>
      </c>
      <c r="Q316" s="35">
        <v>9.2364737128400876E-3</v>
      </c>
      <c r="R316" s="232">
        <v>1101.71</v>
      </c>
      <c r="S316" s="35">
        <v>1.4026901638479883</v>
      </c>
      <c r="T316" s="232">
        <v>26158.61</v>
      </c>
      <c r="U316" s="35">
        <v>1.1447478520657652</v>
      </c>
      <c r="W316" s="35">
        <f t="shared" si="31"/>
        <v>483.40368564200435</v>
      </c>
      <c r="X316" s="35">
        <f t="shared" si="32"/>
        <v>69032.798192399408</v>
      </c>
      <c r="Y316" s="35">
        <f t="shared" si="33"/>
        <v>31078.782603288259</v>
      </c>
      <c r="Z316" s="35">
        <f t="shared" si="34"/>
        <v>0</v>
      </c>
      <c r="AA316" s="35">
        <f t="shared" si="35"/>
        <v>1</v>
      </c>
      <c r="AB316" s="35">
        <f t="shared" si="36"/>
        <v>0</v>
      </c>
    </row>
    <row r="317" spans="1:28">
      <c r="A317" s="35">
        <v>306</v>
      </c>
      <c r="B317" s="35">
        <v>4.4559818011538448E-4</v>
      </c>
      <c r="C317" s="232">
        <v>52.3</v>
      </c>
      <c r="D317" s="35">
        <v>5.0609009040433452</v>
      </c>
      <c r="E317" s="232">
        <v>29.16</v>
      </c>
      <c r="F317" s="35">
        <v>5.0491238701167331</v>
      </c>
      <c r="G317" s="232">
        <v>9060.27</v>
      </c>
      <c r="H317" s="35">
        <v>8.7753324100397805</v>
      </c>
      <c r="I317" s="232">
        <v>10474.52</v>
      </c>
      <c r="J317" s="35">
        <v>7.6051031012882992</v>
      </c>
      <c r="K317" s="232">
        <v>10142.06</v>
      </c>
      <c r="L317" s="35">
        <v>8.4942905781854776</v>
      </c>
      <c r="M317" s="232">
        <v>35907.74</v>
      </c>
      <c r="N317" s="35">
        <v>7.2860220090529779</v>
      </c>
      <c r="P317" s="232">
        <v>-23.14</v>
      </c>
      <c r="Q317" s="35">
        <v>1.1777033926612113E-2</v>
      </c>
      <c r="R317" s="232">
        <v>1414.25</v>
      </c>
      <c r="S317" s="35">
        <v>1.1702293087514812</v>
      </c>
      <c r="T317" s="232">
        <v>25765.68</v>
      </c>
      <c r="U317" s="35">
        <v>1.2082685691324997</v>
      </c>
      <c r="W317" s="35">
        <f t="shared" si="31"/>
        <v>611.99169633060558</v>
      </c>
      <c r="X317" s="35">
        <f t="shared" si="32"/>
        <v>57097.215437574065</v>
      </c>
      <c r="Y317" s="35">
        <f t="shared" si="33"/>
        <v>34647.748456624984</v>
      </c>
      <c r="Z317" s="35">
        <f t="shared" si="34"/>
        <v>0</v>
      </c>
      <c r="AA317" s="35">
        <f t="shared" si="35"/>
        <v>1</v>
      </c>
      <c r="AB317" s="35">
        <f t="shared" si="36"/>
        <v>0</v>
      </c>
    </row>
    <row r="318" spans="1:28">
      <c r="A318" s="35">
        <v>307</v>
      </c>
      <c r="B318" s="35">
        <v>6.8080989005059322E-4</v>
      </c>
      <c r="C318" s="232">
        <v>118.46</v>
      </c>
      <c r="D318" s="35">
        <v>5.0734256153660366</v>
      </c>
      <c r="E318" s="232">
        <v>85.44</v>
      </c>
      <c r="F318" s="35">
        <v>5.0624290194480936</v>
      </c>
      <c r="G318" s="232">
        <v>12604.39</v>
      </c>
      <c r="H318" s="35">
        <v>8.6174583624398799</v>
      </c>
      <c r="I318" s="232">
        <v>12079.33</v>
      </c>
      <c r="J318" s="35">
        <v>7.1991204353847928</v>
      </c>
      <c r="K318" s="232">
        <v>19323.669999999998</v>
      </c>
      <c r="L318" s="35">
        <v>8.6051531734177384</v>
      </c>
      <c r="M318" s="232">
        <v>45783.63</v>
      </c>
      <c r="N318" s="35">
        <v>7.5363948089732409</v>
      </c>
      <c r="P318" s="232">
        <v>-33.020000000000003</v>
      </c>
      <c r="Q318" s="35">
        <v>1.0996595917942997E-2</v>
      </c>
      <c r="R318" s="232">
        <v>-525.05999999999995</v>
      </c>
      <c r="S318" s="35">
        <v>1.4183379270550871</v>
      </c>
      <c r="T318" s="232">
        <v>26459.96</v>
      </c>
      <c r="U318" s="35">
        <v>1.0687583644444976</v>
      </c>
      <c r="W318" s="35">
        <f t="shared" si="31"/>
        <v>582.84979589714987</v>
      </c>
      <c r="X318" s="35">
        <f t="shared" si="32"/>
        <v>71441.956352754351</v>
      </c>
      <c r="Y318" s="35">
        <f t="shared" si="33"/>
        <v>26977.958222224879</v>
      </c>
      <c r="Z318" s="35">
        <f t="shared" si="34"/>
        <v>0</v>
      </c>
      <c r="AA318" s="35">
        <f t="shared" si="35"/>
        <v>1</v>
      </c>
      <c r="AB318" s="35">
        <f t="shared" si="36"/>
        <v>0</v>
      </c>
    </row>
    <row r="319" spans="1:28">
      <c r="A319" s="35">
        <v>308</v>
      </c>
      <c r="B319" s="35">
        <v>5.1600930848161308E-4</v>
      </c>
      <c r="C319" s="232">
        <v>80.23</v>
      </c>
      <c r="D319" s="35">
        <v>5.064320150191242</v>
      </c>
      <c r="E319" s="232">
        <v>52.01</v>
      </c>
      <c r="F319" s="35">
        <v>5.0538295715497661</v>
      </c>
      <c r="G319" s="232">
        <v>11559.79</v>
      </c>
      <c r="H319" s="35">
        <v>8.5204279692827178</v>
      </c>
      <c r="I319" s="232">
        <v>10642.19</v>
      </c>
      <c r="J319" s="35">
        <v>6.6148233933513216</v>
      </c>
      <c r="K319" s="232">
        <v>17732.97</v>
      </c>
      <c r="L319" s="35">
        <v>8.7205997985241854</v>
      </c>
      <c r="M319" s="232">
        <v>43914.03</v>
      </c>
      <c r="N319" s="35">
        <v>7.7265109020794727</v>
      </c>
      <c r="P319" s="232">
        <v>-28.22</v>
      </c>
      <c r="Q319" s="35">
        <v>1.0490578641475956E-2</v>
      </c>
      <c r="R319" s="232">
        <v>-917.6</v>
      </c>
      <c r="S319" s="35">
        <v>1.9056045759313962</v>
      </c>
      <c r="T319" s="232">
        <v>26181.06</v>
      </c>
      <c r="U319" s="35">
        <v>0.99408889644471277</v>
      </c>
      <c r="W319" s="35">
        <f t="shared" si="31"/>
        <v>552.74893207379785</v>
      </c>
      <c r="X319" s="35">
        <f t="shared" si="32"/>
        <v>96197.828796569811</v>
      </c>
      <c r="Y319" s="35">
        <f t="shared" si="33"/>
        <v>23523.384822235636</v>
      </c>
      <c r="Z319" s="35">
        <f t="shared" si="34"/>
        <v>0</v>
      </c>
      <c r="AA319" s="35">
        <f t="shared" si="35"/>
        <v>1</v>
      </c>
      <c r="AB319" s="35">
        <f t="shared" si="36"/>
        <v>0</v>
      </c>
    </row>
    <row r="320" spans="1:28">
      <c r="A320" s="35">
        <v>309</v>
      </c>
      <c r="B320" s="35">
        <v>4.6446054021320737E-4</v>
      </c>
      <c r="C320" s="232">
        <v>81.209999999999994</v>
      </c>
      <c r="D320" s="35">
        <v>5.0613517631899478</v>
      </c>
      <c r="E320" s="232">
        <v>44.62</v>
      </c>
      <c r="F320" s="35">
        <v>5.0497363057948617</v>
      </c>
      <c r="G320" s="232">
        <v>13489.67</v>
      </c>
      <c r="H320" s="35">
        <v>8.7333200198577039</v>
      </c>
      <c r="I320" s="232">
        <v>11950.31</v>
      </c>
      <c r="J320" s="35">
        <v>6.5884892762636849</v>
      </c>
      <c r="K320" s="232">
        <v>18746.900000000001</v>
      </c>
      <c r="L320" s="35">
        <v>8.3357147799666507</v>
      </c>
      <c r="M320" s="232">
        <v>44939.23</v>
      </c>
      <c r="N320" s="35">
        <v>7.1990490083982417</v>
      </c>
      <c r="P320" s="232">
        <v>-36.590000000000003</v>
      </c>
      <c r="Q320" s="35">
        <v>1.1615457395086182E-2</v>
      </c>
      <c r="R320" s="232">
        <v>-1539.36</v>
      </c>
      <c r="S320" s="35">
        <v>2.144830743594019</v>
      </c>
      <c r="T320" s="232">
        <v>26192.34</v>
      </c>
      <c r="U320" s="35">
        <v>1.136665771568409</v>
      </c>
      <c r="W320" s="35">
        <f t="shared" si="31"/>
        <v>617.36286975430914</v>
      </c>
      <c r="X320" s="35">
        <f t="shared" si="32"/>
        <v>108780.89717970096</v>
      </c>
      <c r="Y320" s="35">
        <f t="shared" si="33"/>
        <v>30640.948578420448</v>
      </c>
      <c r="Z320" s="35">
        <f t="shared" si="34"/>
        <v>0</v>
      </c>
      <c r="AA320" s="35">
        <f t="shared" si="35"/>
        <v>1</v>
      </c>
      <c r="AB320" s="35">
        <f t="shared" si="36"/>
        <v>0</v>
      </c>
    </row>
    <row r="321" spans="1:28">
      <c r="A321" s="35">
        <v>310</v>
      </c>
      <c r="B321" s="35">
        <v>3.9561279018881184E-4</v>
      </c>
      <c r="C321" s="232">
        <v>71.56</v>
      </c>
      <c r="D321" s="35">
        <v>5.0613505925877833</v>
      </c>
      <c r="E321" s="232">
        <v>43.6</v>
      </c>
      <c r="F321" s="35">
        <v>5.0509948739892376</v>
      </c>
      <c r="G321" s="232">
        <v>13705.78</v>
      </c>
      <c r="H321" s="35">
        <v>9.3422803514749919</v>
      </c>
      <c r="I321" s="232">
        <v>13733.99</v>
      </c>
      <c r="J321" s="35">
        <v>7.7248019879187702</v>
      </c>
      <c r="K321" s="232">
        <v>17566.93</v>
      </c>
      <c r="L321" s="35">
        <v>9.4525005840790204</v>
      </c>
      <c r="M321" s="232">
        <v>43648.42</v>
      </c>
      <c r="N321" s="35">
        <v>8.3861625527719283</v>
      </c>
      <c r="P321" s="232">
        <v>-27.97</v>
      </c>
      <c r="Q321" s="35">
        <v>1.0355718598545671E-2</v>
      </c>
      <c r="R321" s="232">
        <v>28.21</v>
      </c>
      <c r="S321" s="35">
        <v>1.6174783635562218</v>
      </c>
      <c r="T321" s="232">
        <v>26081.49</v>
      </c>
      <c r="U321" s="35">
        <v>1.066338031307092</v>
      </c>
      <c r="W321" s="35">
        <f t="shared" si="31"/>
        <v>545.75592992728355</v>
      </c>
      <c r="X321" s="35">
        <f t="shared" si="32"/>
        <v>80845.708177811088</v>
      </c>
      <c r="Y321" s="35">
        <f t="shared" si="33"/>
        <v>27235.4115653546</v>
      </c>
      <c r="Z321" s="35">
        <f t="shared" si="34"/>
        <v>0</v>
      </c>
      <c r="AA321" s="35">
        <f t="shared" si="35"/>
        <v>1</v>
      </c>
      <c r="AB321" s="35">
        <f t="shared" si="36"/>
        <v>0</v>
      </c>
    </row>
    <row r="322" spans="1:28">
      <c r="A322" s="35">
        <v>311</v>
      </c>
      <c r="B322" s="35">
        <v>4.4140421424771126E-4</v>
      </c>
      <c r="C322" s="232">
        <v>73.91</v>
      </c>
      <c r="D322" s="35">
        <v>5.0607322104555097</v>
      </c>
      <c r="E322" s="232">
        <v>45.7</v>
      </c>
      <c r="F322" s="35">
        <v>5.0508936841937109</v>
      </c>
      <c r="G322" s="232">
        <v>11977.38</v>
      </c>
      <c r="H322" s="35">
        <v>8.498866631406953</v>
      </c>
      <c r="I322" s="232">
        <v>12346.71</v>
      </c>
      <c r="J322" s="35">
        <v>7.509247230311658</v>
      </c>
      <c r="K322" s="232">
        <v>18732.8</v>
      </c>
      <c r="L322" s="35">
        <v>8.8384298428266135</v>
      </c>
      <c r="M322" s="232">
        <v>45184.03</v>
      </c>
      <c r="N322" s="35">
        <v>7.7307248426353352</v>
      </c>
      <c r="P322" s="232">
        <v>-28.22</v>
      </c>
      <c r="Q322" s="35">
        <v>9.838526261798819E-3</v>
      </c>
      <c r="R322" s="232">
        <v>369.33</v>
      </c>
      <c r="S322" s="35">
        <v>0.989619401095295</v>
      </c>
      <c r="T322" s="232">
        <v>26451.23</v>
      </c>
      <c r="U322" s="35">
        <v>1.1077050001912783</v>
      </c>
      <c r="W322" s="35">
        <f t="shared" si="31"/>
        <v>520.14631308994092</v>
      </c>
      <c r="X322" s="35">
        <f t="shared" si="32"/>
        <v>49111.64005476475</v>
      </c>
      <c r="Y322" s="35">
        <f t="shared" si="33"/>
        <v>28934.020009563912</v>
      </c>
      <c r="Z322" s="35">
        <f t="shared" si="34"/>
        <v>0</v>
      </c>
      <c r="AA322" s="35">
        <f t="shared" si="35"/>
        <v>1</v>
      </c>
      <c r="AB322" s="35">
        <f t="shared" si="36"/>
        <v>0</v>
      </c>
    </row>
    <row r="323" spans="1:28">
      <c r="A323" s="35">
        <v>312</v>
      </c>
      <c r="B323" s="35">
        <v>3.9991909229641285E-4</v>
      </c>
      <c r="C323" s="232">
        <v>56.16</v>
      </c>
      <c r="D323" s="35">
        <v>5.0590869350921706</v>
      </c>
      <c r="E323" s="232">
        <v>34.130000000000003</v>
      </c>
      <c r="F323" s="35">
        <v>5.0494042890554782</v>
      </c>
      <c r="G323" s="232">
        <v>11668.05</v>
      </c>
      <c r="H323" s="35">
        <v>8.9149289590677085</v>
      </c>
      <c r="I323" s="232">
        <v>13391.04</v>
      </c>
      <c r="J323" s="35">
        <v>7.4273216154991131</v>
      </c>
      <c r="K323" s="232">
        <v>13169.21</v>
      </c>
      <c r="L323" s="35">
        <v>8.4695936383861987</v>
      </c>
      <c r="M323" s="232">
        <v>39280.76</v>
      </c>
      <c r="N323" s="35">
        <v>7.3374357503727694</v>
      </c>
      <c r="P323" s="232">
        <v>-22.03</v>
      </c>
      <c r="Q323" s="35">
        <v>9.6826460366923328E-3</v>
      </c>
      <c r="R323" s="232">
        <v>1722.99</v>
      </c>
      <c r="S323" s="35">
        <v>1.4876073435685955</v>
      </c>
      <c r="T323" s="232">
        <v>26111.54</v>
      </c>
      <c r="U323" s="35">
        <v>1.1321578880134293</v>
      </c>
      <c r="W323" s="35">
        <f t="shared" si="31"/>
        <v>506.16230183461664</v>
      </c>
      <c r="X323" s="35">
        <f t="shared" si="32"/>
        <v>72657.377178429771</v>
      </c>
      <c r="Y323" s="35">
        <f t="shared" si="33"/>
        <v>30496.354400671466</v>
      </c>
      <c r="Z323" s="35">
        <f t="shared" si="34"/>
        <v>0</v>
      </c>
      <c r="AA323" s="35">
        <f t="shared" si="35"/>
        <v>1</v>
      </c>
      <c r="AB323" s="35">
        <f t="shared" si="36"/>
        <v>0</v>
      </c>
    </row>
    <row r="324" spans="1:28">
      <c r="A324" s="35">
        <v>313</v>
      </c>
      <c r="B324" s="35">
        <v>4.3201952855204795E-4</v>
      </c>
      <c r="C324" s="232">
        <v>52.88</v>
      </c>
      <c r="D324" s="35">
        <v>5.0588193574996785</v>
      </c>
      <c r="E324" s="232">
        <v>35.26</v>
      </c>
      <c r="F324" s="35">
        <v>5.0504088845785473</v>
      </c>
      <c r="G324" s="232">
        <v>9330.3700000000008</v>
      </c>
      <c r="H324" s="35">
        <v>8.1214675190784344</v>
      </c>
      <c r="I324" s="232">
        <v>10793.62</v>
      </c>
      <c r="J324" s="35">
        <v>6.9935403537592125</v>
      </c>
      <c r="K324" s="232">
        <v>11274.46</v>
      </c>
      <c r="L324" s="35">
        <v>8.6361216147182027</v>
      </c>
      <c r="M324" s="232">
        <v>37158.61</v>
      </c>
      <c r="N324" s="35">
        <v>7.5496865551216201</v>
      </c>
      <c r="P324" s="232">
        <v>-17.62</v>
      </c>
      <c r="Q324" s="35">
        <v>8.4104729211311735E-3</v>
      </c>
      <c r="R324" s="232">
        <v>1463.25</v>
      </c>
      <c r="S324" s="35">
        <v>1.127927165319222</v>
      </c>
      <c r="T324" s="232">
        <v>25884.15</v>
      </c>
      <c r="U324" s="35">
        <v>1.0864350595965826</v>
      </c>
      <c r="W324" s="35">
        <f t="shared" si="31"/>
        <v>438.14364605655868</v>
      </c>
      <c r="X324" s="35">
        <f t="shared" si="32"/>
        <v>54933.108265961098</v>
      </c>
      <c r="Y324" s="35">
        <f t="shared" si="33"/>
        <v>28437.602979829127</v>
      </c>
      <c r="Z324" s="35">
        <f t="shared" si="34"/>
        <v>0</v>
      </c>
      <c r="AA324" s="35">
        <f t="shared" si="35"/>
        <v>1</v>
      </c>
      <c r="AB324" s="35">
        <f t="shared" si="36"/>
        <v>0</v>
      </c>
    </row>
    <row r="325" spans="1:28">
      <c r="A325" s="35">
        <v>314</v>
      </c>
      <c r="B325" s="35">
        <v>4.3554393121894016E-4</v>
      </c>
      <c r="C325" s="232">
        <v>60.43</v>
      </c>
      <c r="D325" s="35">
        <v>5.0632363479089406</v>
      </c>
      <c r="E325" s="232">
        <v>42.21</v>
      </c>
      <c r="F325" s="35">
        <v>5.0540703143426713</v>
      </c>
      <c r="G325" s="232">
        <v>10977.05</v>
      </c>
      <c r="H325" s="35">
        <v>9.2698480991380396</v>
      </c>
      <c r="I325" s="232">
        <v>12468.45</v>
      </c>
      <c r="J325" s="35">
        <v>7.817921554334986</v>
      </c>
      <c r="K325" s="232">
        <v>12207.34</v>
      </c>
      <c r="L325" s="35">
        <v>8.9427647437219786</v>
      </c>
      <c r="M325" s="232">
        <v>38147.61</v>
      </c>
      <c r="N325" s="35">
        <v>7.8247011142360758</v>
      </c>
      <c r="P325" s="232">
        <v>-18.22</v>
      </c>
      <c r="Q325" s="35">
        <v>9.1660335662693271E-3</v>
      </c>
      <c r="R325" s="232">
        <v>1491.41</v>
      </c>
      <c r="S325" s="35">
        <v>1.4519265448030536</v>
      </c>
      <c r="T325" s="232">
        <v>25940.27</v>
      </c>
      <c r="U325" s="35">
        <v>1.1180636294859028</v>
      </c>
      <c r="W325" s="35">
        <f t="shared" si="31"/>
        <v>476.5216783134664</v>
      </c>
      <c r="X325" s="35">
        <f t="shared" si="32"/>
        <v>71104.917240152674</v>
      </c>
      <c r="Y325" s="35">
        <f t="shared" si="33"/>
        <v>29962.911474295139</v>
      </c>
      <c r="Z325" s="35">
        <f t="shared" si="34"/>
        <v>0</v>
      </c>
      <c r="AA325" s="35">
        <f t="shared" si="35"/>
        <v>1</v>
      </c>
      <c r="AB325" s="35">
        <f t="shared" si="36"/>
        <v>0</v>
      </c>
    </row>
    <row r="326" spans="1:28">
      <c r="A326" s="35">
        <v>315</v>
      </c>
      <c r="B326" s="35">
        <v>6.0428695721848058E-4</v>
      </c>
      <c r="C326" s="232">
        <v>111.9</v>
      </c>
      <c r="D326" s="35">
        <v>5.0703189642438966</v>
      </c>
      <c r="E326" s="232">
        <v>68.14</v>
      </c>
      <c r="F326" s="35">
        <v>5.0565885916636555</v>
      </c>
      <c r="G326" s="232">
        <v>14847.99</v>
      </c>
      <c r="H326" s="35">
        <v>8.9588319796287497</v>
      </c>
      <c r="I326" s="232">
        <v>16576.78</v>
      </c>
      <c r="J326" s="35">
        <v>8.4449571238839471</v>
      </c>
      <c r="K326" s="232">
        <v>18771.53</v>
      </c>
      <c r="L326" s="35">
        <v>8.5891238679020745</v>
      </c>
      <c r="M326" s="232">
        <v>45140.62</v>
      </c>
      <c r="N326" s="35">
        <v>7.4570217256630249</v>
      </c>
      <c r="P326" s="232">
        <v>-43.75</v>
      </c>
      <c r="Q326" s="35">
        <v>1.3730372580241124E-2</v>
      </c>
      <c r="R326" s="232">
        <v>1728.78</v>
      </c>
      <c r="S326" s="35">
        <v>0.51387485574480252</v>
      </c>
      <c r="T326" s="232">
        <v>26369.09</v>
      </c>
      <c r="U326" s="35">
        <v>1.1321021422390496</v>
      </c>
      <c r="W326" s="35">
        <f t="shared" si="31"/>
        <v>730.26862901205618</v>
      </c>
      <c r="X326" s="35">
        <f t="shared" si="32"/>
        <v>23964.962787240125</v>
      </c>
      <c r="Y326" s="35">
        <f t="shared" si="33"/>
        <v>30236.017111952478</v>
      </c>
      <c r="Z326" s="35">
        <f t="shared" si="34"/>
        <v>0</v>
      </c>
      <c r="AA326" s="35">
        <f t="shared" si="35"/>
        <v>0</v>
      </c>
      <c r="AB326" s="35">
        <f t="shared" si="36"/>
        <v>1</v>
      </c>
    </row>
    <row r="327" spans="1:28">
      <c r="A327" s="35">
        <v>316</v>
      </c>
      <c r="B327" s="35">
        <v>5.7378210468828073E-4</v>
      </c>
      <c r="C327" s="232">
        <v>94.97</v>
      </c>
      <c r="D327" s="35">
        <v>5.0623389345651111</v>
      </c>
      <c r="E327" s="232">
        <v>59.92</v>
      </c>
      <c r="F327" s="35">
        <v>5.0523853319343699</v>
      </c>
      <c r="G327" s="232">
        <v>11452.56</v>
      </c>
      <c r="H327" s="35">
        <v>7.7594559556573337</v>
      </c>
      <c r="I327" s="232">
        <v>12094.46</v>
      </c>
      <c r="J327" s="35">
        <v>7.0587055996819954</v>
      </c>
      <c r="K327" s="232">
        <v>17918.38</v>
      </c>
      <c r="L327" s="35">
        <v>8.043089861357311</v>
      </c>
      <c r="M327" s="232">
        <v>43993.17</v>
      </c>
      <c r="N327" s="35">
        <v>6.9876993560749172</v>
      </c>
      <c r="P327" s="232">
        <v>-35.04</v>
      </c>
      <c r="Q327" s="35">
        <v>9.9536026307411873E-3</v>
      </c>
      <c r="R327" s="232">
        <v>641.9</v>
      </c>
      <c r="S327" s="35">
        <v>0.7007503559753383</v>
      </c>
      <c r="T327" s="232">
        <v>26074.79</v>
      </c>
      <c r="U327" s="35">
        <v>1.0553905052823938</v>
      </c>
      <c r="W327" s="35">
        <f t="shared" si="31"/>
        <v>532.72013153705939</v>
      </c>
      <c r="X327" s="35">
        <f t="shared" si="32"/>
        <v>34395.617798766914</v>
      </c>
      <c r="Y327" s="35">
        <f t="shared" si="33"/>
        <v>26694.735264119685</v>
      </c>
      <c r="Z327" s="35">
        <f t="shared" si="34"/>
        <v>0</v>
      </c>
      <c r="AA327" s="35">
        <f t="shared" si="35"/>
        <v>1</v>
      </c>
      <c r="AB327" s="35">
        <f t="shared" si="36"/>
        <v>0</v>
      </c>
    </row>
    <row r="328" spans="1:28">
      <c r="A328" s="35">
        <v>317</v>
      </c>
      <c r="B328" s="35">
        <v>2.8718735588634942E-4</v>
      </c>
      <c r="C328" s="232">
        <v>40.799999999999997</v>
      </c>
      <c r="D328" s="35">
        <v>5.0524583475047056</v>
      </c>
      <c r="E328" s="232">
        <v>27.44</v>
      </c>
      <c r="F328" s="35">
        <v>5.046394699874531</v>
      </c>
      <c r="G328" s="232">
        <v>10327.549999999999</v>
      </c>
      <c r="H328" s="35">
        <v>8.6452912198556078</v>
      </c>
      <c r="I328" s="232">
        <v>11036.55</v>
      </c>
      <c r="J328" s="35">
        <v>7.7587314446846829</v>
      </c>
      <c r="K328" s="232">
        <v>15428.23</v>
      </c>
      <c r="L328" s="35">
        <v>8.4723139146178834</v>
      </c>
      <c r="M328" s="232">
        <v>41622.43</v>
      </c>
      <c r="N328" s="35">
        <v>7.3542122995497801</v>
      </c>
      <c r="P328" s="232">
        <v>-13.36</v>
      </c>
      <c r="Q328" s="35">
        <v>6.063647630174529E-3</v>
      </c>
      <c r="R328" s="232">
        <v>709</v>
      </c>
      <c r="S328" s="35">
        <v>0.88655977517092488</v>
      </c>
      <c r="T328" s="232">
        <v>26194.2</v>
      </c>
      <c r="U328" s="35">
        <v>1.1181016150681033</v>
      </c>
      <c r="W328" s="35">
        <f t="shared" si="31"/>
        <v>316.54238150872646</v>
      </c>
      <c r="X328" s="35">
        <f t="shared" si="32"/>
        <v>43618.988758546242</v>
      </c>
      <c r="Y328" s="35">
        <f t="shared" si="33"/>
        <v>29710.88075340517</v>
      </c>
      <c r="Z328" s="35">
        <f t="shared" si="34"/>
        <v>0</v>
      </c>
      <c r="AA328" s="35">
        <f t="shared" si="35"/>
        <v>1</v>
      </c>
      <c r="AB328" s="35">
        <f t="shared" si="36"/>
        <v>0</v>
      </c>
    </row>
    <row r="329" spans="1:28">
      <c r="A329" s="35">
        <v>318</v>
      </c>
      <c r="B329" s="35">
        <v>4.1573665068624907E-4</v>
      </c>
      <c r="C329" s="232">
        <v>69.540000000000006</v>
      </c>
      <c r="D329" s="35">
        <v>5.0596500953405785</v>
      </c>
      <c r="E329" s="232">
        <v>43.8</v>
      </c>
      <c r="F329" s="35">
        <v>5.0504613693853093</v>
      </c>
      <c r="G329" s="232">
        <v>12229.49</v>
      </c>
      <c r="H329" s="35">
        <v>8.7508225589720858</v>
      </c>
      <c r="I329" s="232">
        <v>12117.15</v>
      </c>
      <c r="J329" s="35">
        <v>7.3361520863518264</v>
      </c>
      <c r="K329" s="232">
        <v>16483.05</v>
      </c>
      <c r="L329" s="35">
        <v>8.7056266074630511</v>
      </c>
      <c r="M329" s="232">
        <v>42496.69</v>
      </c>
      <c r="N329" s="35">
        <v>7.6705164423742573</v>
      </c>
      <c r="P329" s="232">
        <v>-25.75</v>
      </c>
      <c r="Q329" s="35">
        <v>9.1887259552692058E-3</v>
      </c>
      <c r="R329" s="232">
        <v>-112.34</v>
      </c>
      <c r="S329" s="35">
        <v>1.4146704726202595</v>
      </c>
      <c r="T329" s="232">
        <v>26013.64</v>
      </c>
      <c r="U329" s="35">
        <v>1.0351101650887937</v>
      </c>
      <c r="W329" s="35">
        <f t="shared" si="31"/>
        <v>485.18629776346029</v>
      </c>
      <c r="X329" s="35">
        <f t="shared" si="32"/>
        <v>70845.863631012966</v>
      </c>
      <c r="Y329" s="35">
        <f t="shared" si="33"/>
        <v>25741.868254439687</v>
      </c>
      <c r="Z329" s="35">
        <f t="shared" si="34"/>
        <v>0</v>
      </c>
      <c r="AA329" s="35">
        <f t="shared" si="35"/>
        <v>1</v>
      </c>
      <c r="AB329" s="35">
        <f t="shared" si="36"/>
        <v>0</v>
      </c>
    </row>
    <row r="330" spans="1:28">
      <c r="A330" s="35">
        <v>319</v>
      </c>
      <c r="B330" s="35">
        <v>4.9375631809056575E-4</v>
      </c>
      <c r="C330" s="232">
        <v>58.9</v>
      </c>
      <c r="D330" s="35">
        <v>5.0662431308028149</v>
      </c>
      <c r="E330" s="232">
        <v>38.74</v>
      </c>
      <c r="F330" s="35">
        <v>5.0547915953470177</v>
      </c>
      <c r="G330" s="232">
        <v>9260.2900000000009</v>
      </c>
      <c r="H330" s="35">
        <v>9.4518784107904121</v>
      </c>
      <c r="I330" s="232">
        <v>10620.65</v>
      </c>
      <c r="J330" s="35">
        <v>8.2630014354219838</v>
      </c>
      <c r="K330" s="232">
        <v>10808.18</v>
      </c>
      <c r="L330" s="35">
        <v>8.5776578947372126</v>
      </c>
      <c r="M330" s="232">
        <v>36703.78</v>
      </c>
      <c r="N330" s="35">
        <v>7.4117589550089358</v>
      </c>
      <c r="P330" s="232">
        <v>-20.149999999999999</v>
      </c>
      <c r="Q330" s="35">
        <v>1.1451535455797135E-2</v>
      </c>
      <c r="R330" s="232">
        <v>1360.35</v>
      </c>
      <c r="S330" s="35">
        <v>1.1888769753684283</v>
      </c>
      <c r="T330" s="232">
        <v>25895.599999999999</v>
      </c>
      <c r="U330" s="35">
        <v>1.1658989397282769</v>
      </c>
      <c r="W330" s="35">
        <f t="shared" si="31"/>
        <v>592.72677278985668</v>
      </c>
      <c r="X330" s="35">
        <f t="shared" si="32"/>
        <v>58083.498768421414</v>
      </c>
      <c r="Y330" s="35">
        <f t="shared" si="33"/>
        <v>32399.346986413846</v>
      </c>
      <c r="Z330" s="35">
        <f t="shared" si="34"/>
        <v>0</v>
      </c>
      <c r="AA330" s="35">
        <f t="shared" si="35"/>
        <v>1</v>
      </c>
      <c r="AB330" s="35">
        <f t="shared" si="36"/>
        <v>0</v>
      </c>
    </row>
    <row r="331" spans="1:28">
      <c r="A331" s="35">
        <v>320</v>
      </c>
      <c r="B331" s="35">
        <v>6.2756060512403344E-4</v>
      </c>
      <c r="C331" s="232">
        <v>75.78</v>
      </c>
      <c r="D331" s="35">
        <v>5.0729342930141037</v>
      </c>
      <c r="E331" s="232">
        <v>40.950000000000003</v>
      </c>
      <c r="F331" s="35">
        <v>5.0551482604922651</v>
      </c>
      <c r="G331" s="232">
        <v>9539.7999999999993</v>
      </c>
      <c r="H331" s="35">
        <v>9.2970598099981441</v>
      </c>
      <c r="I331" s="232">
        <v>10225.459999999999</v>
      </c>
      <c r="J331" s="35">
        <v>7.3616718882659917</v>
      </c>
      <c r="K331" s="232">
        <v>11217.62</v>
      </c>
      <c r="L331" s="35">
        <v>8.8119004610033542</v>
      </c>
      <c r="M331" s="232">
        <v>36943.379999999997</v>
      </c>
      <c r="N331" s="35">
        <v>7.7578386081706929</v>
      </c>
      <c r="P331" s="232">
        <v>-34.83</v>
      </c>
      <c r="Q331" s="35">
        <v>1.7786032521838635E-2</v>
      </c>
      <c r="R331" s="232">
        <v>685.67</v>
      </c>
      <c r="S331" s="35">
        <v>1.9353879217321523</v>
      </c>
      <c r="T331" s="232">
        <v>25725.759999999998</v>
      </c>
      <c r="U331" s="35">
        <v>1.0540618528326613</v>
      </c>
      <c r="W331" s="35">
        <f t="shared" si="31"/>
        <v>924.13162609193182</v>
      </c>
      <c r="X331" s="35">
        <f t="shared" si="32"/>
        <v>96083.726086607625</v>
      </c>
      <c r="Y331" s="35">
        <f t="shared" si="33"/>
        <v>26977.332641633064</v>
      </c>
      <c r="Z331" s="35">
        <f t="shared" si="34"/>
        <v>0</v>
      </c>
      <c r="AA331" s="35">
        <f t="shared" si="35"/>
        <v>1</v>
      </c>
      <c r="AB331" s="35">
        <f t="shared" si="36"/>
        <v>0</v>
      </c>
    </row>
    <row r="332" spans="1:28">
      <c r="A332" s="35">
        <v>321</v>
      </c>
      <c r="B332" s="35">
        <v>4.5739307237346871E-4</v>
      </c>
      <c r="C332" s="232">
        <v>104.31</v>
      </c>
      <c r="D332" s="35">
        <v>5.0632639593115156</v>
      </c>
      <c r="E332" s="232">
        <v>62.69</v>
      </c>
      <c r="F332" s="35">
        <v>5.0522615777543498</v>
      </c>
      <c r="G332" s="232">
        <v>17723.310000000001</v>
      </c>
      <c r="H332" s="35">
        <v>9.1247364412212715</v>
      </c>
      <c r="I332" s="232">
        <v>18115.759999999998</v>
      </c>
      <c r="J332" s="35">
        <v>8.2023817061196489</v>
      </c>
      <c r="K332" s="232">
        <v>25250.12</v>
      </c>
      <c r="L332" s="35">
        <v>8.7804707703149187</v>
      </c>
      <c r="M332" s="232">
        <v>51859.19</v>
      </c>
      <c r="N332" s="35">
        <v>7.6739376798674952</v>
      </c>
      <c r="P332" s="232">
        <v>-41.62</v>
      </c>
      <c r="Q332" s="35">
        <v>1.1002381557165819E-2</v>
      </c>
      <c r="R332" s="232">
        <v>392.45</v>
      </c>
      <c r="S332" s="35">
        <v>0.92235473510162258</v>
      </c>
      <c r="T332" s="232">
        <v>26609.07</v>
      </c>
      <c r="U332" s="35">
        <v>1.1065330904474235</v>
      </c>
      <c r="W332" s="35">
        <f t="shared" ref="W332:W395" si="37">$X$2*Q332-P332</f>
        <v>591.7390778582909</v>
      </c>
      <c r="X332" s="35">
        <f t="shared" ref="X332:X395" si="38">$X$2*S332-R332</f>
        <v>45725.286755081135</v>
      </c>
      <c r="Y332" s="35">
        <f t="shared" ref="Y332:Y395" si="39">$X$2*U332-T332</f>
        <v>28717.58452237118</v>
      </c>
      <c r="Z332" s="35">
        <f t="shared" ref="Z332:Z395" si="40">IF(W332=MAX($W332:$Y332), 1, 0)</f>
        <v>0</v>
      </c>
      <c r="AA332" s="35">
        <f t="shared" ref="AA332:AA395" si="41">IF(X332=MAX($W332:$Y332), 1, 0)</f>
        <v>1</v>
      </c>
      <c r="AB332" s="35">
        <f t="shared" ref="AB332:AB395" si="42">IF(Y332=MAX($W332:$Y332), 1, 0)</f>
        <v>0</v>
      </c>
    </row>
    <row r="333" spans="1:28">
      <c r="A333" s="35">
        <v>322</v>
      </c>
      <c r="B333" s="35">
        <v>3.9983952758363876E-4</v>
      </c>
      <c r="C333" s="232">
        <v>48.74</v>
      </c>
      <c r="D333" s="35">
        <v>5.0578447499821557</v>
      </c>
      <c r="E333" s="232">
        <v>29.37</v>
      </c>
      <c r="F333" s="35">
        <v>5.0484321043707077</v>
      </c>
      <c r="G333" s="232">
        <v>9742.2999999999993</v>
      </c>
      <c r="H333" s="35">
        <v>8.5805236141609207</v>
      </c>
      <c r="I333" s="232">
        <v>11516.2</v>
      </c>
      <c r="J333" s="35">
        <v>7.4769620419836968</v>
      </c>
      <c r="K333" s="232">
        <v>10281.44</v>
      </c>
      <c r="L333" s="35">
        <v>8.4577105737573213</v>
      </c>
      <c r="M333" s="232">
        <v>36181.35</v>
      </c>
      <c r="N333" s="35">
        <v>7.4220014164220522</v>
      </c>
      <c r="P333" s="232">
        <v>-19.36</v>
      </c>
      <c r="Q333" s="35">
        <v>9.4126456114480561E-3</v>
      </c>
      <c r="R333" s="232">
        <v>1773.9</v>
      </c>
      <c r="S333" s="35">
        <v>1.1035615721772238</v>
      </c>
      <c r="T333" s="232">
        <v>25899.919999999998</v>
      </c>
      <c r="U333" s="35">
        <v>1.035709157335269</v>
      </c>
      <c r="W333" s="35">
        <f t="shared" si="37"/>
        <v>489.99228057240282</v>
      </c>
      <c r="X333" s="35">
        <f t="shared" si="38"/>
        <v>53404.178608861192</v>
      </c>
      <c r="Y333" s="35">
        <f t="shared" si="39"/>
        <v>25885.53786676345</v>
      </c>
      <c r="Z333" s="35">
        <f t="shared" si="40"/>
        <v>0</v>
      </c>
      <c r="AA333" s="35">
        <f t="shared" si="41"/>
        <v>1</v>
      </c>
      <c r="AB333" s="35">
        <f t="shared" si="42"/>
        <v>0</v>
      </c>
    </row>
    <row r="334" spans="1:28">
      <c r="A334" s="35">
        <v>323</v>
      </c>
      <c r="B334" s="35">
        <v>4.7595582162107686E-4</v>
      </c>
      <c r="C334" s="232">
        <v>56.31</v>
      </c>
      <c r="D334" s="35">
        <v>5.0650396094268215</v>
      </c>
      <c r="E334" s="232">
        <v>33.479999999999997</v>
      </c>
      <c r="F334" s="35">
        <v>5.0522816245927071</v>
      </c>
      <c r="G334" s="232">
        <v>9339.69</v>
      </c>
      <c r="H334" s="35">
        <v>9.2564303407138446</v>
      </c>
      <c r="I334" s="232">
        <v>9974.5300000000007</v>
      </c>
      <c r="J334" s="35">
        <v>6.581020032901181</v>
      </c>
      <c r="K334" s="232">
        <v>10502.14</v>
      </c>
      <c r="L334" s="35">
        <v>9.0250560130458268</v>
      </c>
      <c r="M334" s="232">
        <v>36289.46</v>
      </c>
      <c r="N334" s="35">
        <v>7.8761200811937035</v>
      </c>
      <c r="P334" s="232">
        <v>-22.83</v>
      </c>
      <c r="Q334" s="35">
        <v>1.2757984834114389E-2</v>
      </c>
      <c r="R334" s="232">
        <v>634.84</v>
      </c>
      <c r="S334" s="35">
        <v>2.6754103078126636</v>
      </c>
      <c r="T334" s="232">
        <v>25787.32</v>
      </c>
      <c r="U334" s="35">
        <v>1.1489359318521233</v>
      </c>
      <c r="W334" s="35">
        <f t="shared" si="37"/>
        <v>660.72924170571946</v>
      </c>
      <c r="X334" s="35">
        <f t="shared" si="38"/>
        <v>133135.67539063317</v>
      </c>
      <c r="Y334" s="35">
        <f t="shared" si="39"/>
        <v>31659.476592606166</v>
      </c>
      <c r="Z334" s="35">
        <f t="shared" si="40"/>
        <v>0</v>
      </c>
      <c r="AA334" s="35">
        <f t="shared" si="41"/>
        <v>1</v>
      </c>
      <c r="AB334" s="35">
        <f t="shared" si="42"/>
        <v>0</v>
      </c>
    </row>
    <row r="335" spans="1:28">
      <c r="A335" s="35">
        <v>324</v>
      </c>
      <c r="B335" s="35">
        <v>3.8404692177649972E-4</v>
      </c>
      <c r="C335" s="232">
        <v>50.03</v>
      </c>
      <c r="D335" s="35">
        <v>5.0569880870903887</v>
      </c>
      <c r="E335" s="232">
        <v>31.54</v>
      </c>
      <c r="F335" s="35">
        <v>5.0485473384798896</v>
      </c>
      <c r="G335" s="232">
        <v>9819.48</v>
      </c>
      <c r="H335" s="35">
        <v>8.2823027351072902</v>
      </c>
      <c r="I335" s="232">
        <v>11002.17</v>
      </c>
      <c r="J335" s="35">
        <v>7.0092814632416118</v>
      </c>
      <c r="K335" s="232">
        <v>11978.2</v>
      </c>
      <c r="L335" s="35">
        <v>8.8158421604442516</v>
      </c>
      <c r="M335" s="232">
        <v>37829.89</v>
      </c>
      <c r="N335" s="35">
        <v>7.8182095736681081</v>
      </c>
      <c r="P335" s="232">
        <v>-18.489999999999998</v>
      </c>
      <c r="Q335" s="35">
        <v>8.4407486104991492E-3</v>
      </c>
      <c r="R335" s="232">
        <v>1182.69</v>
      </c>
      <c r="S335" s="35">
        <v>1.2730212718656784</v>
      </c>
      <c r="T335" s="232">
        <v>25851.69</v>
      </c>
      <c r="U335" s="35">
        <v>0.99763258677614353</v>
      </c>
      <c r="W335" s="35">
        <f t="shared" si="37"/>
        <v>440.52743052495748</v>
      </c>
      <c r="X335" s="35">
        <f t="shared" si="38"/>
        <v>62468.373593283919</v>
      </c>
      <c r="Y335" s="35">
        <f t="shared" si="39"/>
        <v>24029.93933880718</v>
      </c>
      <c r="Z335" s="35">
        <f t="shared" si="40"/>
        <v>0</v>
      </c>
      <c r="AA335" s="35">
        <f t="shared" si="41"/>
        <v>1</v>
      </c>
      <c r="AB335" s="35">
        <f t="shared" si="42"/>
        <v>0</v>
      </c>
    </row>
    <row r="336" spans="1:28">
      <c r="A336" s="35">
        <v>325</v>
      </c>
      <c r="B336" s="35">
        <v>5.7939028159958994E-4</v>
      </c>
      <c r="C336" s="232">
        <v>56.29</v>
      </c>
      <c r="D336" s="35">
        <v>5.0675000672229045</v>
      </c>
      <c r="E336" s="232">
        <v>37.090000000000003</v>
      </c>
      <c r="F336" s="35">
        <v>5.0554875037433158</v>
      </c>
      <c r="G336" s="232">
        <v>7731.84</v>
      </c>
      <c r="H336" s="35">
        <v>8.5848293939774329</v>
      </c>
      <c r="I336" s="232">
        <v>9813.6200000000008</v>
      </c>
      <c r="J336" s="35">
        <v>7.6570779877057529</v>
      </c>
      <c r="K336" s="232">
        <v>7298</v>
      </c>
      <c r="L336" s="35">
        <v>8.480283401717907</v>
      </c>
      <c r="M336" s="232">
        <v>33012.85</v>
      </c>
      <c r="N336" s="35">
        <v>7.3517223339120044</v>
      </c>
      <c r="P336" s="232">
        <v>-19.2</v>
      </c>
      <c r="Q336" s="35">
        <v>1.2012563479588678E-2</v>
      </c>
      <c r="R336" s="232">
        <v>2081.77</v>
      </c>
      <c r="S336" s="35">
        <v>0.92775140627168007</v>
      </c>
      <c r="T336" s="232">
        <v>25714.85</v>
      </c>
      <c r="U336" s="35">
        <v>1.1285610678059026</v>
      </c>
      <c r="W336" s="35">
        <f t="shared" si="37"/>
        <v>619.82817397943393</v>
      </c>
      <c r="X336" s="35">
        <f t="shared" si="38"/>
        <v>44305.800313584004</v>
      </c>
      <c r="Y336" s="35">
        <f t="shared" si="39"/>
        <v>30713.20339029513</v>
      </c>
      <c r="Z336" s="35">
        <f t="shared" si="40"/>
        <v>0</v>
      </c>
      <c r="AA336" s="35">
        <f t="shared" si="41"/>
        <v>1</v>
      </c>
      <c r="AB336" s="35">
        <f t="shared" si="42"/>
        <v>0</v>
      </c>
    </row>
    <row r="337" spans="1:28">
      <c r="A337" s="35">
        <v>326</v>
      </c>
      <c r="B337" s="35">
        <v>6.2860202093772966E-4</v>
      </c>
      <c r="C337" s="232">
        <v>104.74</v>
      </c>
      <c r="D337" s="35">
        <v>5.074728553514892</v>
      </c>
      <c r="E337" s="232">
        <v>64.72</v>
      </c>
      <c r="F337" s="35">
        <v>5.059375482406856</v>
      </c>
      <c r="G337" s="232">
        <v>12619.12</v>
      </c>
      <c r="H337" s="35">
        <v>9.4556208036319624</v>
      </c>
      <c r="I337" s="232">
        <v>13769.78</v>
      </c>
      <c r="J337" s="35">
        <v>8.6419831359242316</v>
      </c>
      <c r="K337" s="232">
        <v>15926.91</v>
      </c>
      <c r="L337" s="35">
        <v>8.9881439975326245</v>
      </c>
      <c r="M337" s="232">
        <v>42028.65</v>
      </c>
      <c r="N337" s="35">
        <v>7.9090207777105537</v>
      </c>
      <c r="P337" s="232">
        <v>-40.020000000000003</v>
      </c>
      <c r="Q337" s="35">
        <v>1.5353071108036076E-2</v>
      </c>
      <c r="R337" s="232">
        <v>1150.6600000000001</v>
      </c>
      <c r="S337" s="35">
        <v>0.81363766770773083</v>
      </c>
      <c r="T337" s="232">
        <v>26101.74</v>
      </c>
      <c r="U337" s="35">
        <v>1.0791232198220708</v>
      </c>
      <c r="W337" s="35">
        <f t="shared" si="37"/>
        <v>807.67355540180381</v>
      </c>
      <c r="X337" s="35">
        <f t="shared" si="38"/>
        <v>39531.22338538654</v>
      </c>
      <c r="Y337" s="35">
        <f t="shared" si="39"/>
        <v>27854.42099110354</v>
      </c>
      <c r="Z337" s="35">
        <f t="shared" si="40"/>
        <v>0</v>
      </c>
      <c r="AA337" s="35">
        <f t="shared" si="41"/>
        <v>1</v>
      </c>
      <c r="AB337" s="35">
        <f t="shared" si="42"/>
        <v>0</v>
      </c>
    </row>
    <row r="338" spans="1:28">
      <c r="A338" s="35">
        <v>327</v>
      </c>
      <c r="B338" s="35">
        <v>6.2179814226126506E-4</v>
      </c>
      <c r="C338" s="232">
        <v>92.85</v>
      </c>
      <c r="D338" s="35">
        <v>5.0743680820565951</v>
      </c>
      <c r="E338" s="232">
        <v>53.43</v>
      </c>
      <c r="F338" s="35">
        <v>5.0574531403513117</v>
      </c>
      <c r="G338" s="232">
        <v>11747.6</v>
      </c>
      <c r="H338" s="35">
        <v>9.5565495282278423</v>
      </c>
      <c r="I338" s="232">
        <v>13497.81</v>
      </c>
      <c r="J338" s="35">
        <v>9.0363704790658002</v>
      </c>
      <c r="K338" s="232">
        <v>14288.95</v>
      </c>
      <c r="L338" s="35">
        <v>8.9068814198826942</v>
      </c>
      <c r="M338" s="232">
        <v>40405.760000000002</v>
      </c>
      <c r="N338" s="35">
        <v>7.8122319123893007</v>
      </c>
      <c r="P338" s="232">
        <v>-39.42</v>
      </c>
      <c r="Q338" s="35">
        <v>1.6914941705283404E-2</v>
      </c>
      <c r="R338" s="232">
        <v>1750.21</v>
      </c>
      <c r="S338" s="35">
        <v>0.52017904916204216</v>
      </c>
      <c r="T338" s="232">
        <v>26116.81</v>
      </c>
      <c r="U338" s="35">
        <v>1.0946495074933935</v>
      </c>
      <c r="W338" s="35">
        <f t="shared" si="37"/>
        <v>885.16708526417017</v>
      </c>
      <c r="X338" s="35">
        <f t="shared" si="38"/>
        <v>24258.742458102108</v>
      </c>
      <c r="Y338" s="35">
        <f t="shared" si="39"/>
        <v>28615.665374669672</v>
      </c>
      <c r="Z338" s="35">
        <f t="shared" si="40"/>
        <v>0</v>
      </c>
      <c r="AA338" s="35">
        <f t="shared" si="41"/>
        <v>0</v>
      </c>
      <c r="AB338" s="35">
        <f t="shared" si="42"/>
        <v>1</v>
      </c>
    </row>
    <row r="339" spans="1:28">
      <c r="A339" s="35">
        <v>328</v>
      </c>
      <c r="B339" s="35">
        <v>3.5962482779626346E-4</v>
      </c>
      <c r="C339" s="232">
        <v>52.41</v>
      </c>
      <c r="D339" s="35">
        <v>5.0574941818708421</v>
      </c>
      <c r="E339" s="232">
        <v>31.91</v>
      </c>
      <c r="F339" s="35">
        <v>5.0484705289567247</v>
      </c>
      <c r="G339" s="232">
        <v>11570.16</v>
      </c>
      <c r="H339" s="35">
        <v>9.0305317402556078</v>
      </c>
      <c r="I339" s="232">
        <v>12842.71</v>
      </c>
      <c r="J339" s="35">
        <v>7.6857725479913057</v>
      </c>
      <c r="K339" s="232">
        <v>13513.54</v>
      </c>
      <c r="L339" s="35">
        <v>8.7752266709863722</v>
      </c>
      <c r="M339" s="232">
        <v>39515.11</v>
      </c>
      <c r="N339" s="35">
        <v>7.670642075078157</v>
      </c>
      <c r="P339" s="232">
        <v>-20.5</v>
      </c>
      <c r="Q339" s="35">
        <v>9.0236529141174415E-3</v>
      </c>
      <c r="R339" s="232">
        <v>1272.55</v>
      </c>
      <c r="S339" s="35">
        <v>1.3447591922643021</v>
      </c>
      <c r="T339" s="232">
        <v>26001.57</v>
      </c>
      <c r="U339" s="35">
        <v>1.1045845959082152</v>
      </c>
      <c r="W339" s="35">
        <f t="shared" si="37"/>
        <v>471.68264570587206</v>
      </c>
      <c r="X339" s="35">
        <f t="shared" si="38"/>
        <v>65965.409613215103</v>
      </c>
      <c r="Y339" s="35">
        <f t="shared" si="39"/>
        <v>29227.659795410764</v>
      </c>
      <c r="Z339" s="35">
        <f t="shared" si="40"/>
        <v>0</v>
      </c>
      <c r="AA339" s="35">
        <f t="shared" si="41"/>
        <v>1</v>
      </c>
      <c r="AB339" s="35">
        <f t="shared" si="42"/>
        <v>0</v>
      </c>
    </row>
    <row r="340" spans="1:28">
      <c r="A340" s="35">
        <v>329</v>
      </c>
      <c r="B340" s="35">
        <v>3.3580572484452007E-4</v>
      </c>
      <c r="C340" s="232">
        <v>70.930000000000007</v>
      </c>
      <c r="D340" s="35">
        <v>5.0559664920842105</v>
      </c>
      <c r="E340" s="232">
        <v>49.63</v>
      </c>
      <c r="F340" s="35">
        <v>5.0496155859852871</v>
      </c>
      <c r="G340" s="232">
        <v>16131.27</v>
      </c>
      <c r="H340" s="35">
        <v>8.9306275931313142</v>
      </c>
      <c r="I340" s="232">
        <v>16181.56</v>
      </c>
      <c r="J340" s="35">
        <v>7.7474712300491513</v>
      </c>
      <c r="K340" s="232">
        <v>22532.720000000001</v>
      </c>
      <c r="L340" s="35">
        <v>8.5249664002388155</v>
      </c>
      <c r="M340" s="232">
        <v>49030.52</v>
      </c>
      <c r="N340" s="35">
        <v>7.4488838632094057</v>
      </c>
      <c r="P340" s="232">
        <v>-21.3</v>
      </c>
      <c r="Q340" s="35">
        <v>6.3509060989233035E-3</v>
      </c>
      <c r="R340" s="232">
        <v>50.3</v>
      </c>
      <c r="S340" s="35">
        <v>1.1831563630821629</v>
      </c>
      <c r="T340" s="232">
        <v>26497.8</v>
      </c>
      <c r="U340" s="35">
        <v>1.0760825370294098</v>
      </c>
      <c r="W340" s="35">
        <f t="shared" si="37"/>
        <v>338.84530494616519</v>
      </c>
      <c r="X340" s="35">
        <f t="shared" si="38"/>
        <v>59107.51815410814</v>
      </c>
      <c r="Y340" s="35">
        <f t="shared" si="39"/>
        <v>27306.326851470494</v>
      </c>
      <c r="Z340" s="35">
        <f t="shared" si="40"/>
        <v>0</v>
      </c>
      <c r="AA340" s="35">
        <f t="shared" si="41"/>
        <v>1</v>
      </c>
      <c r="AB340" s="35">
        <f t="shared" si="42"/>
        <v>0</v>
      </c>
    </row>
    <row r="341" spans="1:28">
      <c r="A341" s="35">
        <v>330</v>
      </c>
      <c r="B341" s="35">
        <v>4.1643901618844588E-4</v>
      </c>
      <c r="C341" s="232">
        <v>62.45</v>
      </c>
      <c r="D341" s="35">
        <v>5.0593048161270149</v>
      </c>
      <c r="E341" s="232">
        <v>39.979999999999997</v>
      </c>
      <c r="F341" s="35">
        <v>5.0503577704382607</v>
      </c>
      <c r="G341" s="232">
        <v>11735.38</v>
      </c>
      <c r="H341" s="35">
        <v>8.7338949667494798</v>
      </c>
      <c r="I341" s="232">
        <v>13066.04</v>
      </c>
      <c r="J341" s="35">
        <v>6.8452770040751334</v>
      </c>
      <c r="K341" s="232">
        <v>11596.74</v>
      </c>
      <c r="L341" s="35">
        <v>8.5402482043302683</v>
      </c>
      <c r="M341" s="232">
        <v>37423.300000000003</v>
      </c>
      <c r="N341" s="35">
        <v>7.5158221004717243</v>
      </c>
      <c r="P341" s="232">
        <v>-22.46</v>
      </c>
      <c r="Q341" s="35">
        <v>8.9470456887541516E-3</v>
      </c>
      <c r="R341" s="232">
        <v>1330.66</v>
      </c>
      <c r="S341" s="35">
        <v>1.8886179626743465</v>
      </c>
      <c r="T341" s="232">
        <v>25826.57</v>
      </c>
      <c r="U341" s="35">
        <v>1.024426103858544</v>
      </c>
      <c r="W341" s="35">
        <f t="shared" si="37"/>
        <v>469.81228443770755</v>
      </c>
      <c r="X341" s="35">
        <f t="shared" si="38"/>
        <v>93100.238133717314</v>
      </c>
      <c r="Y341" s="35">
        <f t="shared" si="39"/>
        <v>25394.735192927204</v>
      </c>
      <c r="Z341" s="35">
        <f t="shared" si="40"/>
        <v>0</v>
      </c>
      <c r="AA341" s="35">
        <f t="shared" si="41"/>
        <v>1</v>
      </c>
      <c r="AB341" s="35">
        <f t="shared" si="42"/>
        <v>0</v>
      </c>
    </row>
    <row r="342" spans="1:28">
      <c r="A342" s="35">
        <v>331</v>
      </c>
      <c r="B342" s="35">
        <v>3.8331978212257918E-4</v>
      </c>
      <c r="C342" s="232">
        <v>43.75</v>
      </c>
      <c r="D342" s="35">
        <v>5.0574496013435137</v>
      </c>
      <c r="E342" s="232">
        <v>25.34</v>
      </c>
      <c r="F342" s="35">
        <v>5.0475979009647292</v>
      </c>
      <c r="G342" s="232">
        <v>9345.2800000000007</v>
      </c>
      <c r="H342" s="35">
        <v>8.7112598466712257</v>
      </c>
      <c r="I342" s="232">
        <v>11508.73</v>
      </c>
      <c r="J342" s="35">
        <v>8.3640843162105369</v>
      </c>
      <c r="K342" s="232">
        <v>9335.2199999999993</v>
      </c>
      <c r="L342" s="35">
        <v>8.5224468843260635</v>
      </c>
      <c r="M342" s="232">
        <v>35258.33</v>
      </c>
      <c r="N342" s="35">
        <v>7.4054458038310793</v>
      </c>
      <c r="P342" s="232">
        <v>-18.41</v>
      </c>
      <c r="Q342" s="35">
        <v>9.851700378784578E-3</v>
      </c>
      <c r="R342" s="232">
        <v>2163.4499999999998</v>
      </c>
      <c r="S342" s="35">
        <v>0.34717553046068872</v>
      </c>
      <c r="T342" s="232">
        <v>25923.11</v>
      </c>
      <c r="U342" s="35">
        <v>1.1170010804949841</v>
      </c>
      <c r="W342" s="35">
        <f t="shared" si="37"/>
        <v>510.99501893922894</v>
      </c>
      <c r="X342" s="35">
        <f t="shared" si="38"/>
        <v>15195.326523034437</v>
      </c>
      <c r="Y342" s="35">
        <f t="shared" si="39"/>
        <v>29926.944024749209</v>
      </c>
      <c r="Z342" s="35">
        <f t="shared" si="40"/>
        <v>0</v>
      </c>
      <c r="AA342" s="35">
        <f t="shared" si="41"/>
        <v>0</v>
      </c>
      <c r="AB342" s="35">
        <f t="shared" si="42"/>
        <v>1</v>
      </c>
    </row>
    <row r="343" spans="1:28">
      <c r="A343" s="35">
        <v>332</v>
      </c>
      <c r="B343" s="35">
        <v>4.7957774909812567E-4</v>
      </c>
      <c r="C343" s="232">
        <v>64.11</v>
      </c>
      <c r="D343" s="35">
        <v>5.0636792329171953</v>
      </c>
      <c r="E343" s="232">
        <v>43.07</v>
      </c>
      <c r="F343" s="35">
        <v>5.0537517890799339</v>
      </c>
      <c r="G343" s="232">
        <v>10534.72</v>
      </c>
      <c r="H343" s="35">
        <v>8.8938560460565803</v>
      </c>
      <c r="I343" s="232">
        <v>12806.05</v>
      </c>
      <c r="J343" s="35">
        <v>8.9622653218032351</v>
      </c>
      <c r="K343" s="232">
        <v>12764.21</v>
      </c>
      <c r="L343" s="35">
        <v>8.7034114204019541</v>
      </c>
      <c r="M343" s="232">
        <v>38842.800000000003</v>
      </c>
      <c r="N343" s="35">
        <v>7.5826246317316768</v>
      </c>
      <c r="P343" s="232">
        <v>-21.05</v>
      </c>
      <c r="Q343" s="35">
        <v>9.9274438372614071E-3</v>
      </c>
      <c r="R343" s="232">
        <v>2271.3200000000002</v>
      </c>
      <c r="S343" s="35">
        <v>-6.8409275746654785E-2</v>
      </c>
      <c r="T343" s="232">
        <v>26078.59</v>
      </c>
      <c r="U343" s="35">
        <v>1.1207867886702774</v>
      </c>
      <c r="W343" s="35">
        <f t="shared" si="37"/>
        <v>517.42219186307034</v>
      </c>
      <c r="X343" s="35">
        <f t="shared" si="38"/>
        <v>-5691.7837873327389</v>
      </c>
      <c r="Y343" s="35">
        <f t="shared" si="39"/>
        <v>29960.749433513865</v>
      </c>
      <c r="Z343" s="35">
        <f t="shared" si="40"/>
        <v>0</v>
      </c>
      <c r="AA343" s="35">
        <f t="shared" si="41"/>
        <v>0</v>
      </c>
      <c r="AB343" s="35">
        <f t="shared" si="42"/>
        <v>1</v>
      </c>
    </row>
    <row r="344" spans="1:28">
      <c r="A344" s="35">
        <v>333</v>
      </c>
      <c r="B344" s="35">
        <v>4.4490754339312583E-4</v>
      </c>
      <c r="C344" s="232">
        <v>73.540000000000006</v>
      </c>
      <c r="D344" s="35">
        <v>5.0597919735263011</v>
      </c>
      <c r="E344" s="232">
        <v>43.34</v>
      </c>
      <c r="F344" s="35">
        <v>5.0497207150481556</v>
      </c>
      <c r="G344" s="232">
        <v>12612.73</v>
      </c>
      <c r="H344" s="35">
        <v>8.4856817934004507</v>
      </c>
      <c r="I344" s="232">
        <v>13055.53</v>
      </c>
      <c r="J344" s="35">
        <v>7.1908439450246942</v>
      </c>
      <c r="K344" s="232">
        <v>16981.939999999999</v>
      </c>
      <c r="L344" s="35">
        <v>8.3833989761963075</v>
      </c>
      <c r="M344" s="232">
        <v>43296.84</v>
      </c>
      <c r="N344" s="35">
        <v>7.309832429143218</v>
      </c>
      <c r="P344" s="232">
        <v>-30.2</v>
      </c>
      <c r="Q344" s="35">
        <v>1.0071258478145495E-2</v>
      </c>
      <c r="R344" s="232">
        <v>442.8</v>
      </c>
      <c r="S344" s="35">
        <v>1.2948378483757566</v>
      </c>
      <c r="T344" s="232">
        <v>26314.91</v>
      </c>
      <c r="U344" s="35">
        <v>1.0735665470530895</v>
      </c>
      <c r="W344" s="35">
        <f t="shared" si="37"/>
        <v>533.76292390727474</v>
      </c>
      <c r="X344" s="35">
        <f t="shared" si="38"/>
        <v>64299.092418787826</v>
      </c>
      <c r="Y344" s="35">
        <f t="shared" si="39"/>
        <v>27363.417352654473</v>
      </c>
      <c r="Z344" s="35">
        <f t="shared" si="40"/>
        <v>0</v>
      </c>
      <c r="AA344" s="35">
        <f t="shared" si="41"/>
        <v>1</v>
      </c>
      <c r="AB344" s="35">
        <f t="shared" si="42"/>
        <v>0</v>
      </c>
    </row>
    <row r="345" spans="1:28">
      <c r="A345" s="35">
        <v>334</v>
      </c>
      <c r="B345" s="35">
        <v>4.3944806334996525E-4</v>
      </c>
      <c r="C345" s="232">
        <v>63.29</v>
      </c>
      <c r="D345" s="35">
        <v>5.0597199759453142</v>
      </c>
      <c r="E345" s="232">
        <v>39.049999999999997</v>
      </c>
      <c r="F345" s="35">
        <v>5.0501077285881353</v>
      </c>
      <c r="G345" s="232">
        <v>11553.87</v>
      </c>
      <c r="H345" s="35">
        <v>8.6994517940771665</v>
      </c>
      <c r="I345" s="232">
        <v>13102.68</v>
      </c>
      <c r="J345" s="35">
        <v>7.6827858151312016</v>
      </c>
      <c r="K345" s="232">
        <v>13306.06</v>
      </c>
      <c r="L345" s="35">
        <v>8.2597140013280352</v>
      </c>
      <c r="M345" s="232">
        <v>39336.57</v>
      </c>
      <c r="N345" s="35">
        <v>7.2237342645035794</v>
      </c>
      <c r="P345" s="232">
        <v>-24.24</v>
      </c>
      <c r="Q345" s="35">
        <v>9.6122473571789158E-3</v>
      </c>
      <c r="R345" s="232">
        <v>1548.81</v>
      </c>
      <c r="S345" s="35">
        <v>1.0166659789459649</v>
      </c>
      <c r="T345" s="232">
        <v>26030.51</v>
      </c>
      <c r="U345" s="35">
        <v>1.0359797368244559</v>
      </c>
      <c r="W345" s="35">
        <f t="shared" si="37"/>
        <v>504.8523678589458</v>
      </c>
      <c r="X345" s="35">
        <f t="shared" si="38"/>
        <v>49284.488947298247</v>
      </c>
      <c r="Y345" s="35">
        <f t="shared" si="39"/>
        <v>25768.476841222797</v>
      </c>
      <c r="Z345" s="35">
        <f t="shared" si="40"/>
        <v>0</v>
      </c>
      <c r="AA345" s="35">
        <f t="shared" si="41"/>
        <v>1</v>
      </c>
      <c r="AB345" s="35">
        <f t="shared" si="42"/>
        <v>0</v>
      </c>
    </row>
    <row r="346" spans="1:28">
      <c r="A346" s="35">
        <v>335</v>
      </c>
      <c r="B346" s="35">
        <v>4.5767479389169363E-4</v>
      </c>
      <c r="C346" s="232">
        <v>64.599999999999994</v>
      </c>
      <c r="D346" s="35">
        <v>5.0611244296854849</v>
      </c>
      <c r="E346" s="232">
        <v>38.880000000000003</v>
      </c>
      <c r="F346" s="35">
        <v>5.0505702557473215</v>
      </c>
      <c r="G346" s="232">
        <v>10906.99</v>
      </c>
      <c r="H346" s="35">
        <v>8.6239666867333185</v>
      </c>
      <c r="I346" s="232">
        <v>11113.33</v>
      </c>
      <c r="J346" s="35">
        <v>6.955262225176071</v>
      </c>
      <c r="K346" s="232">
        <v>15132.51</v>
      </c>
      <c r="L346" s="35">
        <v>8.6624856701149593</v>
      </c>
      <c r="M346" s="232">
        <v>41261.79</v>
      </c>
      <c r="N346" s="35">
        <v>7.5656365733356434</v>
      </c>
      <c r="P346" s="232">
        <v>-25.72</v>
      </c>
      <c r="Q346" s="35">
        <v>1.055417393816338E-2</v>
      </c>
      <c r="R346" s="232">
        <v>206.34</v>
      </c>
      <c r="S346" s="35">
        <v>1.6687044615572475</v>
      </c>
      <c r="T346" s="232">
        <v>26129.279999999999</v>
      </c>
      <c r="U346" s="35">
        <v>1.0968490967793159</v>
      </c>
      <c r="W346" s="35">
        <f t="shared" si="37"/>
        <v>553.42869690816906</v>
      </c>
      <c r="X346" s="35">
        <f t="shared" si="38"/>
        <v>83228.883077862381</v>
      </c>
      <c r="Y346" s="35">
        <f t="shared" si="39"/>
        <v>28713.174838965795</v>
      </c>
      <c r="Z346" s="35">
        <f t="shared" si="40"/>
        <v>0</v>
      </c>
      <c r="AA346" s="35">
        <f t="shared" si="41"/>
        <v>1</v>
      </c>
      <c r="AB346" s="35">
        <f t="shared" si="42"/>
        <v>0</v>
      </c>
    </row>
    <row r="347" spans="1:28">
      <c r="A347" s="35">
        <v>336</v>
      </c>
      <c r="B347" s="35">
        <v>3.7832274168839489E-4</v>
      </c>
      <c r="C347" s="232">
        <v>51.46</v>
      </c>
      <c r="D347" s="35">
        <v>5.0565310593405215</v>
      </c>
      <c r="E347" s="232">
        <v>34.380000000000003</v>
      </c>
      <c r="F347" s="35">
        <v>5.0490318529069551</v>
      </c>
      <c r="G347" s="232">
        <v>10902.57</v>
      </c>
      <c r="H347" s="35">
        <v>8.52603680646512</v>
      </c>
      <c r="I347" s="232">
        <v>12779.29</v>
      </c>
      <c r="J347" s="35">
        <v>7.6592408302629957</v>
      </c>
      <c r="K347" s="232">
        <v>11551.31</v>
      </c>
      <c r="L347" s="35">
        <v>8.322530421364112</v>
      </c>
      <c r="M347" s="232">
        <v>37455.870000000003</v>
      </c>
      <c r="N347" s="35">
        <v>7.2208378547645546</v>
      </c>
      <c r="P347" s="232">
        <v>-17.07</v>
      </c>
      <c r="Q347" s="35">
        <v>7.4992064335663855E-3</v>
      </c>
      <c r="R347" s="232">
        <v>1876.72</v>
      </c>
      <c r="S347" s="35">
        <v>0.86679597620212423</v>
      </c>
      <c r="T347" s="232">
        <v>25904.560000000001</v>
      </c>
      <c r="U347" s="35">
        <v>1.1016925665995574</v>
      </c>
      <c r="W347" s="35">
        <f t="shared" si="37"/>
        <v>392.03032167831924</v>
      </c>
      <c r="X347" s="35">
        <f t="shared" si="38"/>
        <v>41463.078810106213</v>
      </c>
      <c r="Y347" s="35">
        <f t="shared" si="39"/>
        <v>29180.068329977865</v>
      </c>
      <c r="Z347" s="35">
        <f t="shared" si="40"/>
        <v>0</v>
      </c>
      <c r="AA347" s="35">
        <f t="shared" si="41"/>
        <v>1</v>
      </c>
      <c r="AB347" s="35">
        <f t="shared" si="42"/>
        <v>0</v>
      </c>
    </row>
    <row r="348" spans="1:28">
      <c r="A348" s="35">
        <v>337</v>
      </c>
      <c r="B348" s="35">
        <v>3.9048856678021611E-4</v>
      </c>
      <c r="C348" s="232">
        <v>55.06</v>
      </c>
      <c r="D348" s="35">
        <v>5.0587599913658812</v>
      </c>
      <c r="E348" s="232">
        <v>35.32</v>
      </c>
      <c r="F348" s="35">
        <v>5.049902436141041</v>
      </c>
      <c r="G348" s="232">
        <v>11548.07</v>
      </c>
      <c r="H348" s="35">
        <v>8.9049112697381219</v>
      </c>
      <c r="I348" s="232">
        <v>13608.94</v>
      </c>
      <c r="J348" s="35">
        <v>8.0053204766647905</v>
      </c>
      <c r="K348" s="232">
        <v>11488.92</v>
      </c>
      <c r="L348" s="35">
        <v>8.7137360874656196</v>
      </c>
      <c r="M348" s="232">
        <v>37245.54</v>
      </c>
      <c r="N348" s="35">
        <v>7.665669868301169</v>
      </c>
      <c r="P348" s="232">
        <v>-19.739999999999998</v>
      </c>
      <c r="Q348" s="35">
        <v>8.857555224840219E-3</v>
      </c>
      <c r="R348" s="232">
        <v>2060.86</v>
      </c>
      <c r="S348" s="35">
        <v>0.89959079307333134</v>
      </c>
      <c r="T348" s="232">
        <v>25756.62</v>
      </c>
      <c r="U348" s="35">
        <v>1.0480662191644505</v>
      </c>
      <c r="W348" s="35">
        <f t="shared" si="37"/>
        <v>462.61776124201094</v>
      </c>
      <c r="X348" s="35">
        <f t="shared" si="38"/>
        <v>42918.679653666564</v>
      </c>
      <c r="Y348" s="35">
        <f t="shared" si="39"/>
        <v>26646.690958222531</v>
      </c>
      <c r="Z348" s="35">
        <f t="shared" si="40"/>
        <v>0</v>
      </c>
      <c r="AA348" s="35">
        <f t="shared" si="41"/>
        <v>1</v>
      </c>
      <c r="AB348" s="35">
        <f t="shared" si="42"/>
        <v>0</v>
      </c>
    </row>
    <row r="349" spans="1:28">
      <c r="A349" s="35">
        <v>338</v>
      </c>
      <c r="B349" s="35">
        <v>4.8145119342868359E-4</v>
      </c>
      <c r="C349" s="232">
        <v>104.52</v>
      </c>
      <c r="D349" s="35">
        <v>5.0637865331169047</v>
      </c>
      <c r="E349" s="232">
        <v>67.61</v>
      </c>
      <c r="F349" s="35">
        <v>5.0537455075663216</v>
      </c>
      <c r="G349" s="232">
        <v>16297.11</v>
      </c>
      <c r="H349" s="35">
        <v>9.0523470337931364</v>
      </c>
      <c r="I349" s="232">
        <v>15021.29</v>
      </c>
      <c r="J349" s="35">
        <v>7.6358698476939484</v>
      </c>
      <c r="K349" s="232">
        <v>23468.73</v>
      </c>
      <c r="L349" s="35">
        <v>8.4779771747181165</v>
      </c>
      <c r="M349" s="232">
        <v>49956.33</v>
      </c>
      <c r="N349" s="35">
        <v>7.399471198715176</v>
      </c>
      <c r="P349" s="232">
        <v>-36.909999999999997</v>
      </c>
      <c r="Q349" s="35">
        <v>1.0041025550583171E-2</v>
      </c>
      <c r="R349" s="232">
        <v>-1275.82</v>
      </c>
      <c r="S349" s="35">
        <v>1.416477186099188</v>
      </c>
      <c r="T349" s="232">
        <v>26487.599999999999</v>
      </c>
      <c r="U349" s="35">
        <v>1.0785059760029405</v>
      </c>
      <c r="W349" s="35">
        <f t="shared" si="37"/>
        <v>538.96127752915856</v>
      </c>
      <c r="X349" s="35">
        <f t="shared" si="38"/>
        <v>72099.679304959413</v>
      </c>
      <c r="Y349" s="35">
        <f t="shared" si="39"/>
        <v>27437.698800147024</v>
      </c>
      <c r="Z349" s="35">
        <f t="shared" si="40"/>
        <v>0</v>
      </c>
      <c r="AA349" s="35">
        <f t="shared" si="41"/>
        <v>1</v>
      </c>
      <c r="AB349" s="35">
        <f t="shared" si="42"/>
        <v>0</v>
      </c>
    </row>
    <row r="350" spans="1:28">
      <c r="A350" s="35">
        <v>339</v>
      </c>
      <c r="B350" s="35">
        <v>4.9148485754213489E-4</v>
      </c>
      <c r="C350" s="232">
        <v>67.180000000000007</v>
      </c>
      <c r="D350" s="35">
        <v>5.064099733276314</v>
      </c>
      <c r="E350" s="232">
        <v>39.51</v>
      </c>
      <c r="F350" s="35">
        <v>5.0518891478315515</v>
      </c>
      <c r="G350" s="232">
        <v>9847.83</v>
      </c>
      <c r="H350" s="35">
        <v>8.9688031459232782</v>
      </c>
      <c r="I350" s="232">
        <v>10450.77</v>
      </c>
      <c r="J350" s="35">
        <v>7.605670926743092</v>
      </c>
      <c r="K350" s="232">
        <v>11480.64</v>
      </c>
      <c r="L350" s="35">
        <v>8.553008431928852</v>
      </c>
      <c r="M350" s="232">
        <v>37512.720000000001</v>
      </c>
      <c r="N350" s="35">
        <v>7.4958783680038907</v>
      </c>
      <c r="P350" s="232">
        <v>-27.67</v>
      </c>
      <c r="Q350" s="35">
        <v>1.2210585444762501E-2</v>
      </c>
      <c r="R350" s="232">
        <v>602.94000000000005</v>
      </c>
      <c r="S350" s="35">
        <v>1.3631322191801862</v>
      </c>
      <c r="T350" s="232">
        <v>26032.080000000002</v>
      </c>
      <c r="U350" s="35">
        <v>1.0571300639249612</v>
      </c>
      <c r="W350" s="35">
        <f t="shared" si="37"/>
        <v>638.19927223812499</v>
      </c>
      <c r="X350" s="35">
        <f t="shared" si="38"/>
        <v>67553.670959009309</v>
      </c>
      <c r="Y350" s="35">
        <f t="shared" si="39"/>
        <v>26824.423196248063</v>
      </c>
      <c r="Z350" s="35">
        <f t="shared" si="40"/>
        <v>0</v>
      </c>
      <c r="AA350" s="35">
        <f t="shared" si="41"/>
        <v>1</v>
      </c>
      <c r="AB350" s="35">
        <f t="shared" si="42"/>
        <v>0</v>
      </c>
    </row>
    <row r="351" spans="1:28">
      <c r="A351" s="35">
        <v>340</v>
      </c>
      <c r="B351" s="35">
        <v>4.5343773603467863E-4</v>
      </c>
      <c r="C351" s="232">
        <v>65.599999999999994</v>
      </c>
      <c r="D351" s="35">
        <v>5.0633657665271921</v>
      </c>
      <c r="E351" s="232">
        <v>43.47</v>
      </c>
      <c r="F351" s="35">
        <v>5.0533621133758935</v>
      </c>
      <c r="G351" s="232">
        <v>11308.51</v>
      </c>
      <c r="H351" s="35">
        <v>9.2966632192933467</v>
      </c>
      <c r="I351" s="232">
        <v>12079.1</v>
      </c>
      <c r="J351" s="35">
        <v>7.875905323061688</v>
      </c>
      <c r="K351" s="232">
        <v>14168.4</v>
      </c>
      <c r="L351" s="35">
        <v>8.6778695088893123</v>
      </c>
      <c r="M351" s="232">
        <v>40246.050000000003</v>
      </c>
      <c r="N351" s="35">
        <v>7.5837245927063526</v>
      </c>
      <c r="P351" s="232">
        <v>-22.13</v>
      </c>
      <c r="Q351" s="35">
        <v>1.0003653151298586E-2</v>
      </c>
      <c r="R351" s="232">
        <v>770.59</v>
      </c>
      <c r="S351" s="35">
        <v>1.4207578962316587</v>
      </c>
      <c r="T351" s="232">
        <v>26077.65</v>
      </c>
      <c r="U351" s="35">
        <v>1.0941449161829597</v>
      </c>
      <c r="W351" s="35">
        <f t="shared" si="37"/>
        <v>522.31265756492928</v>
      </c>
      <c r="X351" s="35">
        <f t="shared" si="38"/>
        <v>70267.304811582944</v>
      </c>
      <c r="Y351" s="35">
        <f t="shared" si="39"/>
        <v>28629.595809147984</v>
      </c>
      <c r="Z351" s="35">
        <f t="shared" si="40"/>
        <v>0</v>
      </c>
      <c r="AA351" s="35">
        <f t="shared" si="41"/>
        <v>1</v>
      </c>
      <c r="AB351" s="35">
        <f t="shared" si="42"/>
        <v>0</v>
      </c>
    </row>
    <row r="352" spans="1:28">
      <c r="A352" s="35">
        <v>341</v>
      </c>
      <c r="B352" s="35">
        <v>6.2995610528360224E-4</v>
      </c>
      <c r="C352" s="232">
        <v>100.14</v>
      </c>
      <c r="D352" s="35">
        <v>5.0713067039725424</v>
      </c>
      <c r="E352" s="232">
        <v>61.33</v>
      </c>
      <c r="F352" s="35">
        <v>5.0571450748441658</v>
      </c>
      <c r="G352" s="232">
        <v>12357.04</v>
      </c>
      <c r="H352" s="35">
        <v>8.8469023418394706</v>
      </c>
      <c r="I352" s="232">
        <v>13710.69</v>
      </c>
      <c r="J352" s="35">
        <v>7.9229299754883078</v>
      </c>
      <c r="K352" s="232">
        <v>14911.7</v>
      </c>
      <c r="L352" s="35">
        <v>8.762075404565703</v>
      </c>
      <c r="M352" s="232">
        <v>40953.24</v>
      </c>
      <c r="N352" s="35">
        <v>7.7251780193726365</v>
      </c>
      <c r="P352" s="232">
        <v>-38.81</v>
      </c>
      <c r="Q352" s="35">
        <v>1.4161629128376596E-2</v>
      </c>
      <c r="R352" s="232">
        <v>1353.65</v>
      </c>
      <c r="S352" s="35">
        <v>0.92397236635116275</v>
      </c>
      <c r="T352" s="232">
        <v>26041.54</v>
      </c>
      <c r="U352" s="35">
        <v>1.0368973851930665</v>
      </c>
      <c r="W352" s="35">
        <f t="shared" si="37"/>
        <v>746.89145641882988</v>
      </c>
      <c r="X352" s="35">
        <f t="shared" si="38"/>
        <v>44844.968317558138</v>
      </c>
      <c r="Y352" s="35">
        <f t="shared" si="39"/>
        <v>25803.329259653328</v>
      </c>
      <c r="Z352" s="35">
        <f t="shared" si="40"/>
        <v>0</v>
      </c>
      <c r="AA352" s="35">
        <f t="shared" si="41"/>
        <v>1</v>
      </c>
      <c r="AB352" s="35">
        <f t="shared" si="42"/>
        <v>0</v>
      </c>
    </row>
    <row r="353" spans="1:28">
      <c r="A353" s="35">
        <v>342</v>
      </c>
      <c r="B353" s="35">
        <v>4.127023346544324E-4</v>
      </c>
      <c r="C353" s="232">
        <v>64.48</v>
      </c>
      <c r="D353" s="35">
        <v>5.0583397483786827</v>
      </c>
      <c r="E353" s="232">
        <v>38.78</v>
      </c>
      <c r="F353" s="35">
        <v>5.0490416963284419</v>
      </c>
      <c r="G353" s="232">
        <v>11382.43</v>
      </c>
      <c r="H353" s="35">
        <v>8.4302971676500356</v>
      </c>
      <c r="I353" s="232">
        <v>11242.83</v>
      </c>
      <c r="J353" s="35">
        <v>7.1323393823663563</v>
      </c>
      <c r="K353" s="232">
        <v>17587.93</v>
      </c>
      <c r="L353" s="35">
        <v>8.5736675814463972</v>
      </c>
      <c r="M353" s="232">
        <v>43793.34</v>
      </c>
      <c r="N353" s="35">
        <v>7.5747735303086738</v>
      </c>
      <c r="P353" s="232">
        <v>-25.7</v>
      </c>
      <c r="Q353" s="35">
        <v>9.2980520502408126E-3</v>
      </c>
      <c r="R353" s="232">
        <v>-139.6</v>
      </c>
      <c r="S353" s="35">
        <v>1.2979577852836792</v>
      </c>
      <c r="T353" s="232">
        <v>26205.42</v>
      </c>
      <c r="U353" s="35">
        <v>0.99889405113772334</v>
      </c>
      <c r="W353" s="35">
        <f t="shared" si="37"/>
        <v>490.60260251204062</v>
      </c>
      <c r="X353" s="35">
        <f t="shared" si="38"/>
        <v>65037.489264183961</v>
      </c>
      <c r="Y353" s="35">
        <f t="shared" si="39"/>
        <v>23739.282556886166</v>
      </c>
      <c r="Z353" s="35">
        <f t="shared" si="40"/>
        <v>0</v>
      </c>
      <c r="AA353" s="35">
        <f t="shared" si="41"/>
        <v>1</v>
      </c>
      <c r="AB353" s="35">
        <f t="shared" si="42"/>
        <v>0</v>
      </c>
    </row>
    <row r="354" spans="1:28">
      <c r="A354" s="35">
        <v>343</v>
      </c>
      <c r="B354" s="35">
        <v>3.9625501264961766E-4</v>
      </c>
      <c r="C354" s="232">
        <v>59.1</v>
      </c>
      <c r="D354" s="35">
        <v>5.0581196645385624</v>
      </c>
      <c r="E354" s="232">
        <v>33.99</v>
      </c>
      <c r="F354" s="35">
        <v>5.0482864432799985</v>
      </c>
      <c r="G354" s="232">
        <v>11716.77</v>
      </c>
      <c r="H354" s="35">
        <v>8.7165276404629779</v>
      </c>
      <c r="I354" s="232">
        <v>11968.29</v>
      </c>
      <c r="J354" s="35">
        <v>6.5414109300082579</v>
      </c>
      <c r="K354" s="232">
        <v>14155.79</v>
      </c>
      <c r="L354" s="35">
        <v>8.435182419519851</v>
      </c>
      <c r="M354" s="232">
        <v>40342.1</v>
      </c>
      <c r="N354" s="35">
        <v>7.306268958448574</v>
      </c>
      <c r="P354" s="232">
        <v>-25.11</v>
      </c>
      <c r="Q354" s="35">
        <v>9.8332212585638956E-3</v>
      </c>
      <c r="R354" s="232">
        <v>251.52</v>
      </c>
      <c r="S354" s="35">
        <v>2.17511671045472</v>
      </c>
      <c r="T354" s="232">
        <v>26186.31</v>
      </c>
      <c r="U354" s="35">
        <v>1.128913461071277</v>
      </c>
      <c r="W354" s="35">
        <f t="shared" si="37"/>
        <v>516.77106292819474</v>
      </c>
      <c r="X354" s="35">
        <f t="shared" si="38"/>
        <v>108504.315522736</v>
      </c>
      <c r="Y354" s="35">
        <f t="shared" si="39"/>
        <v>30259.363053563848</v>
      </c>
      <c r="Z354" s="35">
        <f t="shared" si="40"/>
        <v>0</v>
      </c>
      <c r="AA354" s="35">
        <f t="shared" si="41"/>
        <v>1</v>
      </c>
      <c r="AB354" s="35">
        <f t="shared" si="42"/>
        <v>0</v>
      </c>
    </row>
    <row r="355" spans="1:28">
      <c r="A355" s="35">
        <v>344</v>
      </c>
      <c r="B355" s="35">
        <v>2.9839720863401024E-4</v>
      </c>
      <c r="C355" s="232">
        <v>41.16</v>
      </c>
      <c r="D355" s="35">
        <v>5.0547076546315148</v>
      </c>
      <c r="E355" s="232">
        <v>24.45</v>
      </c>
      <c r="F355" s="35">
        <v>5.0463986284302589</v>
      </c>
      <c r="G355" s="232">
        <v>10980.22</v>
      </c>
      <c r="H355" s="35">
        <v>9.1694439281305407</v>
      </c>
      <c r="I355" s="232">
        <v>12704.35</v>
      </c>
      <c r="J355" s="35">
        <v>8.4158807827258819</v>
      </c>
      <c r="K355" s="232">
        <v>13101.7</v>
      </c>
      <c r="L355" s="35">
        <v>9.0420389659331342</v>
      </c>
      <c r="M355" s="232">
        <v>39201.730000000003</v>
      </c>
      <c r="N355" s="35">
        <v>7.9436202428809519</v>
      </c>
      <c r="P355" s="232">
        <v>-16.71</v>
      </c>
      <c r="Q355" s="35">
        <v>8.3090262012559535E-3</v>
      </c>
      <c r="R355" s="232">
        <v>1724.13</v>
      </c>
      <c r="S355" s="35">
        <v>0.75356314540465874</v>
      </c>
      <c r="T355" s="232">
        <v>26100.02</v>
      </c>
      <c r="U355" s="35">
        <v>1.0984187230521822</v>
      </c>
      <c r="W355" s="35">
        <f t="shared" si="37"/>
        <v>432.16131006279767</v>
      </c>
      <c r="X355" s="35">
        <f t="shared" si="38"/>
        <v>35954.027270232938</v>
      </c>
      <c r="Y355" s="35">
        <f t="shared" si="39"/>
        <v>28820.916152609108</v>
      </c>
      <c r="Z355" s="35">
        <f t="shared" si="40"/>
        <v>0</v>
      </c>
      <c r="AA355" s="35">
        <f t="shared" si="41"/>
        <v>1</v>
      </c>
      <c r="AB355" s="35">
        <f t="shared" si="42"/>
        <v>0</v>
      </c>
    </row>
    <row r="356" spans="1:28">
      <c r="A356" s="35">
        <v>345</v>
      </c>
      <c r="B356" s="35">
        <v>5.0097785718494769E-4</v>
      </c>
      <c r="C356" s="232">
        <v>74.34</v>
      </c>
      <c r="D356" s="35">
        <v>5.0632636987926913</v>
      </c>
      <c r="E356" s="232">
        <v>47.29</v>
      </c>
      <c r="F356" s="35">
        <v>5.0527922639664586</v>
      </c>
      <c r="G356" s="232">
        <v>11080.11</v>
      </c>
      <c r="H356" s="35">
        <v>8.6154111519589058</v>
      </c>
      <c r="I356" s="232">
        <v>10516.5</v>
      </c>
      <c r="J356" s="35">
        <v>6.8347052382379641</v>
      </c>
      <c r="K356" s="232">
        <v>16043.7</v>
      </c>
      <c r="L356" s="35">
        <v>8.4338000750176807</v>
      </c>
      <c r="M356" s="232">
        <v>42197.22</v>
      </c>
      <c r="N356" s="35">
        <v>7.3186750601216053</v>
      </c>
      <c r="P356" s="232">
        <v>-27.05</v>
      </c>
      <c r="Q356" s="35">
        <v>1.0471434826232695E-2</v>
      </c>
      <c r="R356" s="232">
        <v>-563.61</v>
      </c>
      <c r="S356" s="35">
        <v>1.7807059137209418</v>
      </c>
      <c r="T356" s="232">
        <v>26153.52</v>
      </c>
      <c r="U356" s="35">
        <v>1.1151250148960754</v>
      </c>
      <c r="W356" s="35">
        <f t="shared" si="37"/>
        <v>550.62174131163465</v>
      </c>
      <c r="X356" s="35">
        <f t="shared" si="38"/>
        <v>89598.905686047088</v>
      </c>
      <c r="Y356" s="35">
        <f t="shared" si="39"/>
        <v>29602.730744803772</v>
      </c>
      <c r="Z356" s="35">
        <f t="shared" si="40"/>
        <v>0</v>
      </c>
      <c r="AA356" s="35">
        <f t="shared" si="41"/>
        <v>1</v>
      </c>
      <c r="AB356" s="35">
        <f t="shared" si="42"/>
        <v>0</v>
      </c>
    </row>
    <row r="357" spans="1:28">
      <c r="A357" s="35">
        <v>346</v>
      </c>
      <c r="B357" s="35">
        <v>4.416732688585492E-4</v>
      </c>
      <c r="C357" s="232">
        <v>69.88</v>
      </c>
      <c r="D357" s="35">
        <v>5.0625400844501058</v>
      </c>
      <c r="E357" s="232">
        <v>43.02</v>
      </c>
      <c r="F357" s="35">
        <v>5.0517858861482443</v>
      </c>
      <c r="G357" s="232">
        <v>11788.96</v>
      </c>
      <c r="H357" s="35">
        <v>9.2301924336531087</v>
      </c>
      <c r="I357" s="232">
        <v>13039.89</v>
      </c>
      <c r="J357" s="35">
        <v>8.5424798698270425</v>
      </c>
      <c r="K357" s="232">
        <v>15119.82</v>
      </c>
      <c r="L357" s="35">
        <v>8.7984087646413141</v>
      </c>
      <c r="M357" s="232">
        <v>41286.120000000003</v>
      </c>
      <c r="N357" s="35">
        <v>7.7138098299779774</v>
      </c>
      <c r="P357" s="232">
        <v>-26.86</v>
      </c>
      <c r="Q357" s="35">
        <v>1.0754198301861528E-2</v>
      </c>
      <c r="R357" s="232">
        <v>1250.92</v>
      </c>
      <c r="S357" s="35">
        <v>0.68771256382606616</v>
      </c>
      <c r="T357" s="232">
        <v>26166.3</v>
      </c>
      <c r="U357" s="35">
        <v>1.0845989346633367</v>
      </c>
      <c r="W357" s="35">
        <f t="shared" si="37"/>
        <v>564.56991509307647</v>
      </c>
      <c r="X357" s="35">
        <f t="shared" si="38"/>
        <v>33134.708191303311</v>
      </c>
      <c r="Y357" s="35">
        <f t="shared" si="39"/>
        <v>28063.646733166835</v>
      </c>
      <c r="Z357" s="35">
        <f t="shared" si="40"/>
        <v>0</v>
      </c>
      <c r="AA357" s="35">
        <f t="shared" si="41"/>
        <v>1</v>
      </c>
      <c r="AB357" s="35">
        <f t="shared" si="42"/>
        <v>0</v>
      </c>
    </row>
    <row r="358" spans="1:28">
      <c r="A358" s="35">
        <v>347</v>
      </c>
      <c r="B358" s="35">
        <v>4.7103599382214423E-4</v>
      </c>
      <c r="C358" s="232">
        <v>53.95</v>
      </c>
      <c r="D358" s="35">
        <v>5.0619819189544248</v>
      </c>
      <c r="E358" s="232">
        <v>35.92</v>
      </c>
      <c r="F358" s="35">
        <v>5.052304583811245</v>
      </c>
      <c r="G358" s="232">
        <v>9077.74</v>
      </c>
      <c r="H358" s="35">
        <v>8.6131261693211325</v>
      </c>
      <c r="I358" s="232">
        <v>10488.69</v>
      </c>
      <c r="J358" s="35">
        <v>6.8824405660740862</v>
      </c>
      <c r="K358" s="232">
        <v>10122.56</v>
      </c>
      <c r="L358" s="35">
        <v>8.484325060799069</v>
      </c>
      <c r="M358" s="232">
        <v>35905.51</v>
      </c>
      <c r="N358" s="35">
        <v>7.3378942298069427</v>
      </c>
      <c r="P358" s="232">
        <v>-18.04</v>
      </c>
      <c r="Q358" s="35">
        <v>9.6773351431798105E-3</v>
      </c>
      <c r="R358" s="232">
        <v>1410.96</v>
      </c>
      <c r="S358" s="35">
        <v>1.7306856032470463</v>
      </c>
      <c r="T358" s="232">
        <v>25782.95</v>
      </c>
      <c r="U358" s="35">
        <v>1.1464308309921263</v>
      </c>
      <c r="W358" s="35">
        <f t="shared" si="37"/>
        <v>501.90675715899056</v>
      </c>
      <c r="X358" s="35">
        <f t="shared" si="38"/>
        <v>85123.320162352305</v>
      </c>
      <c r="Y358" s="35">
        <f t="shared" si="39"/>
        <v>31538.591549606313</v>
      </c>
      <c r="Z358" s="35">
        <f t="shared" si="40"/>
        <v>0</v>
      </c>
      <c r="AA358" s="35">
        <f t="shared" si="41"/>
        <v>1</v>
      </c>
      <c r="AB358" s="35">
        <f t="shared" si="42"/>
        <v>0</v>
      </c>
    </row>
    <row r="359" spans="1:28">
      <c r="A359" s="35">
        <v>348</v>
      </c>
      <c r="B359" s="35">
        <v>4.8693729584881051E-4</v>
      </c>
      <c r="C359" s="232">
        <v>67.930000000000007</v>
      </c>
      <c r="D359" s="35">
        <v>5.0618725063893075</v>
      </c>
      <c r="E359" s="232">
        <v>38.47</v>
      </c>
      <c r="F359" s="35">
        <v>5.0501920105740643</v>
      </c>
      <c r="G359" s="232">
        <v>11109.26</v>
      </c>
      <c r="H359" s="35">
        <v>8.4051410749203619</v>
      </c>
      <c r="I359" s="232">
        <v>12765.55</v>
      </c>
      <c r="J359" s="35">
        <v>7.5987907793176728</v>
      </c>
      <c r="K359" s="232">
        <v>13514.86</v>
      </c>
      <c r="L359" s="35">
        <v>8.7364721235519625</v>
      </c>
      <c r="M359" s="232">
        <v>39464.92</v>
      </c>
      <c r="N359" s="35">
        <v>7.7071563201283997</v>
      </c>
      <c r="P359" s="232">
        <v>-29.46</v>
      </c>
      <c r="Q359" s="35">
        <v>1.1680495815243219E-2</v>
      </c>
      <c r="R359" s="232">
        <v>1656.29</v>
      </c>
      <c r="S359" s="35">
        <v>0.80635029560268912</v>
      </c>
      <c r="T359" s="232">
        <v>25950.06</v>
      </c>
      <c r="U359" s="35">
        <v>1.0293158034235628</v>
      </c>
      <c r="W359" s="35">
        <f t="shared" si="37"/>
        <v>613.48479076216097</v>
      </c>
      <c r="X359" s="35">
        <f t="shared" si="38"/>
        <v>38661.224780134457</v>
      </c>
      <c r="Y359" s="35">
        <f t="shared" si="39"/>
        <v>25515.730171178137</v>
      </c>
      <c r="Z359" s="35">
        <f t="shared" si="40"/>
        <v>0</v>
      </c>
      <c r="AA359" s="35">
        <f t="shared" si="41"/>
        <v>1</v>
      </c>
      <c r="AB359" s="35">
        <f t="shared" si="42"/>
        <v>0</v>
      </c>
    </row>
    <row r="360" spans="1:28">
      <c r="A360" s="35">
        <v>349</v>
      </c>
      <c r="B360" s="35">
        <v>4.3315091294821522E-4</v>
      </c>
      <c r="C360" s="232">
        <v>63.11</v>
      </c>
      <c r="D360" s="35">
        <v>5.0588836212839476</v>
      </c>
      <c r="E360" s="232">
        <v>42.1</v>
      </c>
      <c r="F360" s="35">
        <v>5.0506884196227011</v>
      </c>
      <c r="G360" s="232">
        <v>10775.47</v>
      </c>
      <c r="H360" s="35">
        <v>8.1651641590789108</v>
      </c>
      <c r="I360" s="232">
        <v>11878.96</v>
      </c>
      <c r="J360" s="35">
        <v>7.2387976421154079</v>
      </c>
      <c r="K360" s="232">
        <v>14942.21</v>
      </c>
      <c r="L360" s="35">
        <v>8.7426283414238632</v>
      </c>
      <c r="M360" s="232">
        <v>41023.730000000003</v>
      </c>
      <c r="N360" s="35">
        <v>7.6891303297159439</v>
      </c>
      <c r="P360" s="232">
        <v>-21.01</v>
      </c>
      <c r="Q360" s="35">
        <v>8.1952016612465428E-3</v>
      </c>
      <c r="R360" s="232">
        <v>1103.49</v>
      </c>
      <c r="S360" s="35">
        <v>0.92636651696350292</v>
      </c>
      <c r="T360" s="232">
        <v>26081.52</v>
      </c>
      <c r="U360" s="35">
        <v>1.0534980117079193</v>
      </c>
      <c r="W360" s="35">
        <f t="shared" si="37"/>
        <v>430.7700830623271</v>
      </c>
      <c r="X360" s="35">
        <f t="shared" si="38"/>
        <v>45214.835848175149</v>
      </c>
      <c r="Y360" s="35">
        <f t="shared" si="39"/>
        <v>26593.380585395968</v>
      </c>
      <c r="Z360" s="35">
        <f t="shared" si="40"/>
        <v>0</v>
      </c>
      <c r="AA360" s="35">
        <f t="shared" si="41"/>
        <v>1</v>
      </c>
      <c r="AB360" s="35">
        <f t="shared" si="42"/>
        <v>0</v>
      </c>
    </row>
    <row r="361" spans="1:28">
      <c r="A361" s="35">
        <v>350</v>
      </c>
      <c r="B361" s="35">
        <v>3.7854558928777704E-4</v>
      </c>
      <c r="C361" s="232">
        <v>52.27</v>
      </c>
      <c r="D361" s="35">
        <v>5.0586554793876992</v>
      </c>
      <c r="E361" s="232">
        <v>30.36</v>
      </c>
      <c r="F361" s="35">
        <v>5.048510358832913</v>
      </c>
      <c r="G361" s="232">
        <v>10570.72</v>
      </c>
      <c r="H361" s="35">
        <v>9.1112130205049038</v>
      </c>
      <c r="I361" s="232">
        <v>11577.77</v>
      </c>
      <c r="J361" s="35">
        <v>7.5042747210666576</v>
      </c>
      <c r="K361" s="232">
        <v>11209.32</v>
      </c>
      <c r="L361" s="35">
        <v>8.6990499799239434</v>
      </c>
      <c r="M361" s="232">
        <v>37104.83</v>
      </c>
      <c r="N361" s="35">
        <v>7.5614288841431927</v>
      </c>
      <c r="P361" s="232">
        <v>-21.91</v>
      </c>
      <c r="Q361" s="35">
        <v>1.0145120554786224E-2</v>
      </c>
      <c r="R361" s="232">
        <v>1007.05</v>
      </c>
      <c r="S361" s="35">
        <v>1.6069382994382462</v>
      </c>
      <c r="T361" s="232">
        <v>25895.5</v>
      </c>
      <c r="U361" s="35">
        <v>1.1376210957807507</v>
      </c>
      <c r="W361" s="35">
        <f t="shared" si="37"/>
        <v>529.16602773931118</v>
      </c>
      <c r="X361" s="35">
        <f t="shared" si="38"/>
        <v>79339.864971912306</v>
      </c>
      <c r="Y361" s="35">
        <f t="shared" si="39"/>
        <v>30985.554789037531</v>
      </c>
      <c r="Z361" s="35">
        <f t="shared" si="40"/>
        <v>0</v>
      </c>
      <c r="AA361" s="35">
        <f t="shared" si="41"/>
        <v>1</v>
      </c>
      <c r="AB361" s="35">
        <f t="shared" si="42"/>
        <v>0</v>
      </c>
    </row>
    <row r="362" spans="1:28">
      <c r="A362" s="35">
        <v>351</v>
      </c>
      <c r="B362" s="35">
        <v>6.1553235423017494E-4</v>
      </c>
      <c r="C362" s="232">
        <v>90.76</v>
      </c>
      <c r="D362" s="35">
        <v>5.0729024839779706</v>
      </c>
      <c r="E362" s="232">
        <v>59.43</v>
      </c>
      <c r="F362" s="35">
        <v>5.0594123772519399</v>
      </c>
      <c r="G362" s="232">
        <v>11161.95</v>
      </c>
      <c r="H362" s="35">
        <v>9.162905922878382</v>
      </c>
      <c r="I362" s="232">
        <v>10958.6</v>
      </c>
      <c r="J362" s="35">
        <v>7.1556341168219699</v>
      </c>
      <c r="K362" s="232">
        <v>14889.02</v>
      </c>
      <c r="L362" s="35">
        <v>8.7844392141502858</v>
      </c>
      <c r="M362" s="232">
        <v>41103.53</v>
      </c>
      <c r="N362" s="35">
        <v>7.620383851871626</v>
      </c>
      <c r="P362" s="232">
        <v>-31.33</v>
      </c>
      <c r="Q362" s="35">
        <v>1.3490106726030682E-2</v>
      </c>
      <c r="R362" s="232">
        <v>-203.35</v>
      </c>
      <c r="S362" s="35">
        <v>2.0072718060564121</v>
      </c>
      <c r="T362" s="232">
        <v>26214.51</v>
      </c>
      <c r="U362" s="35">
        <v>1.1640553622786598</v>
      </c>
      <c r="W362" s="35">
        <f t="shared" si="37"/>
        <v>705.83533630153408</v>
      </c>
      <c r="X362" s="35">
        <f t="shared" si="38"/>
        <v>100566.94030282061</v>
      </c>
      <c r="Y362" s="35">
        <f t="shared" si="39"/>
        <v>31988.258113932989</v>
      </c>
      <c r="Z362" s="35">
        <f t="shared" si="40"/>
        <v>0</v>
      </c>
      <c r="AA362" s="35">
        <f t="shared" si="41"/>
        <v>1</v>
      </c>
      <c r="AB362" s="35">
        <f t="shared" si="42"/>
        <v>0</v>
      </c>
    </row>
    <row r="363" spans="1:28">
      <c r="A363" s="35">
        <v>352</v>
      </c>
      <c r="B363" s="35">
        <v>4.6857541941547343E-4</v>
      </c>
      <c r="C363" s="232">
        <v>89.76</v>
      </c>
      <c r="D363" s="35">
        <v>5.0625135589201671</v>
      </c>
      <c r="E363" s="232">
        <v>54.16</v>
      </c>
      <c r="F363" s="35">
        <v>5.0517545720845609</v>
      </c>
      <c r="G363" s="232">
        <v>14513.15</v>
      </c>
      <c r="H363" s="35">
        <v>8.7907937419260875</v>
      </c>
      <c r="I363" s="232">
        <v>14863.92</v>
      </c>
      <c r="J363" s="35">
        <v>7.8204633100768506</v>
      </c>
      <c r="K363" s="232">
        <v>21788.95</v>
      </c>
      <c r="L363" s="35">
        <v>8.6904868080161304</v>
      </c>
      <c r="M363" s="232">
        <v>48257.56</v>
      </c>
      <c r="N363" s="35">
        <v>7.6105806151904956</v>
      </c>
      <c r="P363" s="232">
        <v>-35.61</v>
      </c>
      <c r="Q363" s="35">
        <v>1.0758986835606166E-2</v>
      </c>
      <c r="R363" s="232">
        <v>350.77</v>
      </c>
      <c r="S363" s="35">
        <v>0.97033043184923695</v>
      </c>
      <c r="T363" s="232">
        <v>26468.61</v>
      </c>
      <c r="U363" s="35">
        <v>1.0799061928256348</v>
      </c>
      <c r="W363" s="35">
        <f t="shared" si="37"/>
        <v>573.55934178030827</v>
      </c>
      <c r="X363" s="35">
        <f t="shared" si="38"/>
        <v>48165.751592461849</v>
      </c>
      <c r="Y363" s="35">
        <f t="shared" si="39"/>
        <v>27526.699641281739</v>
      </c>
      <c r="Z363" s="35">
        <f t="shared" si="40"/>
        <v>0</v>
      </c>
      <c r="AA363" s="35">
        <f t="shared" si="41"/>
        <v>1</v>
      </c>
      <c r="AB363" s="35">
        <f t="shared" si="42"/>
        <v>0</v>
      </c>
    </row>
    <row r="364" spans="1:28">
      <c r="A364" s="35">
        <v>353</v>
      </c>
      <c r="B364" s="35">
        <v>4.034743810090157E-4</v>
      </c>
      <c r="C364" s="232">
        <v>63.7</v>
      </c>
      <c r="D364" s="35">
        <v>5.0594308080825545</v>
      </c>
      <c r="E364" s="232">
        <v>36.78</v>
      </c>
      <c r="F364" s="35">
        <v>5.0491017823988598</v>
      </c>
      <c r="G364" s="232">
        <v>12248.19</v>
      </c>
      <c r="H364" s="35">
        <v>8.875495748123706</v>
      </c>
      <c r="I364" s="232">
        <v>12646.83</v>
      </c>
      <c r="J364" s="35">
        <v>7.4430387712970489</v>
      </c>
      <c r="K364" s="232">
        <v>16736.669999999998</v>
      </c>
      <c r="L364" s="35">
        <v>8.6261731194909839</v>
      </c>
      <c r="M364" s="232">
        <v>43030.76</v>
      </c>
      <c r="N364" s="35">
        <v>7.3759736141564209</v>
      </c>
      <c r="P364" s="232">
        <v>-26.93</v>
      </c>
      <c r="Q364" s="35">
        <v>1.0329025683694759E-2</v>
      </c>
      <c r="R364" s="232">
        <v>398.65</v>
      </c>
      <c r="S364" s="35">
        <v>1.4324569768266571</v>
      </c>
      <c r="T364" s="232">
        <v>26294.09</v>
      </c>
      <c r="U364" s="35">
        <v>1.2501995053345629</v>
      </c>
      <c r="W364" s="35">
        <f t="shared" si="37"/>
        <v>543.38128418473786</v>
      </c>
      <c r="X364" s="35">
        <f t="shared" si="38"/>
        <v>71224.198841332865</v>
      </c>
      <c r="Y364" s="35">
        <f t="shared" si="39"/>
        <v>36215.885266728146</v>
      </c>
      <c r="Z364" s="35">
        <f t="shared" si="40"/>
        <v>0</v>
      </c>
      <c r="AA364" s="35">
        <f t="shared" si="41"/>
        <v>1</v>
      </c>
      <c r="AB364" s="35">
        <f t="shared" si="42"/>
        <v>0</v>
      </c>
    </row>
    <row r="365" spans="1:28">
      <c r="A365" s="35">
        <v>354</v>
      </c>
      <c r="B365" s="35">
        <v>5.6860871767583365E-4</v>
      </c>
      <c r="C365" s="232">
        <v>59.04</v>
      </c>
      <c r="D365" s="35">
        <v>5.0680706802757829</v>
      </c>
      <c r="E365" s="232">
        <v>36.43</v>
      </c>
      <c r="F365" s="35">
        <v>5.0546544363618917</v>
      </c>
      <c r="G365" s="232">
        <v>8109.09</v>
      </c>
      <c r="H365" s="35">
        <v>8.9122183832832444</v>
      </c>
      <c r="I365" s="232">
        <v>9956.56</v>
      </c>
      <c r="J365" s="35">
        <v>7.870095299406124</v>
      </c>
      <c r="K365" s="232">
        <v>8234.06</v>
      </c>
      <c r="L365" s="35">
        <v>8.4438392126758668</v>
      </c>
      <c r="M365" s="232">
        <v>34095.74</v>
      </c>
      <c r="N365" s="35">
        <v>7.3251965048492673</v>
      </c>
      <c r="P365" s="232">
        <v>-22.61</v>
      </c>
      <c r="Q365" s="35">
        <v>1.3416243913891179E-2</v>
      </c>
      <c r="R365" s="232">
        <v>1847.47</v>
      </c>
      <c r="S365" s="35">
        <v>1.0421230838771205</v>
      </c>
      <c r="T365" s="232">
        <v>25861.68</v>
      </c>
      <c r="U365" s="35">
        <v>1.1186427078265995</v>
      </c>
      <c r="W365" s="35">
        <f t="shared" si="37"/>
        <v>693.42219569455904</v>
      </c>
      <c r="X365" s="35">
        <f t="shared" si="38"/>
        <v>50258.684193856025</v>
      </c>
      <c r="Y365" s="35">
        <f t="shared" si="39"/>
        <v>30070.455391329975</v>
      </c>
      <c r="Z365" s="35">
        <f t="shared" si="40"/>
        <v>0</v>
      </c>
      <c r="AA365" s="35">
        <f t="shared" si="41"/>
        <v>1</v>
      </c>
      <c r="AB365" s="35">
        <f t="shared" si="42"/>
        <v>0</v>
      </c>
    </row>
    <row r="366" spans="1:28">
      <c r="A366" s="35">
        <v>355</v>
      </c>
      <c r="B366" s="35">
        <v>4.5933531738973077E-4</v>
      </c>
      <c r="C366" s="232">
        <v>63.84</v>
      </c>
      <c r="D366" s="35">
        <v>5.0632572182931943</v>
      </c>
      <c r="E366" s="232">
        <v>40.93</v>
      </c>
      <c r="F366" s="35">
        <v>5.0527113638379015</v>
      </c>
      <c r="G366" s="232">
        <v>10854.18</v>
      </c>
      <c r="H366" s="35">
        <v>9.0197225808934718</v>
      </c>
      <c r="I366" s="232">
        <v>11489.97</v>
      </c>
      <c r="J366" s="35">
        <v>6.9500108336740185</v>
      </c>
      <c r="K366" s="232">
        <v>12935.22</v>
      </c>
      <c r="L366" s="35">
        <v>8.8355186139437585</v>
      </c>
      <c r="M366" s="232">
        <v>39030.870000000003</v>
      </c>
      <c r="N366" s="35">
        <v>7.7537616808224872</v>
      </c>
      <c r="P366" s="232">
        <v>-22.91</v>
      </c>
      <c r="Q366" s="35">
        <v>1.0545854455292769E-2</v>
      </c>
      <c r="R366" s="232">
        <v>635.79</v>
      </c>
      <c r="S366" s="35">
        <v>2.0697117472194533</v>
      </c>
      <c r="T366" s="232">
        <v>26095.65</v>
      </c>
      <c r="U366" s="35">
        <v>1.0817569331212713</v>
      </c>
      <c r="W366" s="35">
        <f t="shared" si="37"/>
        <v>550.20272276463845</v>
      </c>
      <c r="X366" s="35">
        <f t="shared" si="38"/>
        <v>102849.79736097268</v>
      </c>
      <c r="Y366" s="35">
        <f t="shared" si="39"/>
        <v>27992.196656063563</v>
      </c>
      <c r="Z366" s="35">
        <f t="shared" si="40"/>
        <v>0</v>
      </c>
      <c r="AA366" s="35">
        <f t="shared" si="41"/>
        <v>1</v>
      </c>
      <c r="AB366" s="35">
        <f t="shared" si="42"/>
        <v>0</v>
      </c>
    </row>
    <row r="367" spans="1:28">
      <c r="A367" s="35">
        <v>356</v>
      </c>
      <c r="B367" s="35">
        <v>4.1782167403540488E-4</v>
      </c>
      <c r="C367" s="232">
        <v>65.62</v>
      </c>
      <c r="D367" s="35">
        <v>5.060636413425244</v>
      </c>
      <c r="E367" s="232">
        <v>40.26</v>
      </c>
      <c r="F367" s="35">
        <v>5.0505912965658348</v>
      </c>
      <c r="G367" s="232">
        <v>12299.83</v>
      </c>
      <c r="H367" s="35">
        <v>8.9740575477161819</v>
      </c>
      <c r="I367" s="232">
        <v>13119.64</v>
      </c>
      <c r="J367" s="35">
        <v>7.1586212515446395</v>
      </c>
      <c r="K367" s="232">
        <v>14118.48</v>
      </c>
      <c r="L367" s="35">
        <v>8.7238390815578732</v>
      </c>
      <c r="M367" s="232">
        <v>40238.74</v>
      </c>
      <c r="N367" s="35">
        <v>7.6007502985128479</v>
      </c>
      <c r="P367" s="232">
        <v>-25.35</v>
      </c>
      <c r="Q367" s="35">
        <v>1.004511685940912E-2</v>
      </c>
      <c r="R367" s="232">
        <v>819.81</v>
      </c>
      <c r="S367" s="35">
        <v>1.8154362961715425</v>
      </c>
      <c r="T367" s="232">
        <v>26120.26</v>
      </c>
      <c r="U367" s="35">
        <v>1.1230887830450254</v>
      </c>
      <c r="W367" s="35">
        <f t="shared" si="37"/>
        <v>527.60584297045602</v>
      </c>
      <c r="X367" s="35">
        <f t="shared" si="38"/>
        <v>89952.004808577127</v>
      </c>
      <c r="Y367" s="35">
        <f t="shared" si="39"/>
        <v>30034.179152251269</v>
      </c>
      <c r="Z367" s="35">
        <f t="shared" si="40"/>
        <v>0</v>
      </c>
      <c r="AA367" s="35">
        <f t="shared" si="41"/>
        <v>1</v>
      </c>
      <c r="AB367" s="35">
        <f t="shared" si="42"/>
        <v>0</v>
      </c>
    </row>
    <row r="368" spans="1:28">
      <c r="A368" s="35">
        <v>357</v>
      </c>
      <c r="B368" s="35">
        <v>4.2574631416433193E-4</v>
      </c>
      <c r="C368" s="232">
        <v>47.59</v>
      </c>
      <c r="D368" s="35">
        <v>5.0593971657552208</v>
      </c>
      <c r="E368" s="232">
        <v>32.130000000000003</v>
      </c>
      <c r="F368" s="35">
        <v>5.0507660166334931</v>
      </c>
      <c r="G368" s="232">
        <v>8706.24</v>
      </c>
      <c r="H368" s="35">
        <v>8.3126279693012801</v>
      </c>
      <c r="I368" s="232">
        <v>10146.540000000001</v>
      </c>
      <c r="J368" s="35">
        <v>6.8494144168652316</v>
      </c>
      <c r="K368" s="232">
        <v>10460.76</v>
      </c>
      <c r="L368" s="35">
        <v>8.6603719995342079</v>
      </c>
      <c r="M368" s="232">
        <v>36321.08</v>
      </c>
      <c r="N368" s="35">
        <v>7.4937807197708066</v>
      </c>
      <c r="P368" s="232">
        <v>-15.47</v>
      </c>
      <c r="Q368" s="35">
        <v>8.6311491217276881E-3</v>
      </c>
      <c r="R368" s="232">
        <v>1440.29</v>
      </c>
      <c r="S368" s="35">
        <v>1.4632135524360486</v>
      </c>
      <c r="T368" s="232">
        <v>25860.32</v>
      </c>
      <c r="U368" s="35">
        <v>1.1665912797634013</v>
      </c>
      <c r="W368" s="35">
        <f t="shared" si="37"/>
        <v>447.0274560863844</v>
      </c>
      <c r="X368" s="35">
        <f t="shared" si="38"/>
        <v>71720.387621802438</v>
      </c>
      <c r="Y368" s="35">
        <f t="shared" si="39"/>
        <v>32469.243988170063</v>
      </c>
      <c r="Z368" s="35">
        <f t="shared" si="40"/>
        <v>0</v>
      </c>
      <c r="AA368" s="35">
        <f t="shared" si="41"/>
        <v>1</v>
      </c>
      <c r="AB368" s="35">
        <f t="shared" si="42"/>
        <v>0</v>
      </c>
    </row>
    <row r="369" spans="1:28">
      <c r="A369" s="35">
        <v>358</v>
      </c>
      <c r="B369" s="35">
        <v>4.3093056871633493E-4</v>
      </c>
      <c r="C369" s="232">
        <v>79.34</v>
      </c>
      <c r="D369" s="35">
        <v>5.0583173996911572</v>
      </c>
      <c r="E369" s="232">
        <v>54.1</v>
      </c>
      <c r="F369" s="35">
        <v>5.050886170838222</v>
      </c>
      <c r="G369" s="232">
        <v>14264.74</v>
      </c>
      <c r="H369" s="35">
        <v>8.1346469103100389</v>
      </c>
      <c r="I369" s="232">
        <v>15415.64</v>
      </c>
      <c r="J369" s="35">
        <v>7.1108870246991218</v>
      </c>
      <c r="K369" s="232">
        <v>17998.71</v>
      </c>
      <c r="L369" s="35">
        <v>8.3534989059467222</v>
      </c>
      <c r="M369" s="232">
        <v>44437.66</v>
      </c>
      <c r="N369" s="35">
        <v>7.2029479078066654</v>
      </c>
      <c r="P369" s="232">
        <v>-25.24</v>
      </c>
      <c r="Q369" s="35">
        <v>7.4312288529352344E-3</v>
      </c>
      <c r="R369" s="232">
        <v>1150.9000000000001</v>
      </c>
      <c r="S369" s="35">
        <v>1.0237598856109171</v>
      </c>
      <c r="T369" s="232">
        <v>26438.95</v>
      </c>
      <c r="U369" s="35">
        <v>1.1505509981400568</v>
      </c>
      <c r="W369" s="35">
        <f t="shared" si="37"/>
        <v>396.80144264676176</v>
      </c>
      <c r="X369" s="35">
        <f t="shared" si="38"/>
        <v>50037.094280545854</v>
      </c>
      <c r="Y369" s="35">
        <f t="shared" si="39"/>
        <v>31088.599907002837</v>
      </c>
      <c r="Z369" s="35">
        <f t="shared" si="40"/>
        <v>0</v>
      </c>
      <c r="AA369" s="35">
        <f t="shared" si="41"/>
        <v>1</v>
      </c>
      <c r="AB369" s="35">
        <f t="shared" si="42"/>
        <v>0</v>
      </c>
    </row>
    <row r="370" spans="1:28">
      <c r="A370" s="35">
        <v>359</v>
      </c>
      <c r="B370" s="35">
        <v>5.8672928850467265E-4</v>
      </c>
      <c r="C370" s="232">
        <v>110.14</v>
      </c>
      <c r="D370" s="35">
        <v>5.0674890971568978</v>
      </c>
      <c r="E370" s="232">
        <v>60.69</v>
      </c>
      <c r="F370" s="35">
        <v>5.0532278728441842</v>
      </c>
      <c r="G370" s="232">
        <v>14738.19</v>
      </c>
      <c r="H370" s="35">
        <v>8.7641467210764539</v>
      </c>
      <c r="I370" s="232">
        <v>15205.13</v>
      </c>
      <c r="J370" s="35">
        <v>7.5922314221613085</v>
      </c>
      <c r="K370" s="232">
        <v>19586.32</v>
      </c>
      <c r="L370" s="35">
        <v>8.3069907054616774</v>
      </c>
      <c r="M370" s="232">
        <v>45920.82</v>
      </c>
      <c r="N370" s="35">
        <v>7.2080857122280069</v>
      </c>
      <c r="P370" s="232">
        <v>-49.45</v>
      </c>
      <c r="Q370" s="35">
        <v>1.4261224312713594E-2</v>
      </c>
      <c r="R370" s="232">
        <v>466.93</v>
      </c>
      <c r="S370" s="35">
        <v>1.1719152989151453</v>
      </c>
      <c r="T370" s="232">
        <v>26334.5</v>
      </c>
      <c r="U370" s="35">
        <v>1.0989049932336705</v>
      </c>
      <c r="W370" s="35">
        <f t="shared" si="37"/>
        <v>762.51121563567972</v>
      </c>
      <c r="X370" s="35">
        <f t="shared" si="38"/>
        <v>58128.834945757269</v>
      </c>
      <c r="Y370" s="35">
        <f t="shared" si="39"/>
        <v>28610.749661683527</v>
      </c>
      <c r="Z370" s="35">
        <f t="shared" si="40"/>
        <v>0</v>
      </c>
      <c r="AA370" s="35">
        <f t="shared" si="41"/>
        <v>1</v>
      </c>
      <c r="AB370" s="35">
        <f t="shared" si="42"/>
        <v>0</v>
      </c>
    </row>
    <row r="371" spans="1:28">
      <c r="A371" s="35">
        <v>360</v>
      </c>
      <c r="B371" s="35">
        <v>4.5027923773488521E-4</v>
      </c>
      <c r="C371" s="232">
        <v>69.92</v>
      </c>
      <c r="D371" s="35">
        <v>5.0619838219765221</v>
      </c>
      <c r="E371" s="232">
        <v>44.56</v>
      </c>
      <c r="F371" s="35">
        <v>5.0519957822998816</v>
      </c>
      <c r="G371" s="232">
        <v>12126.95</v>
      </c>
      <c r="H371" s="35">
        <v>8.9293986379699746</v>
      </c>
      <c r="I371" s="232">
        <v>13871.81</v>
      </c>
      <c r="J371" s="35">
        <v>8.28059809788701</v>
      </c>
      <c r="K371" s="232">
        <v>13610.89</v>
      </c>
      <c r="L371" s="35">
        <v>8.6001613822680287</v>
      </c>
      <c r="M371" s="232">
        <v>39518.980000000003</v>
      </c>
      <c r="N371" s="35">
        <v>7.5234241548740544</v>
      </c>
      <c r="P371" s="232">
        <v>-25.36</v>
      </c>
      <c r="Q371" s="35">
        <v>9.9880396766405255E-3</v>
      </c>
      <c r="R371" s="232">
        <v>1744.86</v>
      </c>
      <c r="S371" s="35">
        <v>0.64880054008296462</v>
      </c>
      <c r="T371" s="232">
        <v>25908.09</v>
      </c>
      <c r="U371" s="35">
        <v>1.0767372273939744</v>
      </c>
      <c r="W371" s="35">
        <f t="shared" si="37"/>
        <v>524.76198383202632</v>
      </c>
      <c r="X371" s="35">
        <f t="shared" si="38"/>
        <v>30695.167004148228</v>
      </c>
      <c r="Y371" s="35">
        <f t="shared" si="39"/>
        <v>27928.771369698716</v>
      </c>
      <c r="Z371" s="35">
        <f t="shared" si="40"/>
        <v>0</v>
      </c>
      <c r="AA371" s="35">
        <f t="shared" si="41"/>
        <v>1</v>
      </c>
      <c r="AB371" s="35">
        <f t="shared" si="42"/>
        <v>0</v>
      </c>
    </row>
    <row r="372" spans="1:28">
      <c r="A372" s="35">
        <v>361</v>
      </c>
      <c r="B372" s="35">
        <v>4.6000243991661804E-4</v>
      </c>
      <c r="C372" s="232">
        <v>55.02</v>
      </c>
      <c r="D372" s="35">
        <v>5.0593683060313399</v>
      </c>
      <c r="E372" s="232">
        <v>34.08</v>
      </c>
      <c r="F372" s="35">
        <v>5.0497776932364271</v>
      </c>
      <c r="G372" s="232">
        <v>8870.4599999999991</v>
      </c>
      <c r="H372" s="35">
        <v>8.0635963883591124</v>
      </c>
      <c r="I372" s="232">
        <v>10187.83</v>
      </c>
      <c r="J372" s="35">
        <v>7.2112116577410008</v>
      </c>
      <c r="K372" s="232">
        <v>12538.12</v>
      </c>
      <c r="L372" s="35">
        <v>8.4190815992228298</v>
      </c>
      <c r="M372" s="232">
        <v>38554.449999999997</v>
      </c>
      <c r="N372" s="35">
        <v>7.4059614402440852</v>
      </c>
      <c r="P372" s="232">
        <v>-20.94</v>
      </c>
      <c r="Q372" s="35">
        <v>9.5906127949128006E-3</v>
      </c>
      <c r="R372" s="232">
        <v>1317.38</v>
      </c>
      <c r="S372" s="35">
        <v>0.8523847306181116</v>
      </c>
      <c r="T372" s="232">
        <v>26016.34</v>
      </c>
      <c r="U372" s="35">
        <v>1.0131201589787446</v>
      </c>
      <c r="W372" s="35">
        <f t="shared" si="37"/>
        <v>500.47063974564003</v>
      </c>
      <c r="X372" s="35">
        <f t="shared" si="38"/>
        <v>41301.856530905585</v>
      </c>
      <c r="Y372" s="35">
        <f t="shared" si="39"/>
        <v>24639.667948937229</v>
      </c>
      <c r="Z372" s="35">
        <f t="shared" si="40"/>
        <v>0</v>
      </c>
      <c r="AA372" s="35">
        <f t="shared" si="41"/>
        <v>1</v>
      </c>
      <c r="AB372" s="35">
        <f t="shared" si="42"/>
        <v>0</v>
      </c>
    </row>
    <row r="373" spans="1:28">
      <c r="A373" s="35">
        <v>362</v>
      </c>
      <c r="B373" s="35">
        <v>4.3992937213353117E-4</v>
      </c>
      <c r="C373" s="232">
        <v>77.84</v>
      </c>
      <c r="D373" s="35">
        <v>5.0625061633415065</v>
      </c>
      <c r="E373" s="232">
        <v>50.6</v>
      </c>
      <c r="F373" s="35">
        <v>5.0527462084083119</v>
      </c>
      <c r="G373" s="232">
        <v>14091.17</v>
      </c>
      <c r="H373" s="35">
        <v>9.1580278170225036</v>
      </c>
      <c r="I373" s="232">
        <v>15116.72</v>
      </c>
      <c r="J373" s="35">
        <v>7.8868887695380057</v>
      </c>
      <c r="K373" s="232">
        <v>17317.34</v>
      </c>
      <c r="L373" s="35">
        <v>8.8186864899523432</v>
      </c>
      <c r="M373" s="232">
        <v>43464.47</v>
      </c>
      <c r="N373" s="35">
        <v>7.7304844595523763</v>
      </c>
      <c r="P373" s="232">
        <v>-27.24</v>
      </c>
      <c r="Q373" s="35">
        <v>9.7599549331945923E-3</v>
      </c>
      <c r="R373" s="232">
        <v>1025.55</v>
      </c>
      <c r="S373" s="35">
        <v>1.2711390474844979</v>
      </c>
      <c r="T373" s="232">
        <v>26147.13</v>
      </c>
      <c r="U373" s="35">
        <v>1.0882020303999669</v>
      </c>
      <c r="W373" s="35">
        <f t="shared" si="37"/>
        <v>515.23774665972962</v>
      </c>
      <c r="X373" s="35">
        <f t="shared" si="38"/>
        <v>62531.40237422489</v>
      </c>
      <c r="Y373" s="35">
        <f t="shared" si="39"/>
        <v>28262.971519998344</v>
      </c>
      <c r="Z373" s="35">
        <f t="shared" si="40"/>
        <v>0</v>
      </c>
      <c r="AA373" s="35">
        <f t="shared" si="41"/>
        <v>1</v>
      </c>
      <c r="AB373" s="35">
        <f t="shared" si="42"/>
        <v>0</v>
      </c>
    </row>
    <row r="374" spans="1:28">
      <c r="A374" s="35">
        <v>363</v>
      </c>
      <c r="B374" s="35">
        <v>4.1143576451918703E-4</v>
      </c>
      <c r="C374" s="232">
        <v>65.73</v>
      </c>
      <c r="D374" s="35">
        <v>5.0604099837565428</v>
      </c>
      <c r="E374" s="232">
        <v>40.22</v>
      </c>
      <c r="F374" s="35">
        <v>5.0504285296690155</v>
      </c>
      <c r="G374" s="232">
        <v>12230.1</v>
      </c>
      <c r="H374" s="35">
        <v>9.1151940549099724</v>
      </c>
      <c r="I374" s="232">
        <v>12616.9</v>
      </c>
      <c r="J374" s="35">
        <v>7.8573645910573235</v>
      </c>
      <c r="K374" s="232">
        <v>16796.97</v>
      </c>
      <c r="L374" s="35">
        <v>8.606106546831823</v>
      </c>
      <c r="M374" s="232">
        <v>43054.64</v>
      </c>
      <c r="N374" s="35">
        <v>7.497494839139998</v>
      </c>
      <c r="P374" s="232">
        <v>-25.51</v>
      </c>
      <c r="Q374" s="35">
        <v>9.981454087527375E-3</v>
      </c>
      <c r="R374" s="232">
        <v>386.8</v>
      </c>
      <c r="S374" s="35">
        <v>1.2578294638526488</v>
      </c>
      <c r="T374" s="232">
        <v>26257.67</v>
      </c>
      <c r="U374" s="35">
        <v>1.1086117076918249</v>
      </c>
      <c r="W374" s="35">
        <f t="shared" si="37"/>
        <v>524.58270437636872</v>
      </c>
      <c r="X374" s="35">
        <f t="shared" si="38"/>
        <v>62504.673192632436</v>
      </c>
      <c r="Y374" s="35">
        <f t="shared" si="39"/>
        <v>29172.915384591251</v>
      </c>
      <c r="Z374" s="35">
        <f t="shared" si="40"/>
        <v>0</v>
      </c>
      <c r="AA374" s="35">
        <f t="shared" si="41"/>
        <v>1</v>
      </c>
      <c r="AB374" s="35">
        <f t="shared" si="42"/>
        <v>0</v>
      </c>
    </row>
    <row r="375" spans="1:28">
      <c r="A375" s="35">
        <v>364</v>
      </c>
      <c r="B375" s="35">
        <v>4.3868560384174643E-4</v>
      </c>
      <c r="C375" s="232">
        <v>61.89</v>
      </c>
      <c r="D375" s="35">
        <v>5.061500371956674</v>
      </c>
      <c r="E375" s="232">
        <v>39.86</v>
      </c>
      <c r="F375" s="35">
        <v>5.0517114803655865</v>
      </c>
      <c r="G375" s="232">
        <v>10846.99</v>
      </c>
      <c r="H375" s="35">
        <v>8.7431017790099954</v>
      </c>
      <c r="I375" s="232">
        <v>11457.01</v>
      </c>
      <c r="J375" s="35">
        <v>6.9779231004709743</v>
      </c>
      <c r="K375" s="232">
        <v>13877.04</v>
      </c>
      <c r="L375" s="35">
        <v>8.9125701159287782</v>
      </c>
      <c r="M375" s="232">
        <v>39952.58</v>
      </c>
      <c r="N375" s="35">
        <v>7.7525831980643289</v>
      </c>
      <c r="P375" s="232">
        <v>-22.03</v>
      </c>
      <c r="Q375" s="35">
        <v>9.788891591087534E-3</v>
      </c>
      <c r="R375" s="232">
        <v>610.02</v>
      </c>
      <c r="S375" s="35">
        <v>1.7651786785390211</v>
      </c>
      <c r="T375" s="232">
        <v>26075.54</v>
      </c>
      <c r="U375" s="35">
        <v>1.1599869178644493</v>
      </c>
      <c r="W375" s="35">
        <f t="shared" si="37"/>
        <v>511.47457955437665</v>
      </c>
      <c r="X375" s="35">
        <f t="shared" si="38"/>
        <v>87648.913926951049</v>
      </c>
      <c r="Y375" s="35">
        <f t="shared" si="39"/>
        <v>31923.805893222467</v>
      </c>
      <c r="Z375" s="35">
        <f t="shared" si="40"/>
        <v>0</v>
      </c>
      <c r="AA375" s="35">
        <f t="shared" si="41"/>
        <v>1</v>
      </c>
      <c r="AB375" s="35">
        <f t="shared" si="42"/>
        <v>0</v>
      </c>
    </row>
    <row r="376" spans="1:28">
      <c r="A376" s="35">
        <v>365</v>
      </c>
      <c r="B376" s="35">
        <v>4.0578154857910643E-4</v>
      </c>
      <c r="C376" s="232">
        <v>55.1</v>
      </c>
      <c r="D376" s="35">
        <v>5.0591302008483376</v>
      </c>
      <c r="E376" s="232">
        <v>37.32</v>
      </c>
      <c r="F376" s="35">
        <v>5.0508761267119731</v>
      </c>
      <c r="G376" s="232">
        <v>10604.88</v>
      </c>
      <c r="H376" s="35">
        <v>8.6741962145694949</v>
      </c>
      <c r="I376" s="232">
        <v>12296.69</v>
      </c>
      <c r="J376" s="35">
        <v>7.6970250077428028</v>
      </c>
      <c r="K376" s="232">
        <v>11916.66</v>
      </c>
      <c r="L376" s="35">
        <v>8.716294016351311</v>
      </c>
      <c r="M376" s="232">
        <v>37931.129999999997</v>
      </c>
      <c r="N376" s="35">
        <v>7.5832588501583293</v>
      </c>
      <c r="P376" s="232">
        <v>-17.78</v>
      </c>
      <c r="Q376" s="35">
        <v>8.2540741363645864E-3</v>
      </c>
      <c r="R376" s="232">
        <v>1691.82</v>
      </c>
      <c r="S376" s="35">
        <v>0.97717120682669201</v>
      </c>
      <c r="T376" s="232">
        <v>26014.47</v>
      </c>
      <c r="U376" s="35">
        <v>1.1330351661929816</v>
      </c>
      <c r="W376" s="35">
        <f t="shared" si="37"/>
        <v>430.48370681822928</v>
      </c>
      <c r="X376" s="35">
        <f t="shared" si="38"/>
        <v>47166.740341334604</v>
      </c>
      <c r="Y376" s="35">
        <f t="shared" si="39"/>
        <v>30637.288309649077</v>
      </c>
      <c r="Z376" s="35">
        <f t="shared" si="40"/>
        <v>0</v>
      </c>
      <c r="AA376" s="35">
        <f t="shared" si="41"/>
        <v>1</v>
      </c>
      <c r="AB376" s="35">
        <f t="shared" si="42"/>
        <v>0</v>
      </c>
    </row>
    <row r="377" spans="1:28">
      <c r="A377" s="35">
        <v>366</v>
      </c>
      <c r="B377" s="35">
        <v>4.7632193023916525E-4</v>
      </c>
      <c r="C377" s="232">
        <v>61.21</v>
      </c>
      <c r="D377" s="35">
        <v>5.0617540127026217</v>
      </c>
      <c r="E377" s="232">
        <v>40.29</v>
      </c>
      <c r="F377" s="35">
        <v>5.0521838446468763</v>
      </c>
      <c r="G377" s="232">
        <v>10377.74</v>
      </c>
      <c r="H377" s="35">
        <v>8.3599891639292654</v>
      </c>
      <c r="I377" s="232">
        <v>12157.98</v>
      </c>
      <c r="J377" s="35">
        <v>6.6920140473739504</v>
      </c>
      <c r="K377" s="232">
        <v>11030.8</v>
      </c>
      <c r="L377" s="35">
        <v>8.7291304417612352</v>
      </c>
      <c r="M377" s="232">
        <v>37042.449999999997</v>
      </c>
      <c r="N377" s="35">
        <v>7.6364299350218943</v>
      </c>
      <c r="P377" s="232">
        <v>-20.92</v>
      </c>
      <c r="Q377" s="35">
        <v>9.5701680557453983E-3</v>
      </c>
      <c r="R377" s="232">
        <v>1780.24</v>
      </c>
      <c r="S377" s="35">
        <v>1.6679751165553149</v>
      </c>
      <c r="T377" s="232">
        <v>26011.65</v>
      </c>
      <c r="U377" s="35">
        <v>1.0927005067393409</v>
      </c>
      <c r="W377" s="35">
        <f t="shared" si="37"/>
        <v>499.42840278726993</v>
      </c>
      <c r="X377" s="35">
        <f t="shared" si="38"/>
        <v>81618.515827765747</v>
      </c>
      <c r="Y377" s="35">
        <f t="shared" si="39"/>
        <v>28623.375336967045</v>
      </c>
      <c r="Z377" s="35">
        <f t="shared" si="40"/>
        <v>0</v>
      </c>
      <c r="AA377" s="35">
        <f t="shared" si="41"/>
        <v>1</v>
      </c>
      <c r="AB377" s="35">
        <f t="shared" si="42"/>
        <v>0</v>
      </c>
    </row>
    <row r="378" spans="1:28">
      <c r="A378" s="35">
        <v>367</v>
      </c>
      <c r="B378" s="35">
        <v>4.3477844203336258E-4</v>
      </c>
      <c r="C378" s="232">
        <v>79.92</v>
      </c>
      <c r="D378" s="35">
        <v>5.0606408944397252</v>
      </c>
      <c r="E378" s="232">
        <v>48.53</v>
      </c>
      <c r="F378" s="35">
        <v>5.0506746875495434</v>
      </c>
      <c r="G378" s="232">
        <v>14171.05</v>
      </c>
      <c r="H378" s="35">
        <v>8.8403033401142519</v>
      </c>
      <c r="I378" s="232">
        <v>15074.05</v>
      </c>
      <c r="J378" s="35">
        <v>7.9005868576315423</v>
      </c>
      <c r="K378" s="232">
        <v>18419.93</v>
      </c>
      <c r="L378" s="35">
        <v>8.4476063193237749</v>
      </c>
      <c r="M378" s="232">
        <v>44603.56</v>
      </c>
      <c r="N378" s="35">
        <v>7.3532164920129803</v>
      </c>
      <c r="P378" s="232">
        <v>-31.39</v>
      </c>
      <c r="Q378" s="35">
        <v>9.9662068901817946E-3</v>
      </c>
      <c r="R378" s="232">
        <v>902.99</v>
      </c>
      <c r="S378" s="35">
        <v>0.93971648248270956</v>
      </c>
      <c r="T378" s="232">
        <v>26183.63</v>
      </c>
      <c r="U378" s="35">
        <v>1.0943898273107946</v>
      </c>
      <c r="W378" s="35">
        <f t="shared" si="37"/>
        <v>529.70034450908975</v>
      </c>
      <c r="X378" s="35">
        <f t="shared" si="38"/>
        <v>46082.834124135479</v>
      </c>
      <c r="Y378" s="35">
        <f t="shared" si="39"/>
        <v>28535.861365539731</v>
      </c>
      <c r="Z378" s="35">
        <f t="shared" si="40"/>
        <v>0</v>
      </c>
      <c r="AA378" s="35">
        <f t="shared" si="41"/>
        <v>1</v>
      </c>
      <c r="AB378" s="35">
        <f t="shared" si="42"/>
        <v>0</v>
      </c>
    </row>
    <row r="379" spans="1:28">
      <c r="A379" s="35">
        <v>368</v>
      </c>
      <c r="B379" s="35">
        <v>6.7588882421643071E-4</v>
      </c>
      <c r="C379" s="232">
        <v>118.48</v>
      </c>
      <c r="D379" s="35">
        <v>5.0742268255070364</v>
      </c>
      <c r="E379" s="232">
        <v>77.83</v>
      </c>
      <c r="F379" s="35">
        <v>5.0606445481881099</v>
      </c>
      <c r="G379" s="232">
        <v>12905.03</v>
      </c>
      <c r="H379" s="35">
        <v>8.8423538203315033</v>
      </c>
      <c r="I379" s="232">
        <v>13155.5</v>
      </c>
      <c r="J379" s="35">
        <v>7.6760541165473164</v>
      </c>
      <c r="K379" s="232">
        <v>17981.080000000002</v>
      </c>
      <c r="L379" s="35">
        <v>8.7336626618762203</v>
      </c>
      <c r="M379" s="232">
        <v>44187.5</v>
      </c>
      <c r="N379" s="35">
        <v>7.58575344424092</v>
      </c>
      <c r="P379" s="232">
        <v>-40.65</v>
      </c>
      <c r="Q379" s="35">
        <v>1.3582277318926472E-2</v>
      </c>
      <c r="R379" s="232">
        <v>250.48</v>
      </c>
      <c r="S379" s="35">
        <v>1.1662997037841869</v>
      </c>
      <c r="T379" s="232">
        <v>26206.43</v>
      </c>
      <c r="U379" s="35">
        <v>1.1479092176353003</v>
      </c>
      <c r="W379" s="35">
        <f t="shared" si="37"/>
        <v>719.76386594632356</v>
      </c>
      <c r="X379" s="35">
        <f t="shared" si="38"/>
        <v>58064.50518920934</v>
      </c>
      <c r="Y379" s="35">
        <f t="shared" si="39"/>
        <v>31189.030881765015</v>
      </c>
      <c r="Z379" s="35">
        <f t="shared" si="40"/>
        <v>0</v>
      </c>
      <c r="AA379" s="35">
        <f t="shared" si="41"/>
        <v>1</v>
      </c>
      <c r="AB379" s="35">
        <f t="shared" si="42"/>
        <v>0</v>
      </c>
    </row>
    <row r="380" spans="1:28">
      <c r="A380" s="35">
        <v>369</v>
      </c>
      <c r="B380" s="35">
        <v>4.062510826568101E-4</v>
      </c>
      <c r="C380" s="232">
        <v>72.739999999999995</v>
      </c>
      <c r="D380" s="35">
        <v>5.0567606369510427</v>
      </c>
      <c r="E380" s="232">
        <v>44.39</v>
      </c>
      <c r="F380" s="35">
        <v>5.0484687104977111</v>
      </c>
      <c r="G380" s="232">
        <v>13436.27</v>
      </c>
      <c r="H380" s="35">
        <v>8.1128982573099222</v>
      </c>
      <c r="I380" s="232">
        <v>15259.43</v>
      </c>
      <c r="J380" s="35">
        <v>7.8928026095076058</v>
      </c>
      <c r="K380" s="232">
        <v>20796.080000000002</v>
      </c>
      <c r="L380" s="35">
        <v>8.2692719132837595</v>
      </c>
      <c r="M380" s="232">
        <v>47242.71</v>
      </c>
      <c r="N380" s="35">
        <v>7.21410462052516</v>
      </c>
      <c r="P380" s="232">
        <v>-28.35</v>
      </c>
      <c r="Q380" s="35">
        <v>8.291926453331655E-3</v>
      </c>
      <c r="R380" s="232">
        <v>1823.16</v>
      </c>
      <c r="S380" s="35">
        <v>0.22009564780231639</v>
      </c>
      <c r="T380" s="232">
        <v>26446.63</v>
      </c>
      <c r="U380" s="35">
        <v>1.0551672927585996</v>
      </c>
      <c r="W380" s="35">
        <f t="shared" si="37"/>
        <v>442.94632266658277</v>
      </c>
      <c r="X380" s="35">
        <f t="shared" si="38"/>
        <v>9181.6223901158191</v>
      </c>
      <c r="Y380" s="35">
        <f t="shared" si="39"/>
        <v>26311.734637929974</v>
      </c>
      <c r="Z380" s="35">
        <f t="shared" si="40"/>
        <v>0</v>
      </c>
      <c r="AA380" s="35">
        <f t="shared" si="41"/>
        <v>0</v>
      </c>
      <c r="AB380" s="35">
        <f t="shared" si="42"/>
        <v>1</v>
      </c>
    </row>
    <row r="381" spans="1:28">
      <c r="A381" s="35">
        <v>370</v>
      </c>
      <c r="B381" s="35">
        <v>3.7216719592354422E-4</v>
      </c>
      <c r="C381" s="232">
        <v>55.15</v>
      </c>
      <c r="D381" s="35">
        <v>5.058054122114898</v>
      </c>
      <c r="E381" s="232">
        <v>34.130000000000003</v>
      </c>
      <c r="F381" s="35">
        <v>5.0490439076886959</v>
      </c>
      <c r="G381" s="232">
        <v>12067.62</v>
      </c>
      <c r="H381" s="35">
        <v>9.0142024679434751</v>
      </c>
      <c r="I381" s="232">
        <v>13265.01</v>
      </c>
      <c r="J381" s="35">
        <v>7.4214755045904228</v>
      </c>
      <c r="K381" s="232">
        <v>14375.92</v>
      </c>
      <c r="L381" s="35">
        <v>8.6896335684039343</v>
      </c>
      <c r="M381" s="232">
        <v>40346.86</v>
      </c>
      <c r="N381" s="35">
        <v>7.5416133626241901</v>
      </c>
      <c r="P381" s="232">
        <v>-21.02</v>
      </c>
      <c r="Q381" s="35">
        <v>9.01021442620209E-3</v>
      </c>
      <c r="R381" s="232">
        <v>1197.3900000000001</v>
      </c>
      <c r="S381" s="35">
        <v>1.5927269633530523</v>
      </c>
      <c r="T381" s="232">
        <v>25970.94</v>
      </c>
      <c r="U381" s="35">
        <v>1.1480202057797442</v>
      </c>
      <c r="W381" s="35">
        <f t="shared" si="37"/>
        <v>471.53072131010447</v>
      </c>
      <c r="X381" s="35">
        <f t="shared" si="38"/>
        <v>78438.958167652614</v>
      </c>
      <c r="Y381" s="35">
        <f t="shared" si="39"/>
        <v>31430.070288987208</v>
      </c>
      <c r="Z381" s="35">
        <f t="shared" si="40"/>
        <v>0</v>
      </c>
      <c r="AA381" s="35">
        <f t="shared" si="41"/>
        <v>1</v>
      </c>
      <c r="AB381" s="35">
        <f t="shared" si="42"/>
        <v>0</v>
      </c>
    </row>
    <row r="382" spans="1:28">
      <c r="A382" s="35">
        <v>371</v>
      </c>
      <c r="B382" s="35">
        <v>3.9709821053802644E-4</v>
      </c>
      <c r="C382" s="232">
        <v>57.03</v>
      </c>
      <c r="D382" s="35">
        <v>5.0595887251772478</v>
      </c>
      <c r="E382" s="232">
        <v>33.06</v>
      </c>
      <c r="F382" s="35">
        <v>5.0490899632495747</v>
      </c>
      <c r="G382" s="232">
        <v>11782.17</v>
      </c>
      <c r="H382" s="35">
        <v>9.0433886391379463</v>
      </c>
      <c r="I382" s="232">
        <v>13764.56</v>
      </c>
      <c r="J382" s="35">
        <v>8.2095003141646021</v>
      </c>
      <c r="K382" s="232">
        <v>12248.84</v>
      </c>
      <c r="L382" s="35">
        <v>8.8678386790880044</v>
      </c>
      <c r="M382" s="232">
        <v>38148.839999999997</v>
      </c>
      <c r="N382" s="35">
        <v>7.6829230166901645</v>
      </c>
      <c r="P382" s="232">
        <v>-23.97</v>
      </c>
      <c r="Q382" s="35">
        <v>1.0498761927673073E-2</v>
      </c>
      <c r="R382" s="232">
        <v>1982.4</v>
      </c>
      <c r="S382" s="35">
        <v>0.8338883249733442</v>
      </c>
      <c r="T382" s="232">
        <v>25899.99</v>
      </c>
      <c r="U382" s="35">
        <v>1.1849156623978399</v>
      </c>
      <c r="W382" s="35">
        <f t="shared" si="37"/>
        <v>548.90809638365363</v>
      </c>
      <c r="X382" s="35">
        <f t="shared" si="38"/>
        <v>39712.016248667205</v>
      </c>
      <c r="Y382" s="35">
        <f t="shared" si="39"/>
        <v>33345.793119891998</v>
      </c>
      <c r="Z382" s="35">
        <f t="shared" si="40"/>
        <v>0</v>
      </c>
      <c r="AA382" s="35">
        <f t="shared" si="41"/>
        <v>1</v>
      </c>
      <c r="AB382" s="35">
        <f t="shared" si="42"/>
        <v>0</v>
      </c>
    </row>
    <row r="383" spans="1:28">
      <c r="A383" s="35">
        <v>372</v>
      </c>
      <c r="B383" s="35">
        <v>4.8226134245754615E-4</v>
      </c>
      <c r="C383" s="232">
        <v>49.2</v>
      </c>
      <c r="D383" s="35">
        <v>5.0644030698938147</v>
      </c>
      <c r="E383" s="232">
        <v>29.33</v>
      </c>
      <c r="F383" s="35">
        <v>5.0517352163705498</v>
      </c>
      <c r="G383" s="232">
        <v>8733.9699999999993</v>
      </c>
      <c r="H383" s="35">
        <v>9.1524479644155949</v>
      </c>
      <c r="I383" s="232">
        <v>11177.94</v>
      </c>
      <c r="J383" s="35">
        <v>7.4175751318249139</v>
      </c>
      <c r="K383" s="232">
        <v>8132.1</v>
      </c>
      <c r="L383" s="35">
        <v>8.7384384883123349</v>
      </c>
      <c r="M383" s="232">
        <v>33824.49</v>
      </c>
      <c r="N383" s="35">
        <v>7.6471134230131854</v>
      </c>
      <c r="P383" s="232">
        <v>-19.87</v>
      </c>
      <c r="Q383" s="35">
        <v>1.2667853523264938E-2</v>
      </c>
      <c r="R383" s="232">
        <v>2443.9699999999998</v>
      </c>
      <c r="S383" s="35">
        <v>1.734872832590681</v>
      </c>
      <c r="T383" s="232">
        <v>25692.39</v>
      </c>
      <c r="U383" s="35">
        <v>1.0913250652991495</v>
      </c>
      <c r="W383" s="35">
        <f t="shared" si="37"/>
        <v>653.26267616324697</v>
      </c>
      <c r="X383" s="35">
        <f t="shared" si="38"/>
        <v>84299.671629534045</v>
      </c>
      <c r="Y383" s="35">
        <f t="shared" si="39"/>
        <v>28873.863264957479</v>
      </c>
      <c r="Z383" s="35">
        <f t="shared" si="40"/>
        <v>0</v>
      </c>
      <c r="AA383" s="35">
        <f t="shared" si="41"/>
        <v>1</v>
      </c>
      <c r="AB383" s="35">
        <f t="shared" si="42"/>
        <v>0</v>
      </c>
    </row>
    <row r="384" spans="1:28">
      <c r="A384" s="35">
        <v>373</v>
      </c>
      <c r="B384" s="35">
        <v>4.8600577027557712E-4</v>
      </c>
      <c r="C384" s="232">
        <v>103.43</v>
      </c>
      <c r="D384" s="35">
        <v>5.0646106834753963</v>
      </c>
      <c r="E384" s="232">
        <v>61.75</v>
      </c>
      <c r="F384" s="35">
        <v>5.0529082089011021</v>
      </c>
      <c r="G384" s="232">
        <v>16441.46</v>
      </c>
      <c r="H384" s="35">
        <v>9.2284681881996207</v>
      </c>
      <c r="I384" s="232">
        <v>16916.189999999999</v>
      </c>
      <c r="J384" s="35">
        <v>8.2239597736500887</v>
      </c>
      <c r="K384" s="232">
        <v>21299.16</v>
      </c>
      <c r="L384" s="35">
        <v>8.5144479457482962</v>
      </c>
      <c r="M384" s="232">
        <v>47771.78</v>
      </c>
      <c r="N384" s="35">
        <v>7.407442307511487</v>
      </c>
      <c r="P384" s="232">
        <v>-41.68</v>
      </c>
      <c r="Q384" s="35">
        <v>1.1702474574294186E-2</v>
      </c>
      <c r="R384" s="232">
        <v>474.74</v>
      </c>
      <c r="S384" s="35">
        <v>1.004508414549532</v>
      </c>
      <c r="T384" s="232">
        <v>26472.62</v>
      </c>
      <c r="U384" s="35">
        <v>1.1070056382368092</v>
      </c>
      <c r="W384" s="35">
        <f t="shared" si="37"/>
        <v>626.80372871470922</v>
      </c>
      <c r="X384" s="35">
        <f t="shared" si="38"/>
        <v>49750.680727476603</v>
      </c>
      <c r="Y384" s="35">
        <f t="shared" si="39"/>
        <v>28877.66191184046</v>
      </c>
      <c r="Z384" s="35">
        <f t="shared" si="40"/>
        <v>0</v>
      </c>
      <c r="AA384" s="35">
        <f t="shared" si="41"/>
        <v>1</v>
      </c>
      <c r="AB384" s="35">
        <f t="shared" si="42"/>
        <v>0</v>
      </c>
    </row>
    <row r="385" spans="1:28">
      <c r="A385" s="35">
        <v>374</v>
      </c>
      <c r="B385" s="35">
        <v>4.8214919734845818E-4</v>
      </c>
      <c r="C385" s="232">
        <v>64.05</v>
      </c>
      <c r="D385" s="35">
        <v>5.06427255461473</v>
      </c>
      <c r="E385" s="232">
        <v>38.68</v>
      </c>
      <c r="F385" s="35">
        <v>5.0523287287120802</v>
      </c>
      <c r="G385" s="232">
        <v>10718.18</v>
      </c>
      <c r="H385" s="35">
        <v>8.9553227133336559</v>
      </c>
      <c r="I385" s="232">
        <v>12646.12</v>
      </c>
      <c r="J385" s="35">
        <v>8.3669033570194156</v>
      </c>
      <c r="K385" s="232">
        <v>12549.85</v>
      </c>
      <c r="L385" s="35">
        <v>8.8625665556476463</v>
      </c>
      <c r="M385" s="232">
        <v>38532.81</v>
      </c>
      <c r="N385" s="35">
        <v>7.7576595199887626</v>
      </c>
      <c r="P385" s="232">
        <v>-25.37</v>
      </c>
      <c r="Q385" s="35">
        <v>1.1943825902649863E-2</v>
      </c>
      <c r="R385" s="232">
        <v>1927.93</v>
      </c>
      <c r="S385" s="35">
        <v>0.58841935631424036</v>
      </c>
      <c r="T385" s="232">
        <v>25982.97</v>
      </c>
      <c r="U385" s="35">
        <v>1.1049070356588837</v>
      </c>
      <c r="W385" s="35">
        <f t="shared" si="37"/>
        <v>622.56129513249311</v>
      </c>
      <c r="X385" s="35">
        <f t="shared" si="38"/>
        <v>27493.037815712018</v>
      </c>
      <c r="Y385" s="35">
        <f t="shared" si="39"/>
        <v>29262.381782944183</v>
      </c>
      <c r="Z385" s="35">
        <f t="shared" si="40"/>
        <v>0</v>
      </c>
      <c r="AA385" s="35">
        <f t="shared" si="41"/>
        <v>0</v>
      </c>
      <c r="AB385" s="35">
        <f t="shared" si="42"/>
        <v>1</v>
      </c>
    </row>
    <row r="386" spans="1:28">
      <c r="A386" s="35">
        <v>375</v>
      </c>
      <c r="B386" s="35">
        <v>4.2684194431992663E-4</v>
      </c>
      <c r="C386" s="232">
        <v>58.85</v>
      </c>
      <c r="D386" s="35">
        <v>5.0613074420550772</v>
      </c>
      <c r="E386" s="232">
        <v>34.159999999999997</v>
      </c>
      <c r="F386" s="35">
        <v>5.0500421002546023</v>
      </c>
      <c r="G386" s="232">
        <v>10517.45</v>
      </c>
      <c r="H386" s="35">
        <v>8.9708186622907586</v>
      </c>
      <c r="I386" s="232">
        <v>11793.69</v>
      </c>
      <c r="J386" s="35">
        <v>8.1567200236741009</v>
      </c>
      <c r="K386" s="232">
        <v>14457.9</v>
      </c>
      <c r="L386" s="35">
        <v>9.046603013247843</v>
      </c>
      <c r="M386" s="232">
        <v>40574.43</v>
      </c>
      <c r="N386" s="35">
        <v>7.9082350390558283</v>
      </c>
      <c r="P386" s="232">
        <v>-24.69</v>
      </c>
      <c r="Q386" s="35">
        <v>1.1265341800474893E-2</v>
      </c>
      <c r="R386" s="232">
        <v>1276.24</v>
      </c>
      <c r="S386" s="35">
        <v>0.81409863861665777</v>
      </c>
      <c r="T386" s="232">
        <v>26116.52</v>
      </c>
      <c r="U386" s="35">
        <v>1.1383679741920147</v>
      </c>
      <c r="W386" s="35">
        <f t="shared" si="37"/>
        <v>587.95709002374474</v>
      </c>
      <c r="X386" s="35">
        <f t="shared" si="38"/>
        <v>39428.691930832887</v>
      </c>
      <c r="Y386" s="35">
        <f t="shared" si="39"/>
        <v>30801.87870960074</v>
      </c>
      <c r="Z386" s="35">
        <f t="shared" si="40"/>
        <v>0</v>
      </c>
      <c r="AA386" s="35">
        <f t="shared" si="41"/>
        <v>1</v>
      </c>
      <c r="AB386" s="35">
        <f t="shared" si="42"/>
        <v>0</v>
      </c>
    </row>
    <row r="387" spans="1:28">
      <c r="A387" s="35">
        <v>376</v>
      </c>
      <c r="B387" s="35">
        <v>4.1114469720081065E-4</v>
      </c>
      <c r="C387" s="232">
        <v>57.91</v>
      </c>
      <c r="D387" s="35">
        <v>5.0574489165421488</v>
      </c>
      <c r="E387" s="232">
        <v>34.22</v>
      </c>
      <c r="F387" s="35">
        <v>5.0482233644809362</v>
      </c>
      <c r="G387" s="232">
        <v>10945.96</v>
      </c>
      <c r="H387" s="35">
        <v>8.2757360782902545</v>
      </c>
      <c r="I387" s="232">
        <v>12592.84</v>
      </c>
      <c r="J387" s="35">
        <v>7.710062549877879</v>
      </c>
      <c r="K387" s="232">
        <v>14831.12</v>
      </c>
      <c r="L387" s="35">
        <v>8.4241710792560927</v>
      </c>
      <c r="M387" s="232">
        <v>41011.72</v>
      </c>
      <c r="N387" s="35">
        <v>7.381093288378282</v>
      </c>
      <c r="P387" s="232">
        <v>-23.7</v>
      </c>
      <c r="Q387" s="35">
        <v>9.2255520612125608E-3</v>
      </c>
      <c r="R387" s="232">
        <v>1646.88</v>
      </c>
      <c r="S387" s="35">
        <v>0.5656735284123755</v>
      </c>
      <c r="T387" s="232">
        <v>26180.6</v>
      </c>
      <c r="U387" s="35">
        <v>1.0430777908778106</v>
      </c>
      <c r="W387" s="35">
        <f t="shared" si="37"/>
        <v>484.97760306062804</v>
      </c>
      <c r="X387" s="35">
        <f t="shared" si="38"/>
        <v>26636.796420618775</v>
      </c>
      <c r="Y387" s="35">
        <f t="shared" si="39"/>
        <v>25973.289543890533</v>
      </c>
      <c r="Z387" s="35">
        <f t="shared" si="40"/>
        <v>0</v>
      </c>
      <c r="AA387" s="35">
        <f t="shared" si="41"/>
        <v>1</v>
      </c>
      <c r="AB387" s="35">
        <f t="shared" si="42"/>
        <v>0</v>
      </c>
    </row>
    <row r="388" spans="1:28">
      <c r="A388" s="35">
        <v>377</v>
      </c>
      <c r="B388" s="35">
        <v>3.0478833135829536E-4</v>
      </c>
      <c r="C388" s="232">
        <v>37.65</v>
      </c>
      <c r="D388" s="35">
        <v>5.0534410405544614</v>
      </c>
      <c r="E388" s="232">
        <v>26.66</v>
      </c>
      <c r="F388" s="35">
        <v>5.0474026809967558</v>
      </c>
      <c r="G388" s="232">
        <v>9977.56</v>
      </c>
      <c r="H388" s="35">
        <v>8.5006584981185256</v>
      </c>
      <c r="I388" s="232">
        <v>12052.4</v>
      </c>
      <c r="J388" s="35">
        <v>7.0676287639077282</v>
      </c>
      <c r="K388" s="232">
        <v>9443.99</v>
      </c>
      <c r="L388" s="35">
        <v>8.7697669374873861</v>
      </c>
      <c r="M388" s="232">
        <v>35198.74</v>
      </c>
      <c r="N388" s="35">
        <v>7.749155241261735</v>
      </c>
      <c r="P388" s="232">
        <v>-10.99</v>
      </c>
      <c r="Q388" s="35">
        <v>6.0383595577055971E-3</v>
      </c>
      <c r="R388" s="232">
        <v>2074.84</v>
      </c>
      <c r="S388" s="35">
        <v>1.4330297342107974</v>
      </c>
      <c r="T388" s="232">
        <v>25754.75</v>
      </c>
      <c r="U388" s="35">
        <v>1.0206116962256511</v>
      </c>
      <c r="W388" s="35">
        <f t="shared" si="37"/>
        <v>312.90797788527988</v>
      </c>
      <c r="X388" s="35">
        <f t="shared" si="38"/>
        <v>69576.646710539877</v>
      </c>
      <c r="Y388" s="35">
        <f t="shared" si="39"/>
        <v>25275.834811282555</v>
      </c>
      <c r="Z388" s="35">
        <f t="shared" si="40"/>
        <v>0</v>
      </c>
      <c r="AA388" s="35">
        <f t="shared" si="41"/>
        <v>1</v>
      </c>
      <c r="AB388" s="35">
        <f t="shared" si="42"/>
        <v>0</v>
      </c>
    </row>
    <row r="389" spans="1:28">
      <c r="A389" s="35">
        <v>378</v>
      </c>
      <c r="B389" s="35">
        <v>3.4103808127875336E-4</v>
      </c>
      <c r="C389" s="232">
        <v>49.97</v>
      </c>
      <c r="D389" s="35">
        <v>5.0554852558684029</v>
      </c>
      <c r="E389" s="232">
        <v>30.02</v>
      </c>
      <c r="F389" s="35">
        <v>5.0471839977675881</v>
      </c>
      <c r="G389" s="232">
        <v>11586.77</v>
      </c>
      <c r="H389" s="35">
        <v>8.9042073052127115</v>
      </c>
      <c r="I389" s="232">
        <v>13458.77</v>
      </c>
      <c r="J389" s="35">
        <v>8.5392169846163259</v>
      </c>
      <c r="K389" s="232">
        <v>14438.5</v>
      </c>
      <c r="L389" s="35">
        <v>8.2418927803690796</v>
      </c>
      <c r="M389" s="232">
        <v>40409.93</v>
      </c>
      <c r="N389" s="35">
        <v>7.1361138852409605</v>
      </c>
      <c r="P389" s="232">
        <v>-19.96</v>
      </c>
      <c r="Q389" s="35">
        <v>8.3012581008148345E-3</v>
      </c>
      <c r="R389" s="232">
        <v>1872</v>
      </c>
      <c r="S389" s="35">
        <v>0.36499032059638559</v>
      </c>
      <c r="T389" s="232">
        <v>25971.43</v>
      </c>
      <c r="U389" s="35">
        <v>1.1057788951281191</v>
      </c>
      <c r="W389" s="35">
        <f t="shared" si="37"/>
        <v>435.0229050407417</v>
      </c>
      <c r="X389" s="35">
        <f t="shared" si="38"/>
        <v>16377.516029819279</v>
      </c>
      <c r="Y389" s="35">
        <f t="shared" si="39"/>
        <v>29317.514756405952</v>
      </c>
      <c r="Z389" s="35">
        <f t="shared" si="40"/>
        <v>0</v>
      </c>
      <c r="AA389" s="35">
        <f t="shared" si="41"/>
        <v>0</v>
      </c>
      <c r="AB389" s="35">
        <f t="shared" si="42"/>
        <v>1</v>
      </c>
    </row>
    <row r="390" spans="1:28">
      <c r="A390" s="35">
        <v>379</v>
      </c>
      <c r="B390" s="35">
        <v>4.5959732666411846E-4</v>
      </c>
      <c r="C390" s="232">
        <v>87.27</v>
      </c>
      <c r="D390" s="35">
        <v>5.0630958202590142</v>
      </c>
      <c r="E390" s="232">
        <v>57.27</v>
      </c>
      <c r="F390" s="35">
        <v>5.0533856851096708</v>
      </c>
      <c r="G390" s="232">
        <v>14071.77</v>
      </c>
      <c r="H390" s="35">
        <v>8.9817325052565895</v>
      </c>
      <c r="I390" s="232">
        <v>14175.68</v>
      </c>
      <c r="J390" s="35">
        <v>7.9238908779256816</v>
      </c>
      <c r="K390" s="232">
        <v>20721.16</v>
      </c>
      <c r="L390" s="35">
        <v>8.6188125671277938</v>
      </c>
      <c r="M390" s="232">
        <v>47109.13</v>
      </c>
      <c r="N390" s="35">
        <v>7.4389657839824981</v>
      </c>
      <c r="P390" s="232">
        <v>-30</v>
      </c>
      <c r="Q390" s="35">
        <v>9.7101351493433796E-3</v>
      </c>
      <c r="R390" s="232">
        <v>103.91</v>
      </c>
      <c r="S390" s="35">
        <v>1.0578416273309079</v>
      </c>
      <c r="T390" s="232">
        <v>26387.98</v>
      </c>
      <c r="U390" s="35">
        <v>1.1798467831452957</v>
      </c>
      <c r="W390" s="35">
        <f t="shared" si="37"/>
        <v>515.506757467169</v>
      </c>
      <c r="X390" s="35">
        <f t="shared" si="38"/>
        <v>52788.171366545394</v>
      </c>
      <c r="Y390" s="35">
        <f t="shared" si="39"/>
        <v>32604.359157264782</v>
      </c>
      <c r="Z390" s="35">
        <f t="shared" si="40"/>
        <v>0</v>
      </c>
      <c r="AA390" s="35">
        <f t="shared" si="41"/>
        <v>1</v>
      </c>
      <c r="AB390" s="35">
        <f t="shared" si="42"/>
        <v>0</v>
      </c>
    </row>
    <row r="391" spans="1:28">
      <c r="A391" s="35">
        <v>380</v>
      </c>
      <c r="B391" s="35">
        <v>4.4767735380890628E-4</v>
      </c>
      <c r="C391" s="232">
        <v>79.760000000000005</v>
      </c>
      <c r="D391" s="35">
        <v>5.0630684069271865</v>
      </c>
      <c r="E391" s="232">
        <v>44.93</v>
      </c>
      <c r="F391" s="35">
        <v>5.0509322775186662</v>
      </c>
      <c r="G391" s="232">
        <v>14023.99</v>
      </c>
      <c r="H391" s="35">
        <v>9.0791235405487711</v>
      </c>
      <c r="I391" s="232">
        <v>14627.97</v>
      </c>
      <c r="J391" s="35">
        <v>7.6259537475972081</v>
      </c>
      <c r="K391" s="232">
        <v>18301.560000000001</v>
      </c>
      <c r="L391" s="35">
        <v>9.0491747885979326</v>
      </c>
      <c r="M391" s="232">
        <v>44708.23</v>
      </c>
      <c r="N391" s="35">
        <v>7.902002343896366</v>
      </c>
      <c r="P391" s="232">
        <v>-34.83</v>
      </c>
      <c r="Q391" s="35">
        <v>1.2136129408520269E-2</v>
      </c>
      <c r="R391" s="232">
        <v>603.97</v>
      </c>
      <c r="S391" s="35">
        <v>1.453169792951563</v>
      </c>
      <c r="T391" s="232">
        <v>26406.67</v>
      </c>
      <c r="U391" s="35">
        <v>1.1471724447015665</v>
      </c>
      <c r="W391" s="35">
        <f t="shared" si="37"/>
        <v>641.63647042601349</v>
      </c>
      <c r="X391" s="35">
        <f t="shared" si="38"/>
        <v>72054.519647578156</v>
      </c>
      <c r="Y391" s="35">
        <f t="shared" si="39"/>
        <v>30951.95223507833</v>
      </c>
      <c r="Z391" s="35">
        <f t="shared" si="40"/>
        <v>0</v>
      </c>
      <c r="AA391" s="35">
        <f t="shared" si="41"/>
        <v>1</v>
      </c>
      <c r="AB391" s="35">
        <f t="shared" si="42"/>
        <v>0</v>
      </c>
    </row>
    <row r="392" spans="1:28">
      <c r="A392" s="35">
        <v>381</v>
      </c>
      <c r="B392" s="35">
        <v>4.0167591510406652E-4</v>
      </c>
      <c r="C392" s="232">
        <v>56.44</v>
      </c>
      <c r="D392" s="35">
        <v>5.0586254630193803</v>
      </c>
      <c r="E392" s="232">
        <v>36.28</v>
      </c>
      <c r="F392" s="35">
        <v>5.0498869100174915</v>
      </c>
      <c r="G392" s="232">
        <v>10403.799999999999</v>
      </c>
      <c r="H392" s="35">
        <v>8.6417963262604456</v>
      </c>
      <c r="I392" s="232">
        <v>11871.75</v>
      </c>
      <c r="J392" s="35">
        <v>8.053520137486073</v>
      </c>
      <c r="K392" s="232">
        <v>14437.01</v>
      </c>
      <c r="L392" s="35">
        <v>8.7485815030399827</v>
      </c>
      <c r="M392" s="232">
        <v>40564.879999999997</v>
      </c>
      <c r="N392" s="35">
        <v>7.7326012144249354</v>
      </c>
      <c r="P392" s="232">
        <v>-20.16</v>
      </c>
      <c r="Q392" s="35">
        <v>8.7385530018888602E-3</v>
      </c>
      <c r="R392" s="232">
        <v>1467.96</v>
      </c>
      <c r="S392" s="35">
        <v>0.5882761887743726</v>
      </c>
      <c r="T392" s="232">
        <v>26127.87</v>
      </c>
      <c r="U392" s="35">
        <v>1.0159802886150473</v>
      </c>
      <c r="W392" s="35">
        <f t="shared" si="37"/>
        <v>457.08765009444306</v>
      </c>
      <c r="X392" s="35">
        <f t="shared" si="38"/>
        <v>27945.849438718629</v>
      </c>
      <c r="Y392" s="35">
        <f t="shared" si="39"/>
        <v>24671.144430752367</v>
      </c>
      <c r="Z392" s="35">
        <f t="shared" si="40"/>
        <v>0</v>
      </c>
      <c r="AA392" s="35">
        <f t="shared" si="41"/>
        <v>1</v>
      </c>
      <c r="AB392" s="35">
        <f t="shared" si="42"/>
        <v>0</v>
      </c>
    </row>
    <row r="393" spans="1:28">
      <c r="A393" s="35">
        <v>382</v>
      </c>
      <c r="B393" s="35">
        <v>3.9139609689549029E-4</v>
      </c>
      <c r="C393" s="232">
        <v>56.87</v>
      </c>
      <c r="D393" s="35">
        <v>5.0592905403379174</v>
      </c>
      <c r="E393" s="232">
        <v>39.54</v>
      </c>
      <c r="F393" s="35">
        <v>5.0514045621972148</v>
      </c>
      <c r="G393" s="232">
        <v>11871.21</v>
      </c>
      <c r="H393" s="35">
        <v>8.9726960748527365</v>
      </c>
      <c r="I393" s="232">
        <v>13926.98</v>
      </c>
      <c r="J393" s="35">
        <v>7.7173919479572515</v>
      </c>
      <c r="K393" s="232">
        <v>11990.11</v>
      </c>
      <c r="L393" s="35">
        <v>8.6291199504901837</v>
      </c>
      <c r="M393" s="232">
        <v>37939.019999999997</v>
      </c>
      <c r="N393" s="35">
        <v>7.4714026027558438</v>
      </c>
      <c r="P393" s="232">
        <v>-17.32</v>
      </c>
      <c r="Q393" s="35">
        <v>7.8859781407025764E-3</v>
      </c>
      <c r="R393" s="232">
        <v>2055.77</v>
      </c>
      <c r="S393" s="35">
        <v>1.255304126895485</v>
      </c>
      <c r="T393" s="232">
        <v>25948.91</v>
      </c>
      <c r="U393" s="35">
        <v>1.1577173477343399</v>
      </c>
      <c r="W393" s="35">
        <f t="shared" si="37"/>
        <v>411.61890703512881</v>
      </c>
      <c r="X393" s="35">
        <f t="shared" si="38"/>
        <v>60709.436344774251</v>
      </c>
      <c r="Y393" s="35">
        <f t="shared" si="39"/>
        <v>31936.957386716993</v>
      </c>
      <c r="Z393" s="35">
        <f t="shared" si="40"/>
        <v>0</v>
      </c>
      <c r="AA393" s="35">
        <f t="shared" si="41"/>
        <v>1</v>
      </c>
      <c r="AB393" s="35">
        <f t="shared" si="42"/>
        <v>0</v>
      </c>
    </row>
    <row r="394" spans="1:28">
      <c r="A394" s="35">
        <v>383</v>
      </c>
      <c r="B394" s="35">
        <v>4.0113230813257973E-4</v>
      </c>
      <c r="C394" s="232">
        <v>64.22</v>
      </c>
      <c r="D394" s="35">
        <v>5.058757887546129</v>
      </c>
      <c r="E394" s="232">
        <v>38.68</v>
      </c>
      <c r="F394" s="35">
        <v>5.0492825725826824</v>
      </c>
      <c r="G394" s="232">
        <v>12992.59</v>
      </c>
      <c r="H394" s="35">
        <v>8.4898472239725802</v>
      </c>
      <c r="I394" s="232">
        <v>14389.29</v>
      </c>
      <c r="J394" s="35">
        <v>6.9090391025310867</v>
      </c>
      <c r="K394" s="232">
        <v>15154.55</v>
      </c>
      <c r="L394" s="35">
        <v>8.9215028114534825</v>
      </c>
      <c r="M394" s="232">
        <v>41249.360000000001</v>
      </c>
      <c r="N394" s="35">
        <v>7.796037591178262</v>
      </c>
      <c r="P394" s="232">
        <v>-25.54</v>
      </c>
      <c r="Q394" s="35">
        <v>9.4753149634465572E-3</v>
      </c>
      <c r="R394" s="232">
        <v>1396.71</v>
      </c>
      <c r="S394" s="35">
        <v>1.5808081214414935</v>
      </c>
      <c r="T394" s="232">
        <v>26094.81</v>
      </c>
      <c r="U394" s="35">
        <v>1.1254652202752204</v>
      </c>
      <c r="W394" s="35">
        <f t="shared" si="37"/>
        <v>499.30574817232787</v>
      </c>
      <c r="X394" s="35">
        <f t="shared" si="38"/>
        <v>77643.696072074672</v>
      </c>
      <c r="Y394" s="35">
        <f t="shared" si="39"/>
        <v>30178.451013761023</v>
      </c>
      <c r="Z394" s="35">
        <f t="shared" si="40"/>
        <v>0</v>
      </c>
      <c r="AA394" s="35">
        <f t="shared" si="41"/>
        <v>1</v>
      </c>
      <c r="AB394" s="35">
        <f t="shared" si="42"/>
        <v>0</v>
      </c>
    </row>
    <row r="395" spans="1:28">
      <c r="A395" s="35">
        <v>384</v>
      </c>
      <c r="B395" s="35">
        <v>4.1498537687577585E-4</v>
      </c>
      <c r="C395" s="232">
        <v>73.8</v>
      </c>
      <c r="D395" s="35">
        <v>5.060987771603326</v>
      </c>
      <c r="E395" s="232">
        <v>42.43</v>
      </c>
      <c r="F395" s="35">
        <v>5.0500367265418742</v>
      </c>
      <c r="G395" s="232">
        <v>13224.85</v>
      </c>
      <c r="H395" s="35">
        <v>8.9900119737814155</v>
      </c>
      <c r="I395" s="232">
        <v>12626.06</v>
      </c>
      <c r="J395" s="35">
        <v>7.3400594040506304</v>
      </c>
      <c r="K395" s="232">
        <v>19195.3</v>
      </c>
      <c r="L395" s="35">
        <v>9.1867663462005211</v>
      </c>
      <c r="M395" s="232">
        <v>45608.77</v>
      </c>
      <c r="N395" s="35">
        <v>8.092064923300585</v>
      </c>
      <c r="P395" s="232">
        <v>-31.37</v>
      </c>
      <c r="Q395" s="35">
        <v>1.0951045061451836E-2</v>
      </c>
      <c r="R395" s="232">
        <v>-598.79</v>
      </c>
      <c r="S395" s="35">
        <v>1.6499525697307851</v>
      </c>
      <c r="T395" s="232">
        <v>26413.47</v>
      </c>
      <c r="U395" s="35">
        <v>1.0947014228999361</v>
      </c>
      <c r="W395" s="35">
        <f t="shared" si="37"/>
        <v>578.92225307259184</v>
      </c>
      <c r="X395" s="35">
        <f t="shared" si="38"/>
        <v>83096.418486539245</v>
      </c>
      <c r="Y395" s="35">
        <f t="shared" si="39"/>
        <v>28321.601144996806</v>
      </c>
      <c r="Z395" s="35">
        <f t="shared" si="40"/>
        <v>0</v>
      </c>
      <c r="AA395" s="35">
        <f t="shared" si="41"/>
        <v>1</v>
      </c>
      <c r="AB395" s="35">
        <f t="shared" si="42"/>
        <v>0</v>
      </c>
    </row>
    <row r="396" spans="1:28">
      <c r="A396" s="35">
        <v>385</v>
      </c>
      <c r="B396" s="35">
        <v>4.1688287603175602E-4</v>
      </c>
      <c r="C396" s="232">
        <v>81.75</v>
      </c>
      <c r="D396" s="35">
        <v>5.0611551779513055</v>
      </c>
      <c r="E396" s="232">
        <v>46.12</v>
      </c>
      <c r="F396" s="35">
        <v>5.0499873014709173</v>
      </c>
      <c r="G396" s="232">
        <v>15282.22</v>
      </c>
      <c r="H396" s="35">
        <v>9.2579133275227914</v>
      </c>
      <c r="I396" s="232">
        <v>15250.85</v>
      </c>
      <c r="J396" s="35">
        <v>7.7350419231101135</v>
      </c>
      <c r="K396" s="232">
        <v>19363.38</v>
      </c>
      <c r="L396" s="35">
        <v>8.7644450707832888</v>
      </c>
      <c r="M396" s="232">
        <v>45650.29</v>
      </c>
      <c r="N396" s="35">
        <v>7.6144426343075944</v>
      </c>
      <c r="P396" s="232">
        <v>-35.630000000000003</v>
      </c>
      <c r="Q396" s="35">
        <v>1.1167876480388195E-2</v>
      </c>
      <c r="R396" s="232">
        <v>-31.37</v>
      </c>
      <c r="S396" s="35">
        <v>1.5228714044126779</v>
      </c>
      <c r="T396" s="232">
        <v>26286.91</v>
      </c>
      <c r="U396" s="35">
        <v>1.1500024364756944</v>
      </c>
      <c r="W396" s="35">
        <f t="shared" ref="W396:W459" si="43">$X$2*Q396-P396</f>
        <v>594.02382401940974</v>
      </c>
      <c r="X396" s="35">
        <f t="shared" ref="X396:X459" si="44">$X$2*S396-R396</f>
        <v>76174.940220633885</v>
      </c>
      <c r="Y396" s="35">
        <f t="shared" ref="Y396:Y459" si="45">$X$2*U396-T396</f>
        <v>31213.211823784721</v>
      </c>
      <c r="Z396" s="35">
        <f t="shared" ref="Z396:Z459" si="46">IF(W396=MAX($W396:$Y396), 1, 0)</f>
        <v>0</v>
      </c>
      <c r="AA396" s="35">
        <f t="shared" ref="AA396:AA459" si="47">IF(X396=MAX($W396:$Y396), 1, 0)</f>
        <v>1</v>
      </c>
      <c r="AB396" s="35">
        <f t="shared" ref="AB396:AB459" si="48">IF(Y396=MAX($W396:$Y396), 1, 0)</f>
        <v>0</v>
      </c>
    </row>
    <row r="397" spans="1:28">
      <c r="A397" s="35">
        <v>386</v>
      </c>
      <c r="B397" s="35">
        <v>3.6559870081574877E-4</v>
      </c>
      <c r="C397" s="232">
        <v>35.94</v>
      </c>
      <c r="D397" s="35">
        <v>5.0572216644757226</v>
      </c>
      <c r="E397" s="232">
        <v>24.41</v>
      </c>
      <c r="F397" s="35">
        <v>5.0490611535111682</v>
      </c>
      <c r="G397" s="232">
        <v>7921.56</v>
      </c>
      <c r="H397" s="35">
        <v>8.9691589189517735</v>
      </c>
      <c r="I397" s="232">
        <v>10077.69</v>
      </c>
      <c r="J397" s="35">
        <v>8.0702241750149994</v>
      </c>
      <c r="K397" s="232">
        <v>7134.52</v>
      </c>
      <c r="L397" s="35">
        <v>8.3617411275617339</v>
      </c>
      <c r="M397" s="232">
        <v>32801.74</v>
      </c>
      <c r="N397" s="35">
        <v>7.232358513202092</v>
      </c>
      <c r="P397" s="232">
        <v>-11.54</v>
      </c>
      <c r="Q397" s="35">
        <v>8.1605109645543905E-3</v>
      </c>
      <c r="R397" s="232">
        <v>2156.12</v>
      </c>
      <c r="S397" s="35">
        <v>0.89893474393677408</v>
      </c>
      <c r="T397" s="232">
        <v>25667.22</v>
      </c>
      <c r="U397" s="35">
        <v>1.1293826143596419</v>
      </c>
      <c r="W397" s="35">
        <f t="shared" si="43"/>
        <v>419.56554822771955</v>
      </c>
      <c r="X397" s="35">
        <f t="shared" si="44"/>
        <v>42790.617196838699</v>
      </c>
      <c r="Y397" s="35">
        <f t="shared" si="45"/>
        <v>30801.910717982093</v>
      </c>
      <c r="Z397" s="35">
        <f t="shared" si="46"/>
        <v>0</v>
      </c>
      <c r="AA397" s="35">
        <f t="shared" si="47"/>
        <v>1</v>
      </c>
      <c r="AB397" s="35">
        <f t="shared" si="48"/>
        <v>0</v>
      </c>
    </row>
    <row r="398" spans="1:28">
      <c r="A398" s="35">
        <v>387</v>
      </c>
      <c r="B398" s="35">
        <v>4.5234182538744783E-4</v>
      </c>
      <c r="C398" s="232">
        <v>46.93</v>
      </c>
      <c r="D398" s="35">
        <v>5.0614088726370632</v>
      </c>
      <c r="E398" s="232">
        <v>28.96</v>
      </c>
      <c r="F398" s="35">
        <v>5.0505805915422037</v>
      </c>
      <c r="G398" s="232">
        <v>8187.17</v>
      </c>
      <c r="H398" s="35">
        <v>8.6721770922224355</v>
      </c>
      <c r="I398" s="232">
        <v>10116.370000000001</v>
      </c>
      <c r="J398" s="35">
        <v>7.5411367468928256</v>
      </c>
      <c r="K398" s="232">
        <v>7807.71</v>
      </c>
      <c r="L398" s="35">
        <v>8.7181506614961943</v>
      </c>
      <c r="M398" s="232">
        <v>33481.199999999997</v>
      </c>
      <c r="N398" s="35">
        <v>7.5339740056916487</v>
      </c>
      <c r="P398" s="232">
        <v>-17.97</v>
      </c>
      <c r="Q398" s="35">
        <v>1.0828281094859449E-2</v>
      </c>
      <c r="R398" s="232">
        <v>1929.21</v>
      </c>
      <c r="S398" s="35">
        <v>1.1310403453296098</v>
      </c>
      <c r="T398" s="232">
        <v>25673.48</v>
      </c>
      <c r="U398" s="35">
        <v>1.1841766558045457</v>
      </c>
      <c r="W398" s="35">
        <f t="shared" si="43"/>
        <v>559.38405474297247</v>
      </c>
      <c r="X398" s="35">
        <f t="shared" si="44"/>
        <v>54622.807266480493</v>
      </c>
      <c r="Y398" s="35">
        <f t="shared" si="45"/>
        <v>33535.352790227291</v>
      </c>
      <c r="Z398" s="35">
        <f t="shared" si="46"/>
        <v>0</v>
      </c>
      <c r="AA398" s="35">
        <f t="shared" si="47"/>
        <v>1</v>
      </c>
      <c r="AB398" s="35">
        <f t="shared" si="48"/>
        <v>0</v>
      </c>
    </row>
    <row r="399" spans="1:28">
      <c r="A399" s="35">
        <v>388</v>
      </c>
      <c r="B399" s="35">
        <v>4.9842890654094862E-4</v>
      </c>
      <c r="C399" s="232">
        <v>78.400000000000006</v>
      </c>
      <c r="D399" s="35">
        <v>5.0616749245170958</v>
      </c>
      <c r="E399" s="232">
        <v>45.11</v>
      </c>
      <c r="F399" s="35">
        <v>5.0504780430345475</v>
      </c>
      <c r="G399" s="232">
        <v>12395.9</v>
      </c>
      <c r="H399" s="35">
        <v>8.102706494900259</v>
      </c>
      <c r="I399" s="232">
        <v>13662.61</v>
      </c>
      <c r="J399" s="35">
        <v>7.0745544483852969</v>
      </c>
      <c r="K399" s="232">
        <v>16318.8</v>
      </c>
      <c r="L399" s="35">
        <v>8.5909696130521205</v>
      </c>
      <c r="M399" s="232">
        <v>42564.23</v>
      </c>
      <c r="N399" s="35">
        <v>7.4356215499146012</v>
      </c>
      <c r="P399" s="232">
        <v>-33.29</v>
      </c>
      <c r="Q399" s="35">
        <v>1.1196881482548271E-2</v>
      </c>
      <c r="R399" s="232">
        <v>1266.71</v>
      </c>
      <c r="S399" s="35">
        <v>1.0281520465149621</v>
      </c>
      <c r="T399" s="232">
        <v>26245.42</v>
      </c>
      <c r="U399" s="35">
        <v>1.1553480631375193</v>
      </c>
      <c r="W399" s="35">
        <f t="shared" si="43"/>
        <v>593.13407412741356</v>
      </c>
      <c r="X399" s="35">
        <f t="shared" si="44"/>
        <v>50140.892325748107</v>
      </c>
      <c r="Y399" s="35">
        <f t="shared" si="45"/>
        <v>31521.983156875962</v>
      </c>
      <c r="Z399" s="35">
        <f t="shared" si="46"/>
        <v>0</v>
      </c>
      <c r="AA399" s="35">
        <f t="shared" si="47"/>
        <v>1</v>
      </c>
      <c r="AB399" s="35">
        <f t="shared" si="48"/>
        <v>0</v>
      </c>
    </row>
    <row r="400" spans="1:28">
      <c r="A400" s="35">
        <v>389</v>
      </c>
      <c r="B400" s="35">
        <v>5.4946528157950869E-4</v>
      </c>
      <c r="C400" s="232">
        <v>84.18</v>
      </c>
      <c r="D400" s="35">
        <v>5.0629088024761462</v>
      </c>
      <c r="E400" s="232">
        <v>50.99</v>
      </c>
      <c r="F400" s="35">
        <v>5.0519699805146425</v>
      </c>
      <c r="G400" s="232">
        <v>10544.09</v>
      </c>
      <c r="H400" s="35">
        <v>7.9121680821547393</v>
      </c>
      <c r="I400" s="232">
        <v>10766.41</v>
      </c>
      <c r="J400" s="35">
        <v>6.8784522934672117</v>
      </c>
      <c r="K400" s="232">
        <v>16845.28</v>
      </c>
      <c r="L400" s="35">
        <v>8.4011563794285156</v>
      </c>
      <c r="M400" s="232">
        <v>43060.33</v>
      </c>
      <c r="N400" s="35">
        <v>7.3361906153258554</v>
      </c>
      <c r="P400" s="232">
        <v>-33.19</v>
      </c>
      <c r="Q400" s="35">
        <v>1.0938821961503642E-2</v>
      </c>
      <c r="R400" s="232">
        <v>222.33</v>
      </c>
      <c r="S400" s="35">
        <v>1.0337157886875277</v>
      </c>
      <c r="T400" s="232">
        <v>26215.05</v>
      </c>
      <c r="U400" s="35">
        <v>1.0649657641026602</v>
      </c>
      <c r="W400" s="35">
        <f t="shared" si="43"/>
        <v>580.13109807518208</v>
      </c>
      <c r="X400" s="35">
        <f t="shared" si="44"/>
        <v>51463.459434376382</v>
      </c>
      <c r="Y400" s="35">
        <f t="shared" si="45"/>
        <v>27033.23820513301</v>
      </c>
      <c r="Z400" s="35">
        <f t="shared" si="46"/>
        <v>0</v>
      </c>
      <c r="AA400" s="35">
        <f t="shared" si="47"/>
        <v>1</v>
      </c>
      <c r="AB400" s="35">
        <f t="shared" si="48"/>
        <v>0</v>
      </c>
    </row>
    <row r="401" spans="1:28">
      <c r="A401" s="35">
        <v>390</v>
      </c>
      <c r="B401" s="35">
        <v>3.6224903590754374E-4</v>
      </c>
      <c r="C401" s="232">
        <v>54.93</v>
      </c>
      <c r="D401" s="35">
        <v>5.0564555633366108</v>
      </c>
      <c r="E401" s="232">
        <v>35.18</v>
      </c>
      <c r="F401" s="35">
        <v>5.0485561391217804</v>
      </c>
      <c r="G401" s="232">
        <v>12842.64</v>
      </c>
      <c r="H401" s="35">
        <v>8.5496201241261982</v>
      </c>
      <c r="I401" s="232">
        <v>15649.17</v>
      </c>
      <c r="J401" s="35">
        <v>6.9601901984110279</v>
      </c>
      <c r="K401" s="232">
        <v>10691.01</v>
      </c>
      <c r="L401" s="35">
        <v>8.7118006062470528</v>
      </c>
      <c r="M401" s="232">
        <v>36510.28</v>
      </c>
      <c r="N401" s="35">
        <v>7.6875127323928787</v>
      </c>
      <c r="P401" s="232">
        <v>-19.75</v>
      </c>
      <c r="Q401" s="35">
        <v>7.899424214830475E-3</v>
      </c>
      <c r="R401" s="232">
        <v>2806.53</v>
      </c>
      <c r="S401" s="35">
        <v>1.5894299257151703</v>
      </c>
      <c r="T401" s="232">
        <v>25819.26</v>
      </c>
      <c r="U401" s="35">
        <v>1.0242878738541741</v>
      </c>
      <c r="W401" s="35">
        <f t="shared" si="43"/>
        <v>414.72121074152375</v>
      </c>
      <c r="X401" s="35">
        <f t="shared" si="44"/>
        <v>76664.966285758521</v>
      </c>
      <c r="Y401" s="35">
        <f t="shared" si="45"/>
        <v>25395.133692708707</v>
      </c>
      <c r="Z401" s="35">
        <f t="shared" si="46"/>
        <v>0</v>
      </c>
      <c r="AA401" s="35">
        <f t="shared" si="47"/>
        <v>1</v>
      </c>
      <c r="AB401" s="35">
        <f t="shared" si="48"/>
        <v>0</v>
      </c>
    </row>
    <row r="402" spans="1:28">
      <c r="A402" s="35">
        <v>391</v>
      </c>
      <c r="B402" s="35">
        <v>3.2762570610288131E-4</v>
      </c>
      <c r="C402" s="232">
        <v>45.32</v>
      </c>
      <c r="D402" s="35">
        <v>5.0560244692348402</v>
      </c>
      <c r="E402" s="232">
        <v>31.44</v>
      </c>
      <c r="F402" s="35">
        <v>5.0490166578618716</v>
      </c>
      <c r="G402" s="232">
        <v>10731.69</v>
      </c>
      <c r="H402" s="35">
        <v>8.9644374743377444</v>
      </c>
      <c r="I402" s="232">
        <v>11488.46</v>
      </c>
      <c r="J402" s="35">
        <v>7.5925025346317065</v>
      </c>
      <c r="K402" s="232">
        <v>15198.61</v>
      </c>
      <c r="L402" s="35">
        <v>8.8587804691433156</v>
      </c>
      <c r="M402" s="232">
        <v>41402</v>
      </c>
      <c r="N402" s="35">
        <v>7.7708808532086415</v>
      </c>
      <c r="P402" s="232">
        <v>-13.88</v>
      </c>
      <c r="Q402" s="35">
        <v>7.0078113729685754E-3</v>
      </c>
      <c r="R402" s="232">
        <v>756.78</v>
      </c>
      <c r="S402" s="35">
        <v>1.3719349397060379</v>
      </c>
      <c r="T402" s="232">
        <v>26203.39</v>
      </c>
      <c r="U402" s="35">
        <v>1.0878996159346741</v>
      </c>
      <c r="W402" s="35">
        <f t="shared" si="43"/>
        <v>364.27056864842876</v>
      </c>
      <c r="X402" s="35">
        <f t="shared" si="44"/>
        <v>67839.9669853019</v>
      </c>
      <c r="Y402" s="35">
        <f t="shared" si="45"/>
        <v>28191.590796733704</v>
      </c>
      <c r="Z402" s="35">
        <f t="shared" si="46"/>
        <v>0</v>
      </c>
      <c r="AA402" s="35">
        <f t="shared" si="47"/>
        <v>1</v>
      </c>
      <c r="AB402" s="35">
        <f t="shared" si="48"/>
        <v>0</v>
      </c>
    </row>
    <row r="403" spans="1:28">
      <c r="A403" s="35">
        <v>392</v>
      </c>
      <c r="B403" s="35">
        <v>4.8919220784404693E-4</v>
      </c>
      <c r="C403" s="232">
        <v>65.87</v>
      </c>
      <c r="D403" s="35">
        <v>5.0608715438343719</v>
      </c>
      <c r="E403" s="232">
        <v>46.02</v>
      </c>
      <c r="F403" s="35">
        <v>5.0526788004747107</v>
      </c>
      <c r="G403" s="232">
        <v>9907.16</v>
      </c>
      <c r="H403" s="35">
        <v>7.9754084264231455</v>
      </c>
      <c r="I403" s="232">
        <v>10754.56</v>
      </c>
      <c r="J403" s="35">
        <v>6.6675310883892269</v>
      </c>
      <c r="K403" s="232">
        <v>13257.34</v>
      </c>
      <c r="L403" s="35">
        <v>8.4973850094006966</v>
      </c>
      <c r="M403" s="232">
        <v>39290.44</v>
      </c>
      <c r="N403" s="35">
        <v>7.4263437230878564</v>
      </c>
      <c r="P403" s="232">
        <v>-19.850000000000001</v>
      </c>
      <c r="Q403" s="35">
        <v>8.1927433596611365E-3</v>
      </c>
      <c r="R403" s="232">
        <v>847.4</v>
      </c>
      <c r="S403" s="35">
        <v>1.3078773380339186</v>
      </c>
      <c r="T403" s="232">
        <v>26033.1</v>
      </c>
      <c r="U403" s="35">
        <v>1.0710412863128402</v>
      </c>
      <c r="W403" s="35">
        <f t="shared" si="43"/>
        <v>429.48716798305685</v>
      </c>
      <c r="X403" s="35">
        <f t="shared" si="44"/>
        <v>64546.466901695931</v>
      </c>
      <c r="Y403" s="35">
        <f t="shared" si="45"/>
        <v>27518.964315642013</v>
      </c>
      <c r="Z403" s="35">
        <f t="shared" si="46"/>
        <v>0</v>
      </c>
      <c r="AA403" s="35">
        <f t="shared" si="47"/>
        <v>1</v>
      </c>
      <c r="AB403" s="35">
        <f t="shared" si="48"/>
        <v>0</v>
      </c>
    </row>
    <row r="404" spans="1:28">
      <c r="A404" s="35">
        <v>393</v>
      </c>
      <c r="B404" s="35">
        <v>4.9088706501565493E-4</v>
      </c>
      <c r="C404" s="232">
        <v>81.290000000000006</v>
      </c>
      <c r="D404" s="35">
        <v>5.0629495590648981</v>
      </c>
      <c r="E404" s="232">
        <v>48.58</v>
      </c>
      <c r="F404" s="35">
        <v>5.0517491785430453</v>
      </c>
      <c r="G404" s="232">
        <v>12536.54</v>
      </c>
      <c r="H404" s="35">
        <v>8.5839370580725287</v>
      </c>
      <c r="I404" s="232">
        <v>12928.07</v>
      </c>
      <c r="J404" s="35">
        <v>7.0066232797456252</v>
      </c>
      <c r="K404" s="232">
        <v>15489.52</v>
      </c>
      <c r="L404" s="35">
        <v>8.6425059217986089</v>
      </c>
      <c r="M404" s="232">
        <v>41601.64</v>
      </c>
      <c r="N404" s="35">
        <v>7.5496464895249948</v>
      </c>
      <c r="P404" s="232">
        <v>-32.71</v>
      </c>
      <c r="Q404" s="35">
        <v>1.1200380521852793E-2</v>
      </c>
      <c r="R404" s="232">
        <v>391.54</v>
      </c>
      <c r="S404" s="35">
        <v>1.5773137783269036</v>
      </c>
      <c r="T404" s="232">
        <v>26112.12</v>
      </c>
      <c r="U404" s="35">
        <v>1.092859432273614</v>
      </c>
      <c r="W404" s="35">
        <f t="shared" si="43"/>
        <v>592.72902609263974</v>
      </c>
      <c r="X404" s="35">
        <f t="shared" si="44"/>
        <v>78474.148916345192</v>
      </c>
      <c r="Y404" s="35">
        <f t="shared" si="45"/>
        <v>28530.851613680705</v>
      </c>
      <c r="Z404" s="35">
        <f t="shared" si="46"/>
        <v>0</v>
      </c>
      <c r="AA404" s="35">
        <f t="shared" si="47"/>
        <v>1</v>
      </c>
      <c r="AB404" s="35">
        <f t="shared" si="48"/>
        <v>0</v>
      </c>
    </row>
    <row r="405" spans="1:28">
      <c r="A405" s="35">
        <v>394</v>
      </c>
      <c r="B405" s="35">
        <v>5.1230479377850635E-4</v>
      </c>
      <c r="C405" s="232">
        <v>83.12</v>
      </c>
      <c r="D405" s="35">
        <v>5.0666132125746115</v>
      </c>
      <c r="E405" s="232">
        <v>53.24</v>
      </c>
      <c r="F405" s="35">
        <v>5.0550332115457168</v>
      </c>
      <c r="G405" s="232">
        <v>12054.7</v>
      </c>
      <c r="H405" s="35">
        <v>8.9808660395999276</v>
      </c>
      <c r="I405" s="232">
        <v>12285.04</v>
      </c>
      <c r="J405" s="35">
        <v>7.5667700349084948</v>
      </c>
      <c r="K405" s="232">
        <v>16720.810000000001</v>
      </c>
      <c r="L405" s="35">
        <v>9.1757418031614808</v>
      </c>
      <c r="M405" s="232">
        <v>42957.120000000003</v>
      </c>
      <c r="N405" s="35">
        <v>8.1004722313044031</v>
      </c>
      <c r="P405" s="232">
        <v>-29.88</v>
      </c>
      <c r="Q405" s="35">
        <v>1.1580001028894671E-2</v>
      </c>
      <c r="R405" s="232">
        <v>230.34</v>
      </c>
      <c r="S405" s="35">
        <v>1.4140960046914328</v>
      </c>
      <c r="T405" s="232">
        <v>26236.3</v>
      </c>
      <c r="U405" s="35">
        <v>1.0752695718570777</v>
      </c>
      <c r="W405" s="35">
        <f t="shared" si="43"/>
        <v>608.88005144473357</v>
      </c>
      <c r="X405" s="35">
        <f t="shared" si="44"/>
        <v>70474.460234571641</v>
      </c>
      <c r="Y405" s="35">
        <f t="shared" si="45"/>
        <v>27527.178592853885</v>
      </c>
      <c r="Z405" s="35">
        <f t="shared" si="46"/>
        <v>0</v>
      </c>
      <c r="AA405" s="35">
        <f t="shared" si="47"/>
        <v>1</v>
      </c>
      <c r="AB405" s="35">
        <f t="shared" si="48"/>
        <v>0</v>
      </c>
    </row>
    <row r="406" spans="1:28">
      <c r="A406" s="35">
        <v>395</v>
      </c>
      <c r="B406" s="35">
        <v>2.8480506468526014E-4</v>
      </c>
      <c r="C406" s="232">
        <v>39.19</v>
      </c>
      <c r="D406" s="35">
        <v>5.0525240900358401</v>
      </c>
      <c r="E406" s="232">
        <v>28.59</v>
      </c>
      <c r="F406" s="35">
        <v>5.047208119015191</v>
      </c>
      <c r="G406" s="232">
        <v>10413.33</v>
      </c>
      <c r="H406" s="35">
        <v>8.8277018868742765</v>
      </c>
      <c r="I406" s="232">
        <v>10800.83</v>
      </c>
      <c r="J406" s="35">
        <v>7.1958933135754251</v>
      </c>
      <c r="K406" s="232">
        <v>12712.3</v>
      </c>
      <c r="L406" s="35">
        <v>8.1729192056052327</v>
      </c>
      <c r="M406" s="232">
        <v>38762.129999999997</v>
      </c>
      <c r="N406" s="35">
        <v>7.0513214800404889</v>
      </c>
      <c r="P406" s="232">
        <v>-10.61</v>
      </c>
      <c r="Q406" s="35">
        <v>5.3159710206491795E-3</v>
      </c>
      <c r="R406" s="232">
        <v>387.5</v>
      </c>
      <c r="S406" s="35">
        <v>1.6318085732988514</v>
      </c>
      <c r="T406" s="232">
        <v>26049.83</v>
      </c>
      <c r="U406" s="35">
        <v>1.1215977255647438</v>
      </c>
      <c r="W406" s="35">
        <f t="shared" si="43"/>
        <v>276.408551032459</v>
      </c>
      <c r="X406" s="35">
        <f t="shared" si="44"/>
        <v>81202.928664942578</v>
      </c>
      <c r="Y406" s="35">
        <f t="shared" si="45"/>
        <v>30030.056278237185</v>
      </c>
      <c r="Z406" s="35">
        <f t="shared" si="46"/>
        <v>0</v>
      </c>
      <c r="AA406" s="35">
        <f t="shared" si="47"/>
        <v>1</v>
      </c>
      <c r="AB406" s="35">
        <f t="shared" si="48"/>
        <v>0</v>
      </c>
    </row>
    <row r="407" spans="1:28">
      <c r="A407" s="35">
        <v>396</v>
      </c>
      <c r="B407" s="35">
        <v>3.9795524289852678E-4</v>
      </c>
      <c r="C407" s="232">
        <v>68.510000000000005</v>
      </c>
      <c r="D407" s="35">
        <v>5.0590128739550311</v>
      </c>
      <c r="E407" s="232">
        <v>51.73</v>
      </c>
      <c r="F407" s="35">
        <v>5.0527187104359363</v>
      </c>
      <c r="G407" s="232">
        <v>13142.95</v>
      </c>
      <c r="H407" s="35">
        <v>8.7676538452179997</v>
      </c>
      <c r="I407" s="232">
        <v>13500.44</v>
      </c>
      <c r="J407" s="35">
        <v>7.2893772832070853</v>
      </c>
      <c r="K407" s="232">
        <v>17339.240000000002</v>
      </c>
      <c r="L407" s="35">
        <v>8.4876732567810667</v>
      </c>
      <c r="M407" s="232">
        <v>43610.45</v>
      </c>
      <c r="N407" s="35">
        <v>7.3685074716738326</v>
      </c>
      <c r="P407" s="232">
        <v>-16.78</v>
      </c>
      <c r="Q407" s="35">
        <v>6.2941635190947309E-3</v>
      </c>
      <c r="R407" s="232">
        <v>357.49</v>
      </c>
      <c r="S407" s="35">
        <v>1.4782765620109144</v>
      </c>
      <c r="T407" s="232">
        <v>26271.21</v>
      </c>
      <c r="U407" s="35">
        <v>1.1191657851072341</v>
      </c>
      <c r="W407" s="35">
        <f t="shared" si="43"/>
        <v>331.48817595473656</v>
      </c>
      <c r="X407" s="35">
        <f t="shared" si="44"/>
        <v>73556.338100545719</v>
      </c>
      <c r="Y407" s="35">
        <f t="shared" si="45"/>
        <v>29687.079255361707</v>
      </c>
      <c r="Z407" s="35">
        <f t="shared" si="46"/>
        <v>0</v>
      </c>
      <c r="AA407" s="35">
        <f t="shared" si="47"/>
        <v>1</v>
      </c>
      <c r="AB407" s="35">
        <f t="shared" si="48"/>
        <v>0</v>
      </c>
    </row>
    <row r="408" spans="1:28">
      <c r="A408" s="35">
        <v>397</v>
      </c>
      <c r="B408" s="35">
        <v>2.5282501038783906E-4</v>
      </c>
      <c r="C408" s="232">
        <v>39.380000000000003</v>
      </c>
      <c r="D408" s="35">
        <v>5.0511592301681416</v>
      </c>
      <c r="E408" s="232">
        <v>25.85</v>
      </c>
      <c r="F408" s="35">
        <v>5.0453799709851923</v>
      </c>
      <c r="G408" s="232">
        <v>12253.2</v>
      </c>
      <c r="H408" s="35">
        <v>8.6034642827682006</v>
      </c>
      <c r="I408" s="232">
        <v>13657.73</v>
      </c>
      <c r="J408" s="35">
        <v>7.665262759046545</v>
      </c>
      <c r="K408" s="232">
        <v>15759.58</v>
      </c>
      <c r="L408" s="35">
        <v>8.9224908463279302</v>
      </c>
      <c r="M408" s="232">
        <v>41894.15</v>
      </c>
      <c r="N408" s="35">
        <v>7.8677122208290884</v>
      </c>
      <c r="P408" s="232">
        <v>-13.53</v>
      </c>
      <c r="Q408" s="35">
        <v>5.7792591829493034E-3</v>
      </c>
      <c r="R408" s="232">
        <v>1404.53</v>
      </c>
      <c r="S408" s="35">
        <v>0.93820152372165566</v>
      </c>
      <c r="T408" s="232">
        <v>26134.57</v>
      </c>
      <c r="U408" s="35">
        <v>1.0547786254988418</v>
      </c>
      <c r="W408" s="35">
        <f t="shared" si="43"/>
        <v>302.49295914746517</v>
      </c>
      <c r="X408" s="35">
        <f t="shared" si="44"/>
        <v>45505.546186082785</v>
      </c>
      <c r="Y408" s="35">
        <f t="shared" si="45"/>
        <v>26604.361274942094</v>
      </c>
      <c r="Z408" s="35">
        <f t="shared" si="46"/>
        <v>0</v>
      </c>
      <c r="AA408" s="35">
        <f t="shared" si="47"/>
        <v>1</v>
      </c>
      <c r="AB408" s="35">
        <f t="shared" si="48"/>
        <v>0</v>
      </c>
    </row>
    <row r="409" spans="1:28">
      <c r="A409" s="35">
        <v>398</v>
      </c>
      <c r="B409" s="35">
        <v>3.9189812817957395E-4</v>
      </c>
      <c r="C409" s="232">
        <v>41.52</v>
      </c>
      <c r="D409" s="35">
        <v>5.0595578504364456</v>
      </c>
      <c r="E409" s="232">
        <v>26.05</v>
      </c>
      <c r="F409" s="35">
        <v>5.0495899575278411</v>
      </c>
      <c r="G409" s="232">
        <v>8239.92</v>
      </c>
      <c r="H409" s="35">
        <v>9.2767582165962708</v>
      </c>
      <c r="I409" s="232">
        <v>10288.049999999999</v>
      </c>
      <c r="J409" s="35">
        <v>8.9836549647034349</v>
      </c>
      <c r="K409" s="232">
        <v>9449.61</v>
      </c>
      <c r="L409" s="35">
        <v>8.4635157728578285</v>
      </c>
      <c r="M409" s="232">
        <v>35361.01</v>
      </c>
      <c r="N409" s="35">
        <v>7.3317766871139849</v>
      </c>
      <c r="P409" s="232">
        <v>-15.47</v>
      </c>
      <c r="Q409" s="35">
        <v>9.9678929086044477E-3</v>
      </c>
      <c r="R409" s="232">
        <v>2048.13</v>
      </c>
      <c r="S409" s="35">
        <v>0.29310325189283581</v>
      </c>
      <c r="T409" s="232">
        <v>25911.4</v>
      </c>
      <c r="U409" s="35">
        <v>1.1317390857438436</v>
      </c>
      <c r="W409" s="35">
        <f t="shared" si="43"/>
        <v>513.86464543022237</v>
      </c>
      <c r="X409" s="35">
        <f t="shared" si="44"/>
        <v>12607.032594641791</v>
      </c>
      <c r="Y409" s="35">
        <f t="shared" si="45"/>
        <v>30675.554287192179</v>
      </c>
      <c r="Z409" s="35">
        <f t="shared" si="46"/>
        <v>0</v>
      </c>
      <c r="AA409" s="35">
        <f t="shared" si="47"/>
        <v>0</v>
      </c>
      <c r="AB409" s="35">
        <f t="shared" si="48"/>
        <v>1</v>
      </c>
    </row>
    <row r="410" spans="1:28">
      <c r="A410" s="35">
        <v>399</v>
      </c>
      <c r="B410" s="35">
        <v>4.8954955546909318E-4</v>
      </c>
      <c r="C410" s="232">
        <v>64.38</v>
      </c>
      <c r="D410" s="35">
        <v>5.0650947303939491</v>
      </c>
      <c r="E410" s="232">
        <v>36.78</v>
      </c>
      <c r="F410" s="35">
        <v>5.0518991638069837</v>
      </c>
      <c r="G410" s="232">
        <v>10357.709999999999</v>
      </c>
      <c r="H410" s="35">
        <v>9.2068438489513653</v>
      </c>
      <c r="I410" s="232">
        <v>12374.4</v>
      </c>
      <c r="J410" s="35">
        <v>8.9222947042020984</v>
      </c>
      <c r="K410" s="232">
        <v>12100.22</v>
      </c>
      <c r="L410" s="35">
        <v>8.7418759535717854</v>
      </c>
      <c r="M410" s="232">
        <v>37848.68</v>
      </c>
      <c r="N410" s="35">
        <v>7.621144754580258</v>
      </c>
      <c r="P410" s="232">
        <v>-27.6</v>
      </c>
      <c r="Q410" s="35">
        <v>1.3195566586965413E-2</v>
      </c>
      <c r="R410" s="232">
        <v>2016.69</v>
      </c>
      <c r="S410" s="35">
        <v>0.28454914474926696</v>
      </c>
      <c r="T410" s="232">
        <v>25748.46</v>
      </c>
      <c r="U410" s="35">
        <v>1.1207311989915274</v>
      </c>
      <c r="W410" s="35">
        <f t="shared" si="43"/>
        <v>687.37832934827065</v>
      </c>
      <c r="X410" s="35">
        <f t="shared" si="44"/>
        <v>12210.767237463348</v>
      </c>
      <c r="Y410" s="35">
        <f t="shared" si="45"/>
        <v>30288.099949576368</v>
      </c>
      <c r="Z410" s="35">
        <f t="shared" si="46"/>
        <v>0</v>
      </c>
      <c r="AA410" s="35">
        <f t="shared" si="47"/>
        <v>0</v>
      </c>
      <c r="AB410" s="35">
        <f t="shared" si="48"/>
        <v>1</v>
      </c>
    </row>
    <row r="411" spans="1:28">
      <c r="A411" s="35">
        <v>400</v>
      </c>
      <c r="B411" s="35">
        <v>3.6325123897843224E-4</v>
      </c>
      <c r="C411" s="232">
        <v>59.87</v>
      </c>
      <c r="D411" s="35">
        <v>5.0573619490166539</v>
      </c>
      <c r="E411" s="232">
        <v>42.43</v>
      </c>
      <c r="F411" s="35">
        <v>5.0505084842233749</v>
      </c>
      <c r="G411" s="232">
        <v>12990.42</v>
      </c>
      <c r="H411" s="35">
        <v>8.9698455219853077</v>
      </c>
      <c r="I411" s="232">
        <v>14685.52</v>
      </c>
      <c r="J411" s="35">
        <v>8.4165974584306369</v>
      </c>
      <c r="K411" s="232">
        <v>16160.69</v>
      </c>
      <c r="L411" s="35">
        <v>8.5635502065283351</v>
      </c>
      <c r="M411" s="232">
        <v>42323.74</v>
      </c>
      <c r="N411" s="35">
        <v>7.4924257339120439</v>
      </c>
      <c r="P411" s="232">
        <v>-17.440000000000001</v>
      </c>
      <c r="Q411" s="35">
        <v>6.8534647932789738E-3</v>
      </c>
      <c r="R411" s="232">
        <v>1695.09</v>
      </c>
      <c r="S411" s="35">
        <v>0.55324806355467082</v>
      </c>
      <c r="T411" s="232">
        <v>26163.040000000001</v>
      </c>
      <c r="U411" s="35">
        <v>1.0711244726162912</v>
      </c>
      <c r="W411" s="35">
        <f t="shared" si="43"/>
        <v>360.11323966394872</v>
      </c>
      <c r="X411" s="35">
        <f t="shared" si="44"/>
        <v>25967.31317773354</v>
      </c>
      <c r="Y411" s="35">
        <f t="shared" si="45"/>
        <v>27393.183630814558</v>
      </c>
      <c r="Z411" s="35">
        <f t="shared" si="46"/>
        <v>0</v>
      </c>
      <c r="AA411" s="35">
        <f t="shared" si="47"/>
        <v>0</v>
      </c>
      <c r="AB411" s="35">
        <f t="shared" si="48"/>
        <v>1</v>
      </c>
    </row>
    <row r="412" spans="1:28">
      <c r="A412" s="35">
        <v>401</v>
      </c>
      <c r="B412" s="35">
        <v>5.1317862783717416E-4</v>
      </c>
      <c r="C412" s="232">
        <v>75.27</v>
      </c>
      <c r="D412" s="35">
        <v>5.0646199303309558</v>
      </c>
      <c r="E412" s="232">
        <v>49.56</v>
      </c>
      <c r="F412" s="35">
        <v>5.0542017503460412</v>
      </c>
      <c r="G412" s="232">
        <v>11987.65</v>
      </c>
      <c r="H412" s="35">
        <v>8.7246783101157632</v>
      </c>
      <c r="I412" s="232">
        <v>14018.19</v>
      </c>
      <c r="J412" s="35">
        <v>7.9024205642711234</v>
      </c>
      <c r="K412" s="232">
        <v>12732.65</v>
      </c>
      <c r="L412" s="35">
        <v>8.525799479099744</v>
      </c>
      <c r="M412" s="232">
        <v>38826.089999999997</v>
      </c>
      <c r="N412" s="35">
        <v>7.4675974093842052</v>
      </c>
      <c r="P412" s="232">
        <v>-25.7</v>
      </c>
      <c r="Q412" s="35">
        <v>1.0418179984914566E-2</v>
      </c>
      <c r="R412" s="232">
        <v>2030.54</v>
      </c>
      <c r="S412" s="35">
        <v>0.82225774584463984</v>
      </c>
      <c r="T412" s="232">
        <v>26093.439999999999</v>
      </c>
      <c r="U412" s="35">
        <v>1.0582020697155388</v>
      </c>
      <c r="W412" s="35">
        <f t="shared" si="43"/>
        <v>546.60899924572834</v>
      </c>
      <c r="X412" s="35">
        <f t="shared" si="44"/>
        <v>39082.347292231992</v>
      </c>
      <c r="Y412" s="35">
        <f t="shared" si="45"/>
        <v>26816.663485776942</v>
      </c>
      <c r="Z412" s="35">
        <f t="shared" si="46"/>
        <v>0</v>
      </c>
      <c r="AA412" s="35">
        <f t="shared" si="47"/>
        <v>1</v>
      </c>
      <c r="AB412" s="35">
        <f t="shared" si="48"/>
        <v>0</v>
      </c>
    </row>
    <row r="413" spans="1:28">
      <c r="A413" s="35">
        <v>402</v>
      </c>
      <c r="B413" s="35">
        <v>5.2815341880785294E-4</v>
      </c>
      <c r="C413" s="232">
        <v>60.67</v>
      </c>
      <c r="D413" s="35">
        <v>5.0642974928688025</v>
      </c>
      <c r="E413" s="232">
        <v>38.4</v>
      </c>
      <c r="F413" s="35">
        <v>5.0530249562205372</v>
      </c>
      <c r="G413" s="232">
        <v>8879.59</v>
      </c>
      <c r="H413" s="35">
        <v>8.5240265310143908</v>
      </c>
      <c r="I413" s="232">
        <v>10478.01</v>
      </c>
      <c r="J413" s="35">
        <v>7.3714020526402217</v>
      </c>
      <c r="K413" s="232">
        <v>9601.1299999999992</v>
      </c>
      <c r="L413" s="35">
        <v>8.6035075131709977</v>
      </c>
      <c r="M413" s="232">
        <v>35371.449999999997</v>
      </c>
      <c r="N413" s="35">
        <v>7.5989547672262585</v>
      </c>
      <c r="P413" s="232">
        <v>-22.26</v>
      </c>
      <c r="Q413" s="35">
        <v>1.127253664826533E-2</v>
      </c>
      <c r="R413" s="232">
        <v>1598.43</v>
      </c>
      <c r="S413" s="35">
        <v>1.152624478374169</v>
      </c>
      <c r="T413" s="232">
        <v>25770.32</v>
      </c>
      <c r="U413" s="35">
        <v>1.0045527459447392</v>
      </c>
      <c r="W413" s="35">
        <f t="shared" si="43"/>
        <v>585.88683241326646</v>
      </c>
      <c r="X413" s="35">
        <f t="shared" si="44"/>
        <v>56032.793918708448</v>
      </c>
      <c r="Y413" s="35">
        <f t="shared" si="45"/>
        <v>24457.317297236958</v>
      </c>
      <c r="Z413" s="35">
        <f t="shared" si="46"/>
        <v>0</v>
      </c>
      <c r="AA413" s="35">
        <f t="shared" si="47"/>
        <v>1</v>
      </c>
      <c r="AB413" s="35">
        <f t="shared" si="48"/>
        <v>0</v>
      </c>
    </row>
    <row r="414" spans="1:28">
      <c r="A414" s="35">
        <v>403</v>
      </c>
      <c r="B414" s="35">
        <v>5.0006263270130358E-4</v>
      </c>
      <c r="C414" s="232">
        <v>63.17</v>
      </c>
      <c r="D414" s="35">
        <v>5.0625327744072548</v>
      </c>
      <c r="E414" s="232">
        <v>37.26</v>
      </c>
      <c r="F414" s="35">
        <v>5.0510118009021703</v>
      </c>
      <c r="G414" s="232">
        <v>9684.81</v>
      </c>
      <c r="H414" s="35">
        <v>8.4462403966830024</v>
      </c>
      <c r="I414" s="232">
        <v>10921.12</v>
      </c>
      <c r="J414" s="35">
        <v>7.4411687801313411</v>
      </c>
      <c r="K414" s="232">
        <v>12590.2</v>
      </c>
      <c r="L414" s="35">
        <v>8.6492165038740083</v>
      </c>
      <c r="M414" s="232">
        <v>38564.379999999997</v>
      </c>
      <c r="N414" s="35">
        <v>7.5836680044397387</v>
      </c>
      <c r="P414" s="232">
        <v>-25.91</v>
      </c>
      <c r="Q414" s="35">
        <v>1.152097350508452E-2</v>
      </c>
      <c r="R414" s="232">
        <v>1236.31</v>
      </c>
      <c r="S414" s="35">
        <v>1.0050716165516613</v>
      </c>
      <c r="T414" s="232">
        <v>25974.18</v>
      </c>
      <c r="U414" s="35">
        <v>1.0655484994342697</v>
      </c>
      <c r="W414" s="35">
        <f t="shared" si="43"/>
        <v>601.95867525422591</v>
      </c>
      <c r="X414" s="35">
        <f t="shared" si="44"/>
        <v>49017.270827583066</v>
      </c>
      <c r="Y414" s="35">
        <f t="shared" si="45"/>
        <v>27303.24497171348</v>
      </c>
      <c r="Z414" s="35">
        <f t="shared" si="46"/>
        <v>0</v>
      </c>
      <c r="AA414" s="35">
        <f t="shared" si="47"/>
        <v>1</v>
      </c>
      <c r="AB414" s="35">
        <f t="shared" si="48"/>
        <v>0</v>
      </c>
    </row>
    <row r="415" spans="1:28">
      <c r="A415" s="35">
        <v>404</v>
      </c>
      <c r="B415" s="35">
        <v>3.7009651387910478E-4</v>
      </c>
      <c r="C415" s="232">
        <v>59.38</v>
      </c>
      <c r="D415" s="35">
        <v>5.0576538061556198</v>
      </c>
      <c r="E415" s="232">
        <v>33.89</v>
      </c>
      <c r="F415" s="35">
        <v>5.0479663627100431</v>
      </c>
      <c r="G415" s="232">
        <v>11964.11</v>
      </c>
      <c r="H415" s="35">
        <v>9.0129473326375624</v>
      </c>
      <c r="I415" s="232">
        <v>12350.29</v>
      </c>
      <c r="J415" s="35">
        <v>8.0557141343556466</v>
      </c>
      <c r="K415" s="232">
        <v>17728.13</v>
      </c>
      <c r="L415" s="35">
        <v>8.712266350806356</v>
      </c>
      <c r="M415" s="232">
        <v>44021.09</v>
      </c>
      <c r="N415" s="35">
        <v>7.6930688492700314</v>
      </c>
      <c r="P415" s="232">
        <v>-25.49</v>
      </c>
      <c r="Q415" s="35">
        <v>9.6874434455767044E-3</v>
      </c>
      <c r="R415" s="232">
        <v>386.18</v>
      </c>
      <c r="S415" s="35">
        <v>0.95723319828191578</v>
      </c>
      <c r="T415" s="232">
        <v>26292.959999999999</v>
      </c>
      <c r="U415" s="35">
        <v>1.0191975015363246</v>
      </c>
      <c r="W415" s="35">
        <f t="shared" si="43"/>
        <v>509.86217227883526</v>
      </c>
      <c r="X415" s="35">
        <f t="shared" si="44"/>
        <v>47475.479914095791</v>
      </c>
      <c r="Y415" s="35">
        <f t="shared" si="45"/>
        <v>24666.915076816229</v>
      </c>
      <c r="Z415" s="35">
        <f t="shared" si="46"/>
        <v>0</v>
      </c>
      <c r="AA415" s="35">
        <f t="shared" si="47"/>
        <v>1</v>
      </c>
      <c r="AB415" s="35">
        <f t="shared" si="48"/>
        <v>0</v>
      </c>
    </row>
    <row r="416" spans="1:28">
      <c r="A416" s="35">
        <v>405</v>
      </c>
      <c r="B416" s="35">
        <v>4.4670272991309545E-4</v>
      </c>
      <c r="C416" s="232">
        <v>49.97</v>
      </c>
      <c r="D416" s="35">
        <v>5.0622292247643896</v>
      </c>
      <c r="E416" s="232">
        <v>27.96</v>
      </c>
      <c r="F416" s="35">
        <v>5.0497409793038903</v>
      </c>
      <c r="G416" s="232">
        <v>9204.48</v>
      </c>
      <c r="H416" s="35">
        <v>8.9849973520132931</v>
      </c>
      <c r="I416" s="232">
        <v>11301.12</v>
      </c>
      <c r="J416" s="35">
        <v>8.3952100363644284</v>
      </c>
      <c r="K416" s="232">
        <v>9713.86</v>
      </c>
      <c r="L416" s="35">
        <v>8.9099983968231555</v>
      </c>
      <c r="M416" s="232">
        <v>35675.550000000003</v>
      </c>
      <c r="N416" s="35">
        <v>7.7455409761876819</v>
      </c>
      <c r="P416" s="232">
        <v>-22.01</v>
      </c>
      <c r="Q416" s="35">
        <v>1.2488245460499314E-2</v>
      </c>
      <c r="R416" s="232">
        <v>2096.64</v>
      </c>
      <c r="S416" s="35">
        <v>0.58978731564886466</v>
      </c>
      <c r="T416" s="232">
        <v>25961.69</v>
      </c>
      <c r="U416" s="35">
        <v>1.1644574206354736</v>
      </c>
      <c r="W416" s="35">
        <f t="shared" si="43"/>
        <v>646.42227302496576</v>
      </c>
      <c r="X416" s="35">
        <f t="shared" si="44"/>
        <v>27392.725782443234</v>
      </c>
      <c r="Y416" s="35">
        <f t="shared" si="45"/>
        <v>32261.181031773685</v>
      </c>
      <c r="Z416" s="35">
        <f t="shared" si="46"/>
        <v>0</v>
      </c>
      <c r="AA416" s="35">
        <f t="shared" si="47"/>
        <v>0</v>
      </c>
      <c r="AB416" s="35">
        <f t="shared" si="48"/>
        <v>1</v>
      </c>
    </row>
    <row r="417" spans="1:28">
      <c r="A417" s="35">
        <v>406</v>
      </c>
      <c r="B417" s="35">
        <v>7.6641448293102155E-4</v>
      </c>
      <c r="C417" s="232">
        <v>141.51</v>
      </c>
      <c r="D417" s="35">
        <v>5.0758419584167846</v>
      </c>
      <c r="E417" s="232">
        <v>88.9</v>
      </c>
      <c r="F417" s="35">
        <v>5.060759596387352</v>
      </c>
      <c r="G417" s="232">
        <v>13427.09</v>
      </c>
      <c r="H417" s="35">
        <v>8.1374179916062737</v>
      </c>
      <c r="I417" s="232">
        <v>13795.26</v>
      </c>
      <c r="J417" s="35">
        <v>7.1086053393055231</v>
      </c>
      <c r="K417" s="232">
        <v>21280.5</v>
      </c>
      <c r="L417" s="35">
        <v>8.8038708227683404</v>
      </c>
      <c r="M417" s="232">
        <v>47785.95</v>
      </c>
      <c r="N417" s="35">
        <v>7.6492312446890987</v>
      </c>
      <c r="P417" s="232">
        <v>-52.61</v>
      </c>
      <c r="Q417" s="35">
        <v>1.5082362029432694E-2</v>
      </c>
      <c r="R417" s="232">
        <v>368.18</v>
      </c>
      <c r="S417" s="35">
        <v>1.0288126523007506</v>
      </c>
      <c r="T417" s="232">
        <v>26505.45</v>
      </c>
      <c r="U417" s="35">
        <v>1.1546395780792418</v>
      </c>
      <c r="W417" s="35">
        <f t="shared" si="43"/>
        <v>806.72810147163477</v>
      </c>
      <c r="X417" s="35">
        <f t="shared" si="44"/>
        <v>51072.452615037531</v>
      </c>
      <c r="Y417" s="35">
        <f t="shared" si="45"/>
        <v>31226.528903962087</v>
      </c>
      <c r="Z417" s="35">
        <f t="shared" si="46"/>
        <v>0</v>
      </c>
      <c r="AA417" s="35">
        <f t="shared" si="47"/>
        <v>1</v>
      </c>
      <c r="AB417" s="35">
        <f t="shared" si="48"/>
        <v>0</v>
      </c>
    </row>
    <row r="418" spans="1:28">
      <c r="A418" s="35">
        <v>407</v>
      </c>
      <c r="B418" s="35">
        <v>4.5346001880175457E-4</v>
      </c>
      <c r="C418" s="232">
        <v>61.5</v>
      </c>
      <c r="D418" s="35">
        <v>5.0597173748831938</v>
      </c>
      <c r="E418" s="232">
        <v>33.79</v>
      </c>
      <c r="F418" s="35">
        <v>5.048598663258927</v>
      </c>
      <c r="G418" s="232">
        <v>9832.89</v>
      </c>
      <c r="H418" s="35">
        <v>8.1647346972553798</v>
      </c>
      <c r="I418" s="232">
        <v>10626.25</v>
      </c>
      <c r="J418" s="35">
        <v>6.8847411746092533</v>
      </c>
      <c r="K418" s="232">
        <v>12556.61</v>
      </c>
      <c r="L418" s="35">
        <v>8.7075313983190856</v>
      </c>
      <c r="M418" s="232">
        <v>38436.06</v>
      </c>
      <c r="N418" s="35">
        <v>7.6329364938903721</v>
      </c>
      <c r="P418" s="232">
        <v>-27.71</v>
      </c>
      <c r="Q418" s="35">
        <v>1.1118711624266808E-2</v>
      </c>
      <c r="R418" s="232">
        <v>793.36</v>
      </c>
      <c r="S418" s="35">
        <v>1.2799935226461265</v>
      </c>
      <c r="T418" s="232">
        <v>25879.45</v>
      </c>
      <c r="U418" s="35">
        <v>1.0745949044287135</v>
      </c>
      <c r="W418" s="35">
        <f t="shared" si="43"/>
        <v>583.64558121334039</v>
      </c>
      <c r="X418" s="35">
        <f t="shared" si="44"/>
        <v>63206.316132306325</v>
      </c>
      <c r="Y418" s="35">
        <f t="shared" si="45"/>
        <v>27850.295221435674</v>
      </c>
      <c r="Z418" s="35">
        <f t="shared" si="46"/>
        <v>0</v>
      </c>
      <c r="AA418" s="35">
        <f t="shared" si="47"/>
        <v>1</v>
      </c>
      <c r="AB418" s="35">
        <f t="shared" si="48"/>
        <v>0</v>
      </c>
    </row>
    <row r="419" spans="1:28">
      <c r="A419" s="35">
        <v>408</v>
      </c>
      <c r="B419" s="35">
        <v>4.1449733916476447E-4</v>
      </c>
      <c r="C419" s="232">
        <v>65.36</v>
      </c>
      <c r="D419" s="35">
        <v>5.0602780854094602</v>
      </c>
      <c r="E419" s="232">
        <v>45.02</v>
      </c>
      <c r="F419" s="35">
        <v>5.0520670781719277</v>
      </c>
      <c r="G419" s="232">
        <v>12516.55</v>
      </c>
      <c r="H419" s="35">
        <v>8.9280252716393136</v>
      </c>
      <c r="I419" s="232">
        <v>14004.58</v>
      </c>
      <c r="J419" s="35">
        <v>7.2960655486860571</v>
      </c>
      <c r="K419" s="232">
        <v>13434.13</v>
      </c>
      <c r="L419" s="35">
        <v>8.5819107383199711</v>
      </c>
      <c r="M419" s="232">
        <v>39501.360000000001</v>
      </c>
      <c r="N419" s="35">
        <v>7.5163253144909152</v>
      </c>
      <c r="P419" s="232">
        <v>-20.34</v>
      </c>
      <c r="Q419" s="35">
        <v>8.2110072375325416E-3</v>
      </c>
      <c r="R419" s="232">
        <v>1488.02</v>
      </c>
      <c r="S419" s="35">
        <v>1.6319597229532565</v>
      </c>
      <c r="T419" s="232">
        <v>26067.24</v>
      </c>
      <c r="U419" s="35">
        <v>1.0655854238290559</v>
      </c>
      <c r="W419" s="35">
        <f t="shared" si="43"/>
        <v>430.89036187662708</v>
      </c>
      <c r="X419" s="35">
        <f t="shared" si="44"/>
        <v>80109.966147662824</v>
      </c>
      <c r="Y419" s="35">
        <f t="shared" si="45"/>
        <v>27212.031191452788</v>
      </c>
      <c r="Z419" s="35">
        <f t="shared" si="46"/>
        <v>0</v>
      </c>
      <c r="AA419" s="35">
        <f t="shared" si="47"/>
        <v>1</v>
      </c>
      <c r="AB419" s="35">
        <f t="shared" si="48"/>
        <v>0</v>
      </c>
    </row>
    <row r="420" spans="1:28">
      <c r="A420" s="35">
        <v>409</v>
      </c>
      <c r="B420" s="35">
        <v>4.4164730106399332E-4</v>
      </c>
      <c r="C420" s="232">
        <v>62.54</v>
      </c>
      <c r="D420" s="35">
        <v>5.0629608587577923</v>
      </c>
      <c r="E420" s="232">
        <v>40.94</v>
      </c>
      <c r="F420" s="35">
        <v>5.0528440304866695</v>
      </c>
      <c r="G420" s="232">
        <v>11047.16</v>
      </c>
      <c r="H420" s="35">
        <v>9.1453049770944617</v>
      </c>
      <c r="I420" s="232">
        <v>11960.45</v>
      </c>
      <c r="J420" s="35">
        <v>7.5705917020098878</v>
      </c>
      <c r="K420" s="232">
        <v>13571.26</v>
      </c>
      <c r="L420" s="35">
        <v>9.0149926231607793</v>
      </c>
      <c r="M420" s="232">
        <v>39628.94</v>
      </c>
      <c r="N420" s="35">
        <v>7.915759927015503</v>
      </c>
      <c r="P420" s="232">
        <v>-21.61</v>
      </c>
      <c r="Q420" s="35">
        <v>1.0116828271122813E-2</v>
      </c>
      <c r="R420" s="232">
        <v>913.29</v>
      </c>
      <c r="S420" s="35">
        <v>1.5747132750845738</v>
      </c>
      <c r="T420" s="232">
        <v>26057.67</v>
      </c>
      <c r="U420" s="35">
        <v>1.0992326961452763</v>
      </c>
      <c r="W420" s="35">
        <f t="shared" si="43"/>
        <v>527.45141355614066</v>
      </c>
      <c r="X420" s="35">
        <f t="shared" si="44"/>
        <v>77822.373754228698</v>
      </c>
      <c r="Y420" s="35">
        <f t="shared" si="45"/>
        <v>28903.964807263816</v>
      </c>
      <c r="Z420" s="35">
        <f t="shared" si="46"/>
        <v>0</v>
      </c>
      <c r="AA420" s="35">
        <f t="shared" si="47"/>
        <v>1</v>
      </c>
      <c r="AB420" s="35">
        <f t="shared" si="48"/>
        <v>0</v>
      </c>
    </row>
    <row r="421" spans="1:28">
      <c r="A421" s="35">
        <v>410</v>
      </c>
      <c r="B421" s="35">
        <v>4.8474882630089589E-4</v>
      </c>
      <c r="C421" s="232">
        <v>68.55</v>
      </c>
      <c r="D421" s="35">
        <v>5.0652280465944068</v>
      </c>
      <c r="E421" s="232">
        <v>44.65</v>
      </c>
      <c r="F421" s="35">
        <v>5.054245728542158</v>
      </c>
      <c r="G421" s="232">
        <v>11117.92</v>
      </c>
      <c r="H421" s="35">
        <v>9.2250751542718845</v>
      </c>
      <c r="I421" s="232">
        <v>11891.9</v>
      </c>
      <c r="J421" s="35">
        <v>7.5816036934574855</v>
      </c>
      <c r="K421" s="232">
        <v>13933.84</v>
      </c>
      <c r="L421" s="35">
        <v>8.758501816357942</v>
      </c>
      <c r="M421" s="232">
        <v>40054.5</v>
      </c>
      <c r="N421" s="35">
        <v>7.6517974151718953</v>
      </c>
      <c r="P421" s="232">
        <v>-23.91</v>
      </c>
      <c r="Q421" s="35">
        <v>1.0982318052248807E-2</v>
      </c>
      <c r="R421" s="232">
        <v>773.98</v>
      </c>
      <c r="S421" s="35">
        <v>1.643471460814399</v>
      </c>
      <c r="T421" s="232">
        <v>26120.66</v>
      </c>
      <c r="U421" s="35">
        <v>1.1067044011860467</v>
      </c>
      <c r="W421" s="35">
        <f t="shared" si="43"/>
        <v>573.02590261244029</v>
      </c>
      <c r="X421" s="35">
        <f t="shared" si="44"/>
        <v>81399.593040719948</v>
      </c>
      <c r="Y421" s="35">
        <f t="shared" si="45"/>
        <v>29214.560059302337</v>
      </c>
      <c r="Z421" s="35">
        <f t="shared" si="46"/>
        <v>0</v>
      </c>
      <c r="AA421" s="35">
        <f t="shared" si="47"/>
        <v>1</v>
      </c>
      <c r="AB421" s="35">
        <f t="shared" si="48"/>
        <v>0</v>
      </c>
    </row>
    <row r="422" spans="1:28">
      <c r="A422" s="35">
        <v>411</v>
      </c>
      <c r="B422" s="35">
        <v>3.6957594597366808E-4</v>
      </c>
      <c r="C422" s="232">
        <v>51.15</v>
      </c>
      <c r="D422" s="35">
        <v>5.0572426471139282</v>
      </c>
      <c r="E422" s="232">
        <v>36.44</v>
      </c>
      <c r="F422" s="35">
        <v>5.0503042450553339</v>
      </c>
      <c r="G422" s="232">
        <v>10464.530000000001</v>
      </c>
      <c r="H422" s="35">
        <v>8.5232280262561826</v>
      </c>
      <c r="I422" s="232">
        <v>11156.49</v>
      </c>
      <c r="J422" s="35">
        <v>6.8078293444696127</v>
      </c>
      <c r="K422" s="232">
        <v>13463.47</v>
      </c>
      <c r="L422" s="35">
        <v>8.8764537034143309</v>
      </c>
      <c r="M422" s="232">
        <v>39541.629999999997</v>
      </c>
      <c r="N422" s="35">
        <v>7.8064628369705735</v>
      </c>
      <c r="P422" s="232">
        <v>-14.71</v>
      </c>
      <c r="Q422" s="35">
        <v>6.9384020585943063E-3</v>
      </c>
      <c r="R422" s="232">
        <v>691.95</v>
      </c>
      <c r="S422" s="35">
        <v>1.7153986817865698</v>
      </c>
      <c r="T422" s="232">
        <v>26078.16</v>
      </c>
      <c r="U422" s="35">
        <v>1.0699908664437574</v>
      </c>
      <c r="W422" s="35">
        <f t="shared" si="43"/>
        <v>361.63010292971529</v>
      </c>
      <c r="X422" s="35">
        <f t="shared" si="44"/>
        <v>85077.9840893285</v>
      </c>
      <c r="Y422" s="35">
        <f t="shared" si="45"/>
        <v>27421.38332218787</v>
      </c>
      <c r="Z422" s="35">
        <f t="shared" si="46"/>
        <v>0</v>
      </c>
      <c r="AA422" s="35">
        <f t="shared" si="47"/>
        <v>1</v>
      </c>
      <c r="AB422" s="35">
        <f t="shared" si="48"/>
        <v>0</v>
      </c>
    </row>
    <row r="423" spans="1:28">
      <c r="A423" s="35">
        <v>412</v>
      </c>
      <c r="B423" s="35">
        <v>4.5615652646746607E-4</v>
      </c>
      <c r="C423" s="232">
        <v>61.43</v>
      </c>
      <c r="D423" s="35">
        <v>5.063566851159865</v>
      </c>
      <c r="E423" s="232">
        <v>35.82</v>
      </c>
      <c r="F423" s="35">
        <v>5.0513439028385658</v>
      </c>
      <c r="G423" s="232">
        <v>10637.7</v>
      </c>
      <c r="H423" s="35">
        <v>9.1319853402972146</v>
      </c>
      <c r="I423" s="232">
        <v>11883.39</v>
      </c>
      <c r="J423" s="35">
        <v>7.3960511862842075</v>
      </c>
      <c r="K423" s="232">
        <v>11905.2</v>
      </c>
      <c r="L423" s="35">
        <v>9.0063287149182774</v>
      </c>
      <c r="M423" s="232">
        <v>37860.71</v>
      </c>
      <c r="N423" s="35">
        <v>8.0104044551433944</v>
      </c>
      <c r="P423" s="232">
        <v>-25.62</v>
      </c>
      <c r="Q423" s="35">
        <v>1.2222948321299221E-2</v>
      </c>
      <c r="R423" s="232">
        <v>1245.7</v>
      </c>
      <c r="S423" s="35">
        <v>1.7359341540130071</v>
      </c>
      <c r="T423" s="232">
        <v>25955.51</v>
      </c>
      <c r="U423" s="35">
        <v>0.99592425977488297</v>
      </c>
      <c r="W423" s="35">
        <f t="shared" si="43"/>
        <v>636.76741606496103</v>
      </c>
      <c r="X423" s="35">
        <f t="shared" si="44"/>
        <v>85551.007700650356</v>
      </c>
      <c r="Y423" s="35">
        <f t="shared" si="45"/>
        <v>23840.702988744149</v>
      </c>
      <c r="Z423" s="35">
        <f t="shared" si="46"/>
        <v>0</v>
      </c>
      <c r="AA423" s="35">
        <f t="shared" si="47"/>
        <v>1</v>
      </c>
      <c r="AB423" s="35">
        <f t="shared" si="48"/>
        <v>0</v>
      </c>
    </row>
    <row r="424" spans="1:28">
      <c r="A424" s="35">
        <v>413</v>
      </c>
      <c r="B424" s="35">
        <v>3.3543171644515881E-4</v>
      </c>
      <c r="C424" s="232">
        <v>46.02</v>
      </c>
      <c r="D424" s="35">
        <v>5.0551659460939424</v>
      </c>
      <c r="E424" s="232">
        <v>26.57</v>
      </c>
      <c r="F424" s="35">
        <v>5.0465052927098215</v>
      </c>
      <c r="G424" s="232">
        <v>10895.08</v>
      </c>
      <c r="H424" s="35">
        <v>8.6633160489638481</v>
      </c>
      <c r="I424" s="232">
        <v>11455.02</v>
      </c>
      <c r="J424" s="35">
        <v>6.8811792289563911</v>
      </c>
      <c r="K424" s="232">
        <v>14535.82</v>
      </c>
      <c r="L424" s="35">
        <v>8.7307729310423117</v>
      </c>
      <c r="M424" s="232">
        <v>40650.39</v>
      </c>
      <c r="N424" s="35">
        <v>7.6078626337534621</v>
      </c>
      <c r="P424" s="232">
        <v>-19.45</v>
      </c>
      <c r="Q424" s="35">
        <v>8.6606533841209199E-3</v>
      </c>
      <c r="R424" s="232">
        <v>559.94000000000005</v>
      </c>
      <c r="S424" s="35">
        <v>1.782136820007457</v>
      </c>
      <c r="T424" s="232">
        <v>26114.57</v>
      </c>
      <c r="U424" s="35">
        <v>1.1229102972888496</v>
      </c>
      <c r="W424" s="35">
        <f t="shared" si="43"/>
        <v>452.48266920604595</v>
      </c>
      <c r="X424" s="35">
        <f t="shared" si="44"/>
        <v>88546.901000372847</v>
      </c>
      <c r="Y424" s="35">
        <f t="shared" si="45"/>
        <v>30030.944864442477</v>
      </c>
      <c r="Z424" s="35">
        <f t="shared" si="46"/>
        <v>0</v>
      </c>
      <c r="AA424" s="35">
        <f t="shared" si="47"/>
        <v>1</v>
      </c>
      <c r="AB424" s="35">
        <f t="shared" si="48"/>
        <v>0</v>
      </c>
    </row>
    <row r="425" spans="1:28">
      <c r="A425" s="35">
        <v>414</v>
      </c>
      <c r="B425" s="35">
        <v>3.7348990273503409E-4</v>
      </c>
      <c r="C425" s="232">
        <v>57.76</v>
      </c>
      <c r="D425" s="35">
        <v>5.057479651243594</v>
      </c>
      <c r="E425" s="232">
        <v>36.93</v>
      </c>
      <c r="F425" s="35">
        <v>5.0491859358843252</v>
      </c>
      <c r="G425" s="232">
        <v>12250.17</v>
      </c>
      <c r="H425" s="35">
        <v>8.8918009818091406</v>
      </c>
      <c r="I425" s="232">
        <v>13363.53</v>
      </c>
      <c r="J425" s="35">
        <v>7.2408753501728302</v>
      </c>
      <c r="K425" s="232">
        <v>13539.46</v>
      </c>
      <c r="L425" s="35">
        <v>8.5321024039648403</v>
      </c>
      <c r="M425" s="232">
        <v>39520.35</v>
      </c>
      <c r="N425" s="35">
        <v>7.4813716004720634</v>
      </c>
      <c r="P425" s="232">
        <v>-20.83</v>
      </c>
      <c r="Q425" s="35">
        <v>8.2937153592688162E-3</v>
      </c>
      <c r="R425" s="232">
        <v>1113.3599999999999</v>
      </c>
      <c r="S425" s="35">
        <v>1.6509256316363103</v>
      </c>
      <c r="T425" s="232">
        <v>25980.89</v>
      </c>
      <c r="U425" s="35">
        <v>1.0507308034927769</v>
      </c>
      <c r="W425" s="35">
        <f t="shared" si="43"/>
        <v>435.51576796344079</v>
      </c>
      <c r="X425" s="35">
        <f t="shared" si="44"/>
        <v>81432.921581815521</v>
      </c>
      <c r="Y425" s="35">
        <f t="shared" si="45"/>
        <v>26555.650174638846</v>
      </c>
      <c r="Z425" s="35">
        <f t="shared" si="46"/>
        <v>0</v>
      </c>
      <c r="AA425" s="35">
        <f t="shared" si="47"/>
        <v>1</v>
      </c>
      <c r="AB425" s="35">
        <f t="shared" si="48"/>
        <v>0</v>
      </c>
    </row>
    <row r="426" spans="1:28">
      <c r="A426" s="35">
        <v>415</v>
      </c>
      <c r="B426" s="35">
        <v>4.0257758256561347E-4</v>
      </c>
      <c r="C426" s="232">
        <v>70.040000000000006</v>
      </c>
      <c r="D426" s="35">
        <v>5.0587797457943227</v>
      </c>
      <c r="E426" s="232">
        <v>41.52</v>
      </c>
      <c r="F426" s="35">
        <v>5.0491958220943411</v>
      </c>
      <c r="G426" s="232">
        <v>13152.47</v>
      </c>
      <c r="H426" s="35">
        <v>8.6993514175786526</v>
      </c>
      <c r="I426" s="232">
        <v>12789.24</v>
      </c>
      <c r="J426" s="35">
        <v>7.1219428011502499</v>
      </c>
      <c r="K426" s="232">
        <v>18389.78</v>
      </c>
      <c r="L426" s="35">
        <v>8.7220812768109717</v>
      </c>
      <c r="M426" s="232">
        <v>44675.57</v>
      </c>
      <c r="N426" s="35">
        <v>7.5190305070006813</v>
      </c>
      <c r="P426" s="232">
        <v>-28.52</v>
      </c>
      <c r="Q426" s="35">
        <v>9.5839236999815114E-3</v>
      </c>
      <c r="R426" s="232">
        <v>-363.23</v>
      </c>
      <c r="S426" s="35">
        <v>1.5774086164284027</v>
      </c>
      <c r="T426" s="232">
        <v>26285.79</v>
      </c>
      <c r="U426" s="35">
        <v>1.2030507698102904</v>
      </c>
      <c r="W426" s="35">
        <f t="shared" si="43"/>
        <v>507.71618499907555</v>
      </c>
      <c r="X426" s="35">
        <f t="shared" si="44"/>
        <v>79233.660821420126</v>
      </c>
      <c r="Y426" s="35">
        <f t="shared" si="45"/>
        <v>33866.748490514517</v>
      </c>
      <c r="Z426" s="35">
        <f t="shared" si="46"/>
        <v>0</v>
      </c>
      <c r="AA426" s="35">
        <f t="shared" si="47"/>
        <v>1</v>
      </c>
      <c r="AB426" s="35">
        <f t="shared" si="48"/>
        <v>0</v>
      </c>
    </row>
    <row r="427" spans="1:28">
      <c r="A427" s="35">
        <v>416</v>
      </c>
      <c r="B427" s="35">
        <v>4.3683953737611096E-4</v>
      </c>
      <c r="C427" s="232">
        <v>64.38</v>
      </c>
      <c r="D427" s="35">
        <v>5.0625157873419271</v>
      </c>
      <c r="E427" s="232">
        <v>37.159999999999997</v>
      </c>
      <c r="F427" s="35">
        <v>5.0507187346250637</v>
      </c>
      <c r="G427" s="232">
        <v>11538.28</v>
      </c>
      <c r="H427" s="35">
        <v>9.3016157790131526</v>
      </c>
      <c r="I427" s="232">
        <v>11961.84</v>
      </c>
      <c r="J427" s="35">
        <v>7.780587328174267</v>
      </c>
      <c r="K427" s="232">
        <v>15322.86</v>
      </c>
      <c r="L427" s="35">
        <v>8.7999873083069176</v>
      </c>
      <c r="M427" s="232">
        <v>41457</v>
      </c>
      <c r="N427" s="35">
        <v>7.7283927455323767</v>
      </c>
      <c r="P427" s="232">
        <v>-27.22</v>
      </c>
      <c r="Q427" s="35">
        <v>1.1797052716863377E-2</v>
      </c>
      <c r="R427" s="232">
        <v>423.56</v>
      </c>
      <c r="S427" s="35">
        <v>1.5210284508388856</v>
      </c>
      <c r="T427" s="232">
        <v>26134.15</v>
      </c>
      <c r="U427" s="35">
        <v>1.0715945627745409</v>
      </c>
      <c r="W427" s="35">
        <f t="shared" si="43"/>
        <v>617.07263584316888</v>
      </c>
      <c r="X427" s="35">
        <f t="shared" si="44"/>
        <v>75627.862541944283</v>
      </c>
      <c r="Y427" s="35">
        <f t="shared" si="45"/>
        <v>27445.578138727047</v>
      </c>
      <c r="Z427" s="35">
        <f t="shared" si="46"/>
        <v>0</v>
      </c>
      <c r="AA427" s="35">
        <f t="shared" si="47"/>
        <v>1</v>
      </c>
      <c r="AB427" s="35">
        <f t="shared" si="48"/>
        <v>0</v>
      </c>
    </row>
    <row r="428" spans="1:28">
      <c r="A428" s="35">
        <v>417</v>
      </c>
      <c r="B428" s="35">
        <v>4.4052718117059292E-4</v>
      </c>
      <c r="C428" s="232">
        <v>72.8</v>
      </c>
      <c r="D428" s="35">
        <v>5.0592494050344987</v>
      </c>
      <c r="E428" s="232">
        <v>40.43</v>
      </c>
      <c r="F428" s="35">
        <v>5.0486932586008777</v>
      </c>
      <c r="G428" s="232">
        <v>12636.89</v>
      </c>
      <c r="H428" s="35">
        <v>8.5356698990058497</v>
      </c>
      <c r="I428" s="232">
        <v>14019.64</v>
      </c>
      <c r="J428" s="35">
        <v>7.9851820891673544</v>
      </c>
      <c r="K428" s="232">
        <v>17239.48</v>
      </c>
      <c r="L428" s="35">
        <v>8.2982956893749993</v>
      </c>
      <c r="M428" s="232">
        <v>43430.2</v>
      </c>
      <c r="N428" s="35">
        <v>7.2892353294800873</v>
      </c>
      <c r="P428" s="232">
        <v>-32.369999999999997</v>
      </c>
      <c r="Q428" s="35">
        <v>1.0556146433621016E-2</v>
      </c>
      <c r="R428" s="232">
        <v>1382.75</v>
      </c>
      <c r="S428" s="35">
        <v>0.55048780983849532</v>
      </c>
      <c r="T428" s="232">
        <v>26190.71</v>
      </c>
      <c r="U428" s="35">
        <v>1.0090603598949119</v>
      </c>
      <c r="W428" s="35">
        <f t="shared" si="43"/>
        <v>560.17732168105078</v>
      </c>
      <c r="X428" s="35">
        <f t="shared" si="44"/>
        <v>26141.640491924765</v>
      </c>
      <c r="Y428" s="35">
        <f t="shared" si="45"/>
        <v>24262.307994745599</v>
      </c>
      <c r="Z428" s="35">
        <f t="shared" si="46"/>
        <v>0</v>
      </c>
      <c r="AA428" s="35">
        <f t="shared" si="47"/>
        <v>1</v>
      </c>
      <c r="AB428" s="35">
        <f t="shared" si="48"/>
        <v>0</v>
      </c>
    </row>
    <row r="429" spans="1:28">
      <c r="A429" s="35">
        <v>418</v>
      </c>
      <c r="B429" s="35">
        <v>5.7202897808905639E-4</v>
      </c>
      <c r="C429" s="232">
        <v>53.7</v>
      </c>
      <c r="D429" s="35">
        <v>5.0679239774139937</v>
      </c>
      <c r="E429" s="232">
        <v>34.520000000000003</v>
      </c>
      <c r="F429" s="35">
        <v>5.0551631793333183</v>
      </c>
      <c r="G429" s="232">
        <v>6980.04</v>
      </c>
      <c r="H429" s="35">
        <v>8.5454963651095053</v>
      </c>
      <c r="I429" s="232">
        <v>8413.2999999999993</v>
      </c>
      <c r="J429" s="35">
        <v>7.1751590186398673</v>
      </c>
      <c r="K429" s="232">
        <v>8189.74</v>
      </c>
      <c r="L429" s="35">
        <v>8.9915213843408317</v>
      </c>
      <c r="M429" s="232">
        <v>34042.949999999997</v>
      </c>
      <c r="N429" s="35">
        <v>7.9267023383818564</v>
      </c>
      <c r="P429" s="232">
        <v>-19.18</v>
      </c>
      <c r="Q429" s="35">
        <v>1.2760798080675428E-2</v>
      </c>
      <c r="R429" s="232">
        <v>1433.26</v>
      </c>
      <c r="S429" s="35">
        <v>1.370337346469638</v>
      </c>
      <c r="T429" s="232">
        <v>25853.21</v>
      </c>
      <c r="U429" s="35">
        <v>1.0648190459589753</v>
      </c>
      <c r="W429" s="35">
        <f t="shared" si="43"/>
        <v>657.2199040337714</v>
      </c>
      <c r="X429" s="35">
        <f t="shared" si="44"/>
        <v>67083.607323481905</v>
      </c>
      <c r="Y429" s="35">
        <f t="shared" si="45"/>
        <v>27387.74229794876</v>
      </c>
      <c r="Z429" s="35">
        <f t="shared" si="46"/>
        <v>0</v>
      </c>
      <c r="AA429" s="35">
        <f t="shared" si="47"/>
        <v>1</v>
      </c>
      <c r="AB429" s="35">
        <f t="shared" si="48"/>
        <v>0</v>
      </c>
    </row>
    <row r="430" spans="1:28">
      <c r="A430" s="35">
        <v>419</v>
      </c>
      <c r="B430" s="35">
        <v>3.8940479025620264E-4</v>
      </c>
      <c r="C430" s="232">
        <v>56.29</v>
      </c>
      <c r="D430" s="35">
        <v>5.0589758806095109</v>
      </c>
      <c r="E430" s="232">
        <v>32.76</v>
      </c>
      <c r="F430" s="35">
        <v>5.0488059803641487</v>
      </c>
      <c r="G430" s="232">
        <v>11493.27</v>
      </c>
      <c r="H430" s="35">
        <v>8.8945174437529975</v>
      </c>
      <c r="I430" s="232">
        <v>12740.03</v>
      </c>
      <c r="J430" s="35">
        <v>7.500867653248557</v>
      </c>
      <c r="K430" s="232">
        <v>13494.34</v>
      </c>
      <c r="L430" s="35">
        <v>9.0879081146229659</v>
      </c>
      <c r="M430" s="232">
        <v>39444.559999999998</v>
      </c>
      <c r="N430" s="35">
        <v>8.0388039920117649</v>
      </c>
      <c r="P430" s="232">
        <v>-23.53</v>
      </c>
      <c r="Q430" s="35">
        <v>1.0169900245362129E-2</v>
      </c>
      <c r="R430" s="232">
        <v>1246.76</v>
      </c>
      <c r="S430" s="35">
        <v>1.3936497905044405</v>
      </c>
      <c r="T430" s="232">
        <v>25950.23</v>
      </c>
      <c r="U430" s="35">
        <v>1.049104122611201</v>
      </c>
      <c r="W430" s="35">
        <f t="shared" si="43"/>
        <v>532.02501226810648</v>
      </c>
      <c r="X430" s="35">
        <f t="shared" si="44"/>
        <v>68435.729525222036</v>
      </c>
      <c r="Y430" s="35">
        <f t="shared" si="45"/>
        <v>26504.976130560051</v>
      </c>
      <c r="Z430" s="35">
        <f t="shared" si="46"/>
        <v>0</v>
      </c>
      <c r="AA430" s="35">
        <f t="shared" si="47"/>
        <v>1</v>
      </c>
      <c r="AB430" s="35">
        <f t="shared" si="48"/>
        <v>0</v>
      </c>
    </row>
    <row r="431" spans="1:28">
      <c r="A431" s="35">
        <v>420</v>
      </c>
      <c r="B431" s="35">
        <v>4.2685282526862972E-4</v>
      </c>
      <c r="C431" s="232">
        <v>42.32</v>
      </c>
      <c r="D431" s="35">
        <v>5.059307185791007</v>
      </c>
      <c r="E431" s="232">
        <v>32.6</v>
      </c>
      <c r="F431" s="35">
        <v>5.0525450563123195</v>
      </c>
      <c r="G431" s="232">
        <v>7860.84</v>
      </c>
      <c r="H431" s="35">
        <v>8.4503527911141632</v>
      </c>
      <c r="I431" s="232">
        <v>9852.64</v>
      </c>
      <c r="J431" s="35">
        <v>7.3095420651099721</v>
      </c>
      <c r="K431" s="232">
        <v>8025.66</v>
      </c>
      <c r="L431" s="35">
        <v>8.4748357039500437</v>
      </c>
      <c r="M431" s="232">
        <v>33792.28</v>
      </c>
      <c r="N431" s="35">
        <v>7.4867245766761874</v>
      </c>
      <c r="P431" s="232">
        <v>-9.7200000000000006</v>
      </c>
      <c r="Q431" s="35">
        <v>6.7621294786874842E-3</v>
      </c>
      <c r="R431" s="232">
        <v>1991.8</v>
      </c>
      <c r="S431" s="35">
        <v>1.1408107260041911</v>
      </c>
      <c r="T431" s="232">
        <v>25766.61</v>
      </c>
      <c r="U431" s="35">
        <v>0.9881111272738563</v>
      </c>
      <c r="W431" s="35">
        <f t="shared" si="43"/>
        <v>347.82647393437423</v>
      </c>
      <c r="X431" s="35">
        <f t="shared" si="44"/>
        <v>55048.736300209552</v>
      </c>
      <c r="Y431" s="35">
        <f t="shared" si="45"/>
        <v>23638.946363692812</v>
      </c>
      <c r="Z431" s="35">
        <f t="shared" si="46"/>
        <v>0</v>
      </c>
      <c r="AA431" s="35">
        <f t="shared" si="47"/>
        <v>1</v>
      </c>
      <c r="AB431" s="35">
        <f t="shared" si="48"/>
        <v>0</v>
      </c>
    </row>
    <row r="432" spans="1:28">
      <c r="A432" s="35">
        <v>421</v>
      </c>
      <c r="B432" s="35">
        <v>4.8848539577472927E-4</v>
      </c>
      <c r="C432" s="232">
        <v>87.64</v>
      </c>
      <c r="D432" s="35">
        <v>5.0624631266802913</v>
      </c>
      <c r="E432" s="232">
        <v>44.63</v>
      </c>
      <c r="F432" s="35">
        <v>5.0493907838457828</v>
      </c>
      <c r="G432" s="232">
        <v>13902.17</v>
      </c>
      <c r="H432" s="35">
        <v>8.7962971335714002</v>
      </c>
      <c r="I432" s="232">
        <v>13628.95</v>
      </c>
      <c r="J432" s="35">
        <v>7.6459275380729412</v>
      </c>
      <c r="K432" s="232">
        <v>21248.44</v>
      </c>
      <c r="L432" s="35">
        <v>8.4288033759842342</v>
      </c>
      <c r="M432" s="232">
        <v>47706.7</v>
      </c>
      <c r="N432" s="35">
        <v>7.3623743789341569</v>
      </c>
      <c r="P432" s="232">
        <v>-43.02</v>
      </c>
      <c r="Q432" s="35">
        <v>1.3072342834508532E-2</v>
      </c>
      <c r="R432" s="232">
        <v>-273.22000000000003</v>
      </c>
      <c r="S432" s="35">
        <v>1.150369595498459</v>
      </c>
      <c r="T432" s="232">
        <v>26458.27</v>
      </c>
      <c r="U432" s="35">
        <v>1.0664289970500773</v>
      </c>
      <c r="W432" s="35">
        <f t="shared" si="43"/>
        <v>696.63714172542655</v>
      </c>
      <c r="X432" s="35">
        <f t="shared" si="44"/>
        <v>57791.699774922949</v>
      </c>
      <c r="Y432" s="35">
        <f t="shared" si="45"/>
        <v>26863.179852503865</v>
      </c>
      <c r="Z432" s="35">
        <f t="shared" si="46"/>
        <v>0</v>
      </c>
      <c r="AA432" s="35">
        <f t="shared" si="47"/>
        <v>1</v>
      </c>
      <c r="AB432" s="35">
        <f t="shared" si="48"/>
        <v>0</v>
      </c>
    </row>
    <row r="433" spans="1:28">
      <c r="A433" s="35">
        <v>422</v>
      </c>
      <c r="B433" s="35">
        <v>5.2601534665241978E-4</v>
      </c>
      <c r="C433" s="232">
        <v>94.19</v>
      </c>
      <c r="D433" s="35">
        <v>5.0636769987087336</v>
      </c>
      <c r="E433" s="232">
        <v>57.2</v>
      </c>
      <c r="F433" s="35">
        <v>5.0525600844368768</v>
      </c>
      <c r="G433" s="232">
        <v>13984.33</v>
      </c>
      <c r="H433" s="35">
        <v>8.4192661077863225</v>
      </c>
      <c r="I433" s="232">
        <v>14671.75</v>
      </c>
      <c r="J433" s="35">
        <v>7.0641814355927215</v>
      </c>
      <c r="K433" s="232">
        <v>17663.97</v>
      </c>
      <c r="L433" s="35">
        <v>8.4550898997932205</v>
      </c>
      <c r="M433" s="232">
        <v>43861.440000000002</v>
      </c>
      <c r="N433" s="35">
        <v>7.371767229422753</v>
      </c>
      <c r="P433" s="232">
        <v>-36.99</v>
      </c>
      <c r="Q433" s="35">
        <v>1.1116914271856793E-2</v>
      </c>
      <c r="R433" s="232">
        <v>687.42</v>
      </c>
      <c r="S433" s="35">
        <v>1.355084672193601</v>
      </c>
      <c r="T433" s="232">
        <v>26197.47</v>
      </c>
      <c r="U433" s="35">
        <v>1.0833226703704675</v>
      </c>
      <c r="W433" s="35">
        <f t="shared" si="43"/>
        <v>592.83571359283962</v>
      </c>
      <c r="X433" s="35">
        <f t="shared" si="44"/>
        <v>67066.813609680044</v>
      </c>
      <c r="Y433" s="35">
        <f t="shared" si="45"/>
        <v>27968.663518523375</v>
      </c>
      <c r="Z433" s="35">
        <f t="shared" si="46"/>
        <v>0</v>
      </c>
      <c r="AA433" s="35">
        <f t="shared" si="47"/>
        <v>1</v>
      </c>
      <c r="AB433" s="35">
        <f t="shared" si="48"/>
        <v>0</v>
      </c>
    </row>
    <row r="434" spans="1:28">
      <c r="A434" s="35">
        <v>423</v>
      </c>
      <c r="B434" s="35">
        <v>4.6441830708365828E-4</v>
      </c>
      <c r="C434" s="232">
        <v>82.54</v>
      </c>
      <c r="D434" s="35">
        <v>5.0629111309339834</v>
      </c>
      <c r="E434" s="232">
        <v>49.78</v>
      </c>
      <c r="F434" s="35">
        <v>5.0518840003127963</v>
      </c>
      <c r="G434" s="232">
        <v>13537.06</v>
      </c>
      <c r="H434" s="35">
        <v>8.8206172229306556</v>
      </c>
      <c r="I434" s="232">
        <v>13342.83</v>
      </c>
      <c r="J434" s="35">
        <v>7.2542792779397196</v>
      </c>
      <c r="K434" s="232">
        <v>19355.810000000001</v>
      </c>
      <c r="L434" s="35">
        <v>8.8548782454414994</v>
      </c>
      <c r="M434" s="232">
        <v>45616.81</v>
      </c>
      <c r="N434" s="35">
        <v>7.7447266007915525</v>
      </c>
      <c r="P434" s="232">
        <v>-32.76</v>
      </c>
      <c r="Q434" s="35">
        <v>1.1027130621187098E-2</v>
      </c>
      <c r="R434" s="232">
        <v>-194.23</v>
      </c>
      <c r="S434" s="35">
        <v>1.566337944990936</v>
      </c>
      <c r="T434" s="232">
        <v>26261</v>
      </c>
      <c r="U434" s="35">
        <v>1.1101516446499469</v>
      </c>
      <c r="W434" s="35">
        <f t="shared" si="43"/>
        <v>584.11653105935488</v>
      </c>
      <c r="X434" s="35">
        <f t="shared" si="44"/>
        <v>78511.1272495468</v>
      </c>
      <c r="Y434" s="35">
        <f t="shared" si="45"/>
        <v>29246.582232497341</v>
      </c>
      <c r="Z434" s="35">
        <f t="shared" si="46"/>
        <v>0</v>
      </c>
      <c r="AA434" s="35">
        <f t="shared" si="47"/>
        <v>1</v>
      </c>
      <c r="AB434" s="35">
        <f t="shared" si="48"/>
        <v>0</v>
      </c>
    </row>
    <row r="435" spans="1:28">
      <c r="A435" s="35">
        <v>424</v>
      </c>
      <c r="B435" s="35">
        <v>4.5163186092289642E-4</v>
      </c>
      <c r="C435" s="232">
        <v>58.51</v>
      </c>
      <c r="D435" s="35">
        <v>5.0596764866445447</v>
      </c>
      <c r="E435" s="232">
        <v>35.18</v>
      </c>
      <c r="F435" s="35">
        <v>5.0496407528678757</v>
      </c>
      <c r="G435" s="232">
        <v>10068.34</v>
      </c>
      <c r="H435" s="35">
        <v>8.3330209438934535</v>
      </c>
      <c r="I435" s="232">
        <v>11999.22</v>
      </c>
      <c r="J435" s="35">
        <v>7.9195479052086748</v>
      </c>
      <c r="K435" s="232">
        <v>11790.18</v>
      </c>
      <c r="L435" s="35">
        <v>8.421202488303031</v>
      </c>
      <c r="M435" s="232">
        <v>37605.35</v>
      </c>
      <c r="N435" s="35">
        <v>7.2971408508579723</v>
      </c>
      <c r="P435" s="232">
        <v>-23.33</v>
      </c>
      <c r="Q435" s="35">
        <v>1.0035733776668998E-2</v>
      </c>
      <c r="R435" s="232">
        <v>1930.88</v>
      </c>
      <c r="S435" s="35">
        <v>0.41347303868477869</v>
      </c>
      <c r="T435" s="232">
        <v>25815.17</v>
      </c>
      <c r="U435" s="35">
        <v>1.1240616374450587</v>
      </c>
      <c r="W435" s="35">
        <f t="shared" si="43"/>
        <v>525.11668883344987</v>
      </c>
      <c r="X435" s="35">
        <f t="shared" si="44"/>
        <v>18742.771934238932</v>
      </c>
      <c r="Y435" s="35">
        <f t="shared" si="45"/>
        <v>30387.911872252938</v>
      </c>
      <c r="Z435" s="35">
        <f t="shared" si="46"/>
        <v>0</v>
      </c>
      <c r="AA435" s="35">
        <f t="shared" si="47"/>
        <v>0</v>
      </c>
      <c r="AB435" s="35">
        <f t="shared" si="48"/>
        <v>1</v>
      </c>
    </row>
    <row r="436" spans="1:28">
      <c r="A436" s="35">
        <v>425</v>
      </c>
      <c r="B436" s="35">
        <v>5.3397739662730537E-4</v>
      </c>
      <c r="C436" s="232">
        <v>68.650000000000006</v>
      </c>
      <c r="D436" s="35">
        <v>5.0633319450586827</v>
      </c>
      <c r="E436" s="232">
        <v>41.78</v>
      </c>
      <c r="F436" s="35">
        <v>5.0520295157757396</v>
      </c>
      <c r="G436" s="232">
        <v>10549.84</v>
      </c>
      <c r="H436" s="35">
        <v>8.2295552065215229</v>
      </c>
      <c r="I436" s="232">
        <v>12581.73</v>
      </c>
      <c r="J436" s="35">
        <v>7.0798900846462631</v>
      </c>
      <c r="K436" s="232">
        <v>10686.57</v>
      </c>
      <c r="L436" s="35">
        <v>8.3422754452590446</v>
      </c>
      <c r="M436" s="232">
        <v>36582.14</v>
      </c>
      <c r="N436" s="35">
        <v>7.2849755446783417</v>
      </c>
      <c r="P436" s="232">
        <v>-26.87</v>
      </c>
      <c r="Q436" s="35">
        <v>1.1302429282943116E-2</v>
      </c>
      <c r="R436" s="232">
        <v>2031.89</v>
      </c>
      <c r="S436" s="35">
        <v>1.1496651218752598</v>
      </c>
      <c r="T436" s="232">
        <v>25895.58</v>
      </c>
      <c r="U436" s="35">
        <v>1.0572999005807029</v>
      </c>
      <c r="W436" s="35">
        <f t="shared" si="43"/>
        <v>591.99146414715585</v>
      </c>
      <c r="X436" s="35">
        <f t="shared" si="44"/>
        <v>55451.36609376299</v>
      </c>
      <c r="Y436" s="35">
        <f t="shared" si="45"/>
        <v>26969.415029035146</v>
      </c>
      <c r="Z436" s="35">
        <f t="shared" si="46"/>
        <v>0</v>
      </c>
      <c r="AA436" s="35">
        <f t="shared" si="47"/>
        <v>1</v>
      </c>
      <c r="AB436" s="35">
        <f t="shared" si="48"/>
        <v>0</v>
      </c>
    </row>
    <row r="437" spans="1:28">
      <c r="A437" s="35">
        <v>426</v>
      </c>
      <c r="B437" s="35">
        <v>3.8963011787623034E-4</v>
      </c>
      <c r="C437" s="232">
        <v>61.81</v>
      </c>
      <c r="D437" s="35">
        <v>5.0583022816665393</v>
      </c>
      <c r="E437" s="232">
        <v>47.52</v>
      </c>
      <c r="F437" s="35">
        <v>5.0523851042263868</v>
      </c>
      <c r="G437" s="232">
        <v>10588.25</v>
      </c>
      <c r="H437" s="35">
        <v>8.2892984998382335</v>
      </c>
      <c r="I437" s="232">
        <v>9125.82</v>
      </c>
      <c r="J437" s="35">
        <v>6.4732714004497822</v>
      </c>
      <c r="K437" s="232">
        <v>18874.740000000002</v>
      </c>
      <c r="L437" s="35">
        <v>8.9268725327396687</v>
      </c>
      <c r="M437" s="232">
        <v>45278.3</v>
      </c>
      <c r="N437" s="35">
        <v>7.7394139445029246</v>
      </c>
      <c r="P437" s="232">
        <v>-14.28</v>
      </c>
      <c r="Q437" s="35">
        <v>5.9171774401525212E-3</v>
      </c>
      <c r="R437" s="232">
        <v>-1462.43</v>
      </c>
      <c r="S437" s="35">
        <v>1.8160270993884513</v>
      </c>
      <c r="T437" s="232">
        <v>26403.56</v>
      </c>
      <c r="U437" s="35">
        <v>1.1874585882367441</v>
      </c>
      <c r="W437" s="35">
        <f t="shared" si="43"/>
        <v>310.13887200762605</v>
      </c>
      <c r="X437" s="35">
        <f t="shared" si="44"/>
        <v>92263.784969422559</v>
      </c>
      <c r="Y437" s="35">
        <f t="shared" si="45"/>
        <v>32969.369411837208</v>
      </c>
      <c r="Z437" s="35">
        <f t="shared" si="46"/>
        <v>0</v>
      </c>
      <c r="AA437" s="35">
        <f t="shared" si="47"/>
        <v>1</v>
      </c>
      <c r="AB437" s="35">
        <f t="shared" si="48"/>
        <v>0</v>
      </c>
    </row>
    <row r="438" spans="1:28">
      <c r="A438" s="35">
        <v>427</v>
      </c>
      <c r="B438" s="35">
        <v>4.1025439962488796E-4</v>
      </c>
      <c r="C438" s="232">
        <v>52.86</v>
      </c>
      <c r="D438" s="35">
        <v>5.0599276391249548</v>
      </c>
      <c r="E438" s="232">
        <v>31.46</v>
      </c>
      <c r="F438" s="35">
        <v>5.0494930483170091</v>
      </c>
      <c r="G438" s="232">
        <v>10422.219999999999</v>
      </c>
      <c r="H438" s="35">
        <v>8.9308071099759072</v>
      </c>
      <c r="I438" s="232">
        <v>11452.27</v>
      </c>
      <c r="J438" s="35">
        <v>6.7877053770651123</v>
      </c>
      <c r="K438" s="232">
        <v>12465.33</v>
      </c>
      <c r="L438" s="35">
        <v>8.6334305896362729</v>
      </c>
      <c r="M438" s="232">
        <v>38608.58</v>
      </c>
      <c r="N438" s="35">
        <v>7.5152575258961862</v>
      </c>
      <c r="P438" s="232">
        <v>-21.4</v>
      </c>
      <c r="Q438" s="35">
        <v>1.0434590807945732E-2</v>
      </c>
      <c r="R438" s="232">
        <v>1030.06</v>
      </c>
      <c r="S438" s="35">
        <v>2.1431017329107949</v>
      </c>
      <c r="T438" s="232">
        <v>26143.25</v>
      </c>
      <c r="U438" s="35">
        <v>1.1181730637400866</v>
      </c>
      <c r="W438" s="35">
        <f t="shared" si="43"/>
        <v>543.12954039728652</v>
      </c>
      <c r="X438" s="35">
        <f t="shared" si="44"/>
        <v>106125.02664553975</v>
      </c>
      <c r="Y438" s="35">
        <f t="shared" si="45"/>
        <v>29765.403187004333</v>
      </c>
      <c r="Z438" s="35">
        <f t="shared" si="46"/>
        <v>0</v>
      </c>
      <c r="AA438" s="35">
        <f t="shared" si="47"/>
        <v>1</v>
      </c>
      <c r="AB438" s="35">
        <f t="shared" si="48"/>
        <v>0</v>
      </c>
    </row>
    <row r="439" spans="1:28">
      <c r="A439" s="35">
        <v>428</v>
      </c>
      <c r="B439" s="35">
        <v>4.3537462000899302E-4</v>
      </c>
      <c r="C439" s="232">
        <v>61.93</v>
      </c>
      <c r="D439" s="35">
        <v>5.0624652857896431</v>
      </c>
      <c r="E439" s="232">
        <v>38.72</v>
      </c>
      <c r="F439" s="35">
        <v>5.0518149922813471</v>
      </c>
      <c r="G439" s="232">
        <v>10964.65</v>
      </c>
      <c r="H439" s="35">
        <v>9.236676445525946</v>
      </c>
      <c r="I439" s="232">
        <v>12596.95</v>
      </c>
      <c r="J439" s="35">
        <v>8.7291361231539923</v>
      </c>
      <c r="K439" s="232">
        <v>14745.48</v>
      </c>
      <c r="L439" s="35">
        <v>8.8397250891528394</v>
      </c>
      <c r="M439" s="232">
        <v>40798.25</v>
      </c>
      <c r="N439" s="35">
        <v>7.7198039952981183</v>
      </c>
      <c r="P439" s="232">
        <v>-23.21</v>
      </c>
      <c r="Q439" s="35">
        <v>1.0650293508295938E-2</v>
      </c>
      <c r="R439" s="232">
        <v>1632.31</v>
      </c>
      <c r="S439" s="35">
        <v>0.50754032237195368</v>
      </c>
      <c r="T439" s="232">
        <v>26052.78</v>
      </c>
      <c r="U439" s="35">
        <v>1.1199210938547211</v>
      </c>
      <c r="W439" s="35">
        <f t="shared" si="43"/>
        <v>555.72467541479693</v>
      </c>
      <c r="X439" s="35">
        <f t="shared" si="44"/>
        <v>23744.706118597682</v>
      </c>
      <c r="Y439" s="35">
        <f t="shared" si="45"/>
        <v>29943.274692736057</v>
      </c>
      <c r="Z439" s="35">
        <f t="shared" si="46"/>
        <v>0</v>
      </c>
      <c r="AA439" s="35">
        <f t="shared" si="47"/>
        <v>0</v>
      </c>
      <c r="AB439" s="35">
        <f t="shared" si="48"/>
        <v>1</v>
      </c>
    </row>
    <row r="440" spans="1:28">
      <c r="A440" s="35">
        <v>429</v>
      </c>
      <c r="B440" s="35">
        <v>4.3325110395372519E-4</v>
      </c>
      <c r="C440" s="232">
        <v>88.16</v>
      </c>
      <c r="D440" s="35">
        <v>5.062734333376663</v>
      </c>
      <c r="E440" s="232">
        <v>58.52</v>
      </c>
      <c r="F440" s="35">
        <v>5.0533604490517874</v>
      </c>
      <c r="G440" s="232">
        <v>15401.32</v>
      </c>
      <c r="H440" s="35">
        <v>9.3010003523954143</v>
      </c>
      <c r="I440" s="232">
        <v>17162.11</v>
      </c>
      <c r="J440" s="35">
        <v>9.0296067843860754</v>
      </c>
      <c r="K440" s="232">
        <v>20790.32</v>
      </c>
      <c r="L440" s="35">
        <v>8.705474335212223</v>
      </c>
      <c r="M440" s="232">
        <v>47060.83</v>
      </c>
      <c r="N440" s="35">
        <v>7.5633228549955192</v>
      </c>
      <c r="P440" s="232">
        <v>-29.64</v>
      </c>
      <c r="Q440" s="35">
        <v>9.3738843248756254E-3</v>
      </c>
      <c r="R440" s="232">
        <v>1760.79</v>
      </c>
      <c r="S440" s="35">
        <v>0.27139356800933889</v>
      </c>
      <c r="T440" s="232">
        <v>26270.51</v>
      </c>
      <c r="U440" s="35">
        <v>1.1421514802167039</v>
      </c>
      <c r="W440" s="35">
        <f t="shared" si="43"/>
        <v>498.33421624378127</v>
      </c>
      <c r="X440" s="35">
        <f t="shared" si="44"/>
        <v>11808.888400466945</v>
      </c>
      <c r="Y440" s="35">
        <f t="shared" si="45"/>
        <v>30837.064010835198</v>
      </c>
      <c r="Z440" s="35">
        <f t="shared" si="46"/>
        <v>0</v>
      </c>
      <c r="AA440" s="35">
        <f t="shared" si="47"/>
        <v>0</v>
      </c>
      <c r="AB440" s="35">
        <f t="shared" si="48"/>
        <v>1</v>
      </c>
    </row>
    <row r="441" spans="1:28">
      <c r="A441" s="35">
        <v>430</v>
      </c>
      <c r="B441" s="35">
        <v>4.0430242735044956E-4</v>
      </c>
      <c r="C441" s="232">
        <v>82.22</v>
      </c>
      <c r="D441" s="35">
        <v>5.0597179889947892</v>
      </c>
      <c r="E441" s="232">
        <v>55.27</v>
      </c>
      <c r="F441" s="35">
        <v>5.0516028448392856</v>
      </c>
      <c r="G441" s="232">
        <v>16736.02</v>
      </c>
      <c r="H441" s="35">
        <v>9.0849235294719985</v>
      </c>
      <c r="I441" s="232">
        <v>18504.060000000001</v>
      </c>
      <c r="J441" s="35">
        <v>7.9731846292043809</v>
      </c>
      <c r="K441" s="232">
        <v>18432.689999999999</v>
      </c>
      <c r="L441" s="35">
        <v>8.3808552039868136</v>
      </c>
      <c r="M441" s="232">
        <v>44658.9</v>
      </c>
      <c r="N441" s="35">
        <v>7.2920332426493371</v>
      </c>
      <c r="P441" s="232">
        <v>-26.94</v>
      </c>
      <c r="Q441" s="35">
        <v>8.1151441555036286E-3</v>
      </c>
      <c r="R441" s="232">
        <v>1768.03</v>
      </c>
      <c r="S441" s="35">
        <v>1.1117389002676177</v>
      </c>
      <c r="T441" s="232">
        <v>26226.21</v>
      </c>
      <c r="U441" s="35">
        <v>1.0888219613374766</v>
      </c>
      <c r="W441" s="35">
        <f t="shared" si="43"/>
        <v>432.69720777518143</v>
      </c>
      <c r="X441" s="35">
        <f t="shared" si="44"/>
        <v>53818.915013380887</v>
      </c>
      <c r="Y441" s="35">
        <f t="shared" si="45"/>
        <v>28214.888066873827</v>
      </c>
      <c r="Z441" s="35">
        <f t="shared" si="46"/>
        <v>0</v>
      </c>
      <c r="AA441" s="35">
        <f t="shared" si="47"/>
        <v>1</v>
      </c>
      <c r="AB441" s="35">
        <f t="shared" si="48"/>
        <v>0</v>
      </c>
    </row>
    <row r="442" spans="1:28">
      <c r="A442" s="35">
        <v>431</v>
      </c>
      <c r="B442" s="35">
        <v>5.0873358426595239E-4</v>
      </c>
      <c r="C442" s="232">
        <v>90.21</v>
      </c>
      <c r="D442" s="35">
        <v>5.0646522208708085</v>
      </c>
      <c r="E442" s="232">
        <v>52.17</v>
      </c>
      <c r="F442" s="35">
        <v>5.0522924701850158</v>
      </c>
      <c r="G442" s="232">
        <v>13185.34</v>
      </c>
      <c r="H442" s="35">
        <v>8.7467774855006848</v>
      </c>
      <c r="I442" s="232">
        <v>13404.55</v>
      </c>
      <c r="J442" s="35">
        <v>7.6844514696403063</v>
      </c>
      <c r="K442" s="232">
        <v>19930.3</v>
      </c>
      <c r="L442" s="35">
        <v>8.7787570994187103</v>
      </c>
      <c r="M442" s="232">
        <v>46312.33</v>
      </c>
      <c r="N442" s="35">
        <v>7.6935285451691202</v>
      </c>
      <c r="P442" s="232">
        <v>-38.049999999999997</v>
      </c>
      <c r="Q442" s="35">
        <v>1.2359750685792648E-2</v>
      </c>
      <c r="R442" s="232">
        <v>219.21</v>
      </c>
      <c r="S442" s="35">
        <v>1.0623260158603784</v>
      </c>
      <c r="T442" s="232">
        <v>26382.04</v>
      </c>
      <c r="U442" s="35">
        <v>1.0852285542495901</v>
      </c>
      <c r="W442" s="35">
        <f t="shared" si="43"/>
        <v>656.03753428963228</v>
      </c>
      <c r="X442" s="35">
        <f t="shared" si="44"/>
        <v>52897.090793018921</v>
      </c>
      <c r="Y442" s="35">
        <f t="shared" si="45"/>
        <v>27879.387712479504</v>
      </c>
      <c r="Z442" s="35">
        <f t="shared" si="46"/>
        <v>0</v>
      </c>
      <c r="AA442" s="35">
        <f t="shared" si="47"/>
        <v>1</v>
      </c>
      <c r="AB442" s="35">
        <f t="shared" si="48"/>
        <v>0</v>
      </c>
    </row>
    <row r="443" spans="1:28">
      <c r="A443" s="35">
        <v>432</v>
      </c>
      <c r="B443" s="35">
        <v>6.0534837861625501E-4</v>
      </c>
      <c r="C443" s="232">
        <v>73.2</v>
      </c>
      <c r="D443" s="35">
        <v>5.0677181063913679</v>
      </c>
      <c r="E443" s="232">
        <v>41.95</v>
      </c>
      <c r="F443" s="35">
        <v>5.0535044688391224</v>
      </c>
      <c r="G443" s="232">
        <v>9686.31</v>
      </c>
      <c r="H443" s="35">
        <v>8.3821615132100078</v>
      </c>
      <c r="I443" s="232">
        <v>11104.89</v>
      </c>
      <c r="J443" s="35">
        <v>6.6794992694333768</v>
      </c>
      <c r="K443" s="232">
        <v>10728.61</v>
      </c>
      <c r="L443" s="35">
        <v>8.5756688399544778</v>
      </c>
      <c r="M443" s="232">
        <v>36430.04</v>
      </c>
      <c r="N443" s="35">
        <v>7.4879886035955145</v>
      </c>
      <c r="P443" s="232">
        <v>-31.25</v>
      </c>
      <c r="Q443" s="35">
        <v>1.4213637552245473E-2</v>
      </c>
      <c r="R443" s="232">
        <v>1418.58</v>
      </c>
      <c r="S443" s="35">
        <v>1.702662243776631</v>
      </c>
      <c r="T443" s="232">
        <v>25701.439999999999</v>
      </c>
      <c r="U443" s="35">
        <v>1.0876802363589633</v>
      </c>
      <c r="W443" s="35">
        <f t="shared" si="43"/>
        <v>741.93187761227364</v>
      </c>
      <c r="X443" s="35">
        <f t="shared" si="44"/>
        <v>83714.532188831552</v>
      </c>
      <c r="Y443" s="35">
        <f t="shared" si="45"/>
        <v>28682.571817948166</v>
      </c>
      <c r="Z443" s="35">
        <f t="shared" si="46"/>
        <v>0</v>
      </c>
      <c r="AA443" s="35">
        <f t="shared" si="47"/>
        <v>1</v>
      </c>
      <c r="AB443" s="35">
        <f t="shared" si="48"/>
        <v>0</v>
      </c>
    </row>
    <row r="444" spans="1:28">
      <c r="A444" s="35">
        <v>433</v>
      </c>
      <c r="B444" s="35">
        <v>5.0533318802103988E-4</v>
      </c>
      <c r="C444" s="232">
        <v>71.48</v>
      </c>
      <c r="D444" s="35">
        <v>5.0652882312331871</v>
      </c>
      <c r="E444" s="232">
        <v>41.97</v>
      </c>
      <c r="F444" s="35">
        <v>5.0525867878065958</v>
      </c>
      <c r="G444" s="232">
        <v>10778.15</v>
      </c>
      <c r="H444" s="35">
        <v>8.8718628891799138</v>
      </c>
      <c r="I444" s="232">
        <v>11710.22</v>
      </c>
      <c r="J444" s="35">
        <v>7.5577150210234478</v>
      </c>
      <c r="K444" s="232">
        <v>13607.63</v>
      </c>
      <c r="L444" s="35">
        <v>8.949089686933668</v>
      </c>
      <c r="M444" s="232">
        <v>39686.660000000003</v>
      </c>
      <c r="N444" s="35">
        <v>7.850891703517771</v>
      </c>
      <c r="P444" s="232">
        <v>-29.51</v>
      </c>
      <c r="Q444" s="35">
        <v>1.2701443426591297E-2</v>
      </c>
      <c r="R444" s="232">
        <v>932.07</v>
      </c>
      <c r="S444" s="35">
        <v>1.314147868156466</v>
      </c>
      <c r="T444" s="232">
        <v>26079.03</v>
      </c>
      <c r="U444" s="35">
        <v>1.098197983415897</v>
      </c>
      <c r="W444" s="35">
        <f t="shared" si="43"/>
        <v>664.58217132956486</v>
      </c>
      <c r="X444" s="35">
        <f t="shared" si="44"/>
        <v>64775.3234078233</v>
      </c>
      <c r="Y444" s="35">
        <f t="shared" si="45"/>
        <v>28830.869170794853</v>
      </c>
      <c r="Z444" s="35">
        <f t="shared" si="46"/>
        <v>0</v>
      </c>
      <c r="AA444" s="35">
        <f t="shared" si="47"/>
        <v>1</v>
      </c>
      <c r="AB444" s="35">
        <f t="shared" si="48"/>
        <v>0</v>
      </c>
    </row>
    <row r="445" spans="1:28">
      <c r="A445" s="35">
        <v>434</v>
      </c>
      <c r="B445" s="35">
        <v>5.5776234647852974E-4</v>
      </c>
      <c r="C445" s="232">
        <v>72.790000000000006</v>
      </c>
      <c r="D445" s="35">
        <v>5.0671309665418161</v>
      </c>
      <c r="E445" s="232">
        <v>46.5</v>
      </c>
      <c r="F445" s="35">
        <v>5.0551120580411393</v>
      </c>
      <c r="G445" s="232">
        <v>10638.48</v>
      </c>
      <c r="H445" s="35">
        <v>8.7815055612559352</v>
      </c>
      <c r="I445" s="232">
        <v>12686.07</v>
      </c>
      <c r="J445" s="35">
        <v>7.6728603121127827</v>
      </c>
      <c r="K445" s="232">
        <v>10684.06</v>
      </c>
      <c r="L445" s="35">
        <v>8.5944346504572415</v>
      </c>
      <c r="M445" s="232">
        <v>36642.839999999997</v>
      </c>
      <c r="N445" s="35">
        <v>7.4988558405099237</v>
      </c>
      <c r="P445" s="232">
        <v>-26.28</v>
      </c>
      <c r="Q445" s="35">
        <v>1.2018908500676773E-2</v>
      </c>
      <c r="R445" s="232">
        <v>2047.58</v>
      </c>
      <c r="S445" s="35">
        <v>1.1086452491431524</v>
      </c>
      <c r="T445" s="232">
        <v>25958.78</v>
      </c>
      <c r="U445" s="35">
        <v>1.0955788099473178</v>
      </c>
      <c r="W445" s="35">
        <f t="shared" si="43"/>
        <v>627.22542503383863</v>
      </c>
      <c r="X445" s="35">
        <f t="shared" si="44"/>
        <v>53384.682457157622</v>
      </c>
      <c r="Y445" s="35">
        <f t="shared" si="45"/>
        <v>28820.16049736589</v>
      </c>
      <c r="Z445" s="35">
        <f t="shared" si="46"/>
        <v>0</v>
      </c>
      <c r="AA445" s="35">
        <f t="shared" si="47"/>
        <v>1</v>
      </c>
      <c r="AB445" s="35">
        <f t="shared" si="48"/>
        <v>0</v>
      </c>
    </row>
    <row r="446" spans="1:28">
      <c r="A446" s="35">
        <v>435</v>
      </c>
      <c r="B446" s="35">
        <v>4.3539908794475564E-4</v>
      </c>
      <c r="C446" s="232">
        <v>73.56</v>
      </c>
      <c r="D446" s="35">
        <v>5.0598819802021469</v>
      </c>
      <c r="E446" s="232">
        <v>42.56</v>
      </c>
      <c r="F446" s="35">
        <v>5.0495317363353331</v>
      </c>
      <c r="G446" s="232">
        <v>13719.64</v>
      </c>
      <c r="H446" s="35">
        <v>8.7411594414797964</v>
      </c>
      <c r="I446" s="232">
        <v>14925.96</v>
      </c>
      <c r="J446" s="35">
        <v>7.2165133924515006</v>
      </c>
      <c r="K446" s="232">
        <v>15492.55</v>
      </c>
      <c r="L446" s="35">
        <v>8.394422323645621</v>
      </c>
      <c r="M446" s="232">
        <v>41491.99</v>
      </c>
      <c r="N446" s="35">
        <v>7.3788041367410804</v>
      </c>
      <c r="P446" s="232">
        <v>-31</v>
      </c>
      <c r="Q446" s="35">
        <v>1.0350243866813713E-2</v>
      </c>
      <c r="R446" s="232">
        <v>1206.32</v>
      </c>
      <c r="S446" s="35">
        <v>1.5246460490282958</v>
      </c>
      <c r="T446" s="232">
        <v>25999.439999999999</v>
      </c>
      <c r="U446" s="35">
        <v>1.0156181869045406</v>
      </c>
      <c r="W446" s="35">
        <f t="shared" si="43"/>
        <v>548.5121933406856</v>
      </c>
      <c r="X446" s="35">
        <f t="shared" si="44"/>
        <v>75025.982451414777</v>
      </c>
      <c r="Y446" s="35">
        <f t="shared" si="45"/>
        <v>24781.469345227033</v>
      </c>
      <c r="Z446" s="35">
        <f t="shared" si="46"/>
        <v>0</v>
      </c>
      <c r="AA446" s="35">
        <f t="shared" si="47"/>
        <v>1</v>
      </c>
      <c r="AB446" s="35">
        <f t="shared" si="48"/>
        <v>0</v>
      </c>
    </row>
    <row r="447" spans="1:28">
      <c r="A447" s="35">
        <v>436</v>
      </c>
      <c r="B447" s="35">
        <v>5.4184735387563521E-4</v>
      </c>
      <c r="C447" s="232">
        <v>74.430000000000007</v>
      </c>
      <c r="D447" s="35">
        <v>5.0683453059313903</v>
      </c>
      <c r="E447" s="232">
        <v>46.92</v>
      </c>
      <c r="F447" s="35">
        <v>5.0556033442970101</v>
      </c>
      <c r="G447" s="232">
        <v>11080.23</v>
      </c>
      <c r="H447" s="35">
        <v>9.2661275994131724</v>
      </c>
      <c r="I447" s="232">
        <v>11955.64</v>
      </c>
      <c r="J447" s="35">
        <v>6.8451938814155842</v>
      </c>
      <c r="K447" s="232">
        <v>12491.32</v>
      </c>
      <c r="L447" s="35">
        <v>8.75232663679793</v>
      </c>
      <c r="M447" s="232">
        <v>38427.58</v>
      </c>
      <c r="N447" s="35">
        <v>7.7151846554610266</v>
      </c>
      <c r="P447" s="232">
        <v>-27.51</v>
      </c>
      <c r="Q447" s="35">
        <v>1.2741961634380239E-2</v>
      </c>
      <c r="R447" s="232">
        <v>875.41</v>
      </c>
      <c r="S447" s="35">
        <v>2.4209337179975883</v>
      </c>
      <c r="T447" s="232">
        <v>25936.26</v>
      </c>
      <c r="U447" s="35">
        <v>1.0371419813369034</v>
      </c>
      <c r="W447" s="35">
        <f t="shared" si="43"/>
        <v>664.60808171901192</v>
      </c>
      <c r="X447" s="35">
        <f t="shared" si="44"/>
        <v>120171.27589987942</v>
      </c>
      <c r="Y447" s="35">
        <f t="shared" si="45"/>
        <v>25920.839066845172</v>
      </c>
      <c r="Z447" s="35">
        <f t="shared" si="46"/>
        <v>0</v>
      </c>
      <c r="AA447" s="35">
        <f t="shared" si="47"/>
        <v>1</v>
      </c>
      <c r="AB447" s="35">
        <f t="shared" si="48"/>
        <v>0</v>
      </c>
    </row>
    <row r="448" spans="1:28">
      <c r="A448" s="35">
        <v>437</v>
      </c>
      <c r="B448" s="35">
        <v>4.5671778957245834E-4</v>
      </c>
      <c r="C448" s="232">
        <v>80.87</v>
      </c>
      <c r="D448" s="35">
        <v>5.0633801643768104</v>
      </c>
      <c r="E448" s="232">
        <v>51.72</v>
      </c>
      <c r="F448" s="35">
        <v>5.0530484386733692</v>
      </c>
      <c r="G448" s="232">
        <v>14250.16</v>
      </c>
      <c r="H448" s="35">
        <v>8.9853437144261346</v>
      </c>
      <c r="I448" s="232">
        <v>15596.73</v>
      </c>
      <c r="J448" s="35">
        <v>8.0032224180615987</v>
      </c>
      <c r="K448" s="232">
        <v>18535.07</v>
      </c>
      <c r="L448" s="35">
        <v>9.0751983251571851</v>
      </c>
      <c r="M448" s="232">
        <v>44854.6</v>
      </c>
      <c r="N448" s="35">
        <v>7.9711789321049418</v>
      </c>
      <c r="P448" s="232">
        <v>-29.16</v>
      </c>
      <c r="Q448" s="35">
        <v>1.0331725703441208E-2</v>
      </c>
      <c r="R448" s="232">
        <v>1346.57</v>
      </c>
      <c r="S448" s="35">
        <v>0.98212129636453582</v>
      </c>
      <c r="T448" s="232">
        <v>26319.53</v>
      </c>
      <c r="U448" s="35">
        <v>1.1040193930522433</v>
      </c>
      <c r="W448" s="35">
        <f t="shared" si="43"/>
        <v>545.74628517206031</v>
      </c>
      <c r="X448" s="35">
        <f t="shared" si="44"/>
        <v>47759.494818226791</v>
      </c>
      <c r="Y448" s="35">
        <f t="shared" si="45"/>
        <v>28881.439652612164</v>
      </c>
      <c r="Z448" s="35">
        <f t="shared" si="46"/>
        <v>0</v>
      </c>
      <c r="AA448" s="35">
        <f t="shared" si="47"/>
        <v>1</v>
      </c>
      <c r="AB448" s="35">
        <f t="shared" si="48"/>
        <v>0</v>
      </c>
    </row>
    <row r="449" spans="1:28">
      <c r="A449" s="35">
        <v>438</v>
      </c>
      <c r="B449" s="35">
        <v>4.6364537992471533E-4</v>
      </c>
      <c r="C449" s="232">
        <v>58.33</v>
      </c>
      <c r="D449" s="35">
        <v>5.0643248263285576</v>
      </c>
      <c r="E449" s="232">
        <v>36.75</v>
      </c>
      <c r="F449" s="35">
        <v>5.0528984388167499</v>
      </c>
      <c r="G449" s="232">
        <v>9660.1200000000008</v>
      </c>
      <c r="H449" s="35">
        <v>9.2360109210144685</v>
      </c>
      <c r="I449" s="232">
        <v>11680.73</v>
      </c>
      <c r="J449" s="35">
        <v>8.9894809570319083</v>
      </c>
      <c r="K449" s="232">
        <v>11833.91</v>
      </c>
      <c r="L449" s="35">
        <v>8.8930915889023368</v>
      </c>
      <c r="M449" s="232">
        <v>37649.99</v>
      </c>
      <c r="N449" s="35">
        <v>7.7198933280439235</v>
      </c>
      <c r="P449" s="232">
        <v>-21.58</v>
      </c>
      <c r="Q449" s="35">
        <v>1.142638751180769E-2</v>
      </c>
      <c r="R449" s="232">
        <v>2020.61</v>
      </c>
      <c r="S449" s="35">
        <v>0.24652996398256022</v>
      </c>
      <c r="T449" s="232">
        <v>25816.080000000002</v>
      </c>
      <c r="U449" s="35">
        <v>1.1731982608584133</v>
      </c>
      <c r="W449" s="35">
        <f t="shared" si="43"/>
        <v>592.89937559038447</v>
      </c>
      <c r="X449" s="35">
        <f t="shared" si="44"/>
        <v>10305.88819912801</v>
      </c>
      <c r="Y449" s="35">
        <f t="shared" si="45"/>
        <v>32843.833042920662</v>
      </c>
      <c r="Z449" s="35">
        <f t="shared" si="46"/>
        <v>0</v>
      </c>
      <c r="AA449" s="35">
        <f t="shared" si="47"/>
        <v>0</v>
      </c>
      <c r="AB449" s="35">
        <f t="shared" si="48"/>
        <v>1</v>
      </c>
    </row>
    <row r="450" spans="1:28">
      <c r="A450" s="35">
        <v>439</v>
      </c>
      <c r="B450" s="35">
        <v>5.0323665053120248E-4</v>
      </c>
      <c r="C450" s="232">
        <v>72.569999999999993</v>
      </c>
      <c r="D450" s="35">
        <v>5.066092064407651</v>
      </c>
      <c r="E450" s="232">
        <v>46.26</v>
      </c>
      <c r="F450" s="35">
        <v>5.0544549692917879</v>
      </c>
      <c r="G450" s="232">
        <v>10902.86</v>
      </c>
      <c r="H450" s="35">
        <v>8.9725451226030248</v>
      </c>
      <c r="I450" s="232">
        <v>12232.45</v>
      </c>
      <c r="J450" s="35">
        <v>8.2167262443879316</v>
      </c>
      <c r="K450" s="232">
        <v>15187.9</v>
      </c>
      <c r="L450" s="35">
        <v>9.161554564515848</v>
      </c>
      <c r="M450" s="232">
        <v>41301.879999999997</v>
      </c>
      <c r="N450" s="35">
        <v>8.0010665970321533</v>
      </c>
      <c r="P450" s="232">
        <v>-26.32</v>
      </c>
      <c r="Q450" s="35">
        <v>1.1637095115863083E-2</v>
      </c>
      <c r="R450" s="232">
        <v>1329.59</v>
      </c>
      <c r="S450" s="35">
        <v>0.75581887821509319</v>
      </c>
      <c r="T450" s="232">
        <v>26113.98</v>
      </c>
      <c r="U450" s="35">
        <v>1.1604879674836948</v>
      </c>
      <c r="W450" s="35">
        <f t="shared" si="43"/>
        <v>608.17475579315419</v>
      </c>
      <c r="X450" s="35">
        <f t="shared" si="44"/>
        <v>36461.35391075466</v>
      </c>
      <c r="Y450" s="35">
        <f t="shared" si="45"/>
        <v>31910.418374184741</v>
      </c>
      <c r="Z450" s="35">
        <f t="shared" si="46"/>
        <v>0</v>
      </c>
      <c r="AA450" s="35">
        <f t="shared" si="47"/>
        <v>1</v>
      </c>
      <c r="AB450" s="35">
        <f t="shared" si="48"/>
        <v>0</v>
      </c>
    </row>
    <row r="451" spans="1:28">
      <c r="A451" s="35">
        <v>440</v>
      </c>
      <c r="B451" s="35">
        <v>4.0114608387939097E-4</v>
      </c>
      <c r="C451" s="232">
        <v>71.98</v>
      </c>
      <c r="D451" s="35">
        <v>5.0572715429528312</v>
      </c>
      <c r="E451" s="232">
        <v>42.89</v>
      </c>
      <c r="F451" s="35">
        <v>5.0484655694287985</v>
      </c>
      <c r="G451" s="232">
        <v>13727.81</v>
      </c>
      <c r="H451" s="35">
        <v>8.3118975350141149</v>
      </c>
      <c r="I451" s="232">
        <v>13576.64</v>
      </c>
      <c r="J451" s="35">
        <v>6.7502157357551171</v>
      </c>
      <c r="K451" s="232">
        <v>19269.849999999999</v>
      </c>
      <c r="L451" s="35">
        <v>8.32310922211364</v>
      </c>
      <c r="M451" s="232">
        <v>45597.52</v>
      </c>
      <c r="N451" s="35">
        <v>7.1855499055960443</v>
      </c>
      <c r="P451" s="232">
        <v>-29.09</v>
      </c>
      <c r="Q451" s="35">
        <v>8.8059735240326731E-3</v>
      </c>
      <c r="R451" s="232">
        <v>-151.16999999999999</v>
      </c>
      <c r="S451" s="35">
        <v>1.5616817992589977</v>
      </c>
      <c r="T451" s="232">
        <v>26327.67</v>
      </c>
      <c r="U451" s="35">
        <v>1.1375593165175957</v>
      </c>
      <c r="W451" s="35">
        <f t="shared" si="43"/>
        <v>469.38867620163364</v>
      </c>
      <c r="X451" s="35">
        <f t="shared" si="44"/>
        <v>78235.259962949887</v>
      </c>
      <c r="Y451" s="35">
        <f t="shared" si="45"/>
        <v>30550.295825879788</v>
      </c>
      <c r="Z451" s="35">
        <f t="shared" si="46"/>
        <v>0</v>
      </c>
      <c r="AA451" s="35">
        <f t="shared" si="47"/>
        <v>1</v>
      </c>
      <c r="AB451" s="35">
        <f t="shared" si="48"/>
        <v>0</v>
      </c>
    </row>
    <row r="452" spans="1:28">
      <c r="A452" s="35">
        <v>441</v>
      </c>
      <c r="B452" s="35">
        <v>3.8953981266084698E-4</v>
      </c>
      <c r="C452" s="232">
        <v>51.51</v>
      </c>
      <c r="D452" s="35">
        <v>5.0595220870692286</v>
      </c>
      <c r="E452" s="232">
        <v>30.2</v>
      </c>
      <c r="F452" s="35">
        <v>5.0490500001664325</v>
      </c>
      <c r="G452" s="232">
        <v>10501.21</v>
      </c>
      <c r="H452" s="35">
        <v>9.2130331232193843</v>
      </c>
      <c r="I452" s="232">
        <v>11126.64</v>
      </c>
      <c r="J452" s="35">
        <v>7.0967426294773075</v>
      </c>
      <c r="K452" s="232">
        <v>12534.92</v>
      </c>
      <c r="L452" s="35">
        <v>8.6570389490593218</v>
      </c>
      <c r="M452" s="232">
        <v>38545.47</v>
      </c>
      <c r="N452" s="35">
        <v>7.5178167472178643</v>
      </c>
      <c r="P452" s="232">
        <v>-21.31</v>
      </c>
      <c r="Q452" s="35">
        <v>1.0472086902796107E-2</v>
      </c>
      <c r="R452" s="232">
        <v>625.42999999999995</v>
      </c>
      <c r="S452" s="35">
        <v>2.1162904937420768</v>
      </c>
      <c r="T452" s="232">
        <v>26010.55</v>
      </c>
      <c r="U452" s="35">
        <v>1.1392222018414575</v>
      </c>
      <c r="W452" s="35">
        <f t="shared" si="43"/>
        <v>544.91434513980528</v>
      </c>
      <c r="X452" s="35">
        <f t="shared" si="44"/>
        <v>105189.09468710385</v>
      </c>
      <c r="Y452" s="35">
        <f t="shared" si="45"/>
        <v>30950.560092072879</v>
      </c>
      <c r="Z452" s="35">
        <f t="shared" si="46"/>
        <v>0</v>
      </c>
      <c r="AA452" s="35">
        <f t="shared" si="47"/>
        <v>1</v>
      </c>
      <c r="AB452" s="35">
        <f t="shared" si="48"/>
        <v>0</v>
      </c>
    </row>
    <row r="453" spans="1:28">
      <c r="A453" s="35">
        <v>442</v>
      </c>
      <c r="B453" s="35">
        <v>4.367988876359288E-4</v>
      </c>
      <c r="C453" s="232">
        <v>79.08</v>
      </c>
      <c r="D453" s="35">
        <v>5.0580526991799442</v>
      </c>
      <c r="E453" s="232">
        <v>46.44</v>
      </c>
      <c r="F453" s="35">
        <v>5.048810604808204</v>
      </c>
      <c r="G453" s="232">
        <v>14735.33</v>
      </c>
      <c r="H453" s="35">
        <v>8.0185647711064227</v>
      </c>
      <c r="I453" s="232">
        <v>16122.39</v>
      </c>
      <c r="J453" s="35">
        <v>6.3969180494240927</v>
      </c>
      <c r="K453" s="232">
        <v>16684.72</v>
      </c>
      <c r="L453" s="35">
        <v>8.4039185520322288</v>
      </c>
      <c r="M453" s="232">
        <v>42927.92</v>
      </c>
      <c r="N453" s="35">
        <v>7.3319243966946219</v>
      </c>
      <c r="P453" s="232">
        <v>-32.64</v>
      </c>
      <c r="Q453" s="35">
        <v>9.2420943717401727E-3</v>
      </c>
      <c r="R453" s="232">
        <v>1387.06</v>
      </c>
      <c r="S453" s="35">
        <v>1.62164672168233</v>
      </c>
      <c r="T453" s="232">
        <v>26243.200000000001</v>
      </c>
      <c r="U453" s="35">
        <v>1.0719941553376069</v>
      </c>
      <c r="W453" s="35">
        <f t="shared" si="43"/>
        <v>494.74471858700861</v>
      </c>
      <c r="X453" s="35">
        <f t="shared" si="44"/>
        <v>79695.2760841165</v>
      </c>
      <c r="Y453" s="35">
        <f t="shared" si="45"/>
        <v>27356.507766880346</v>
      </c>
      <c r="Z453" s="35">
        <f t="shared" si="46"/>
        <v>0</v>
      </c>
      <c r="AA453" s="35">
        <f t="shared" si="47"/>
        <v>1</v>
      </c>
      <c r="AB453" s="35">
        <f t="shared" si="48"/>
        <v>0</v>
      </c>
    </row>
    <row r="454" spans="1:28">
      <c r="A454" s="35">
        <v>443</v>
      </c>
      <c r="B454" s="35">
        <v>4.1888422684770171E-4</v>
      </c>
      <c r="C454" s="232">
        <v>60.11</v>
      </c>
      <c r="D454" s="35">
        <v>5.0620744939049054</v>
      </c>
      <c r="E454" s="232">
        <v>47.01</v>
      </c>
      <c r="F454" s="35">
        <v>5.0553408507123452</v>
      </c>
      <c r="G454" s="232">
        <v>10898.47</v>
      </c>
      <c r="H454" s="35">
        <v>9.1491158683926805</v>
      </c>
      <c r="I454" s="232">
        <v>12064.01</v>
      </c>
      <c r="J454" s="35">
        <v>7.8516784427724273</v>
      </c>
      <c r="K454" s="232">
        <v>13290.23</v>
      </c>
      <c r="L454" s="35">
        <v>8.9576178561696302</v>
      </c>
      <c r="M454" s="232">
        <v>39409.11</v>
      </c>
      <c r="N454" s="35">
        <v>7.8432237765306061</v>
      </c>
      <c r="P454" s="232">
        <v>-13.1</v>
      </c>
      <c r="Q454" s="35">
        <v>6.7336431925602014E-3</v>
      </c>
      <c r="R454" s="232">
        <v>1165.55</v>
      </c>
      <c r="S454" s="35">
        <v>1.2974374256202532</v>
      </c>
      <c r="T454" s="232">
        <v>26118.880000000001</v>
      </c>
      <c r="U454" s="35">
        <v>1.1143940796390241</v>
      </c>
      <c r="W454" s="35">
        <f t="shared" si="43"/>
        <v>349.78215962801011</v>
      </c>
      <c r="X454" s="35">
        <f t="shared" si="44"/>
        <v>63706.321281012657</v>
      </c>
      <c r="Y454" s="35">
        <f t="shared" si="45"/>
        <v>29600.823981951205</v>
      </c>
      <c r="Z454" s="35">
        <f t="shared" si="46"/>
        <v>0</v>
      </c>
      <c r="AA454" s="35">
        <f t="shared" si="47"/>
        <v>1</v>
      </c>
      <c r="AB454" s="35">
        <f t="shared" si="48"/>
        <v>0</v>
      </c>
    </row>
    <row r="455" spans="1:28">
      <c r="A455" s="35">
        <v>444</v>
      </c>
      <c r="B455" s="35">
        <v>3.9535310591774851E-4</v>
      </c>
      <c r="C455" s="232">
        <v>77.47</v>
      </c>
      <c r="D455" s="35">
        <v>5.0584387305409511</v>
      </c>
      <c r="E455" s="232">
        <v>44.81</v>
      </c>
      <c r="F455" s="35">
        <v>5.0488177880278062</v>
      </c>
      <c r="G455" s="232">
        <v>14890.31</v>
      </c>
      <c r="H455" s="35">
        <v>8.73765409595606</v>
      </c>
      <c r="I455" s="232">
        <v>15215.04</v>
      </c>
      <c r="J455" s="35">
        <v>7.6945100912402493</v>
      </c>
      <c r="K455" s="232">
        <v>20913.919999999998</v>
      </c>
      <c r="L455" s="35">
        <v>8.5839945345385154</v>
      </c>
      <c r="M455" s="232">
        <v>47105.45</v>
      </c>
      <c r="N455" s="35">
        <v>7.4978227807649409</v>
      </c>
      <c r="P455" s="232">
        <v>-32.659999999999997</v>
      </c>
      <c r="Q455" s="35">
        <v>9.6209425131448256E-3</v>
      </c>
      <c r="R455" s="232">
        <v>324.73</v>
      </c>
      <c r="S455" s="35">
        <v>1.0431440047158107</v>
      </c>
      <c r="T455" s="232">
        <v>26191.53</v>
      </c>
      <c r="U455" s="35">
        <v>1.0861717537735744</v>
      </c>
      <c r="W455" s="35">
        <f t="shared" si="43"/>
        <v>513.70712565724125</v>
      </c>
      <c r="X455" s="35">
        <f t="shared" si="44"/>
        <v>51832.470235790533</v>
      </c>
      <c r="Y455" s="35">
        <f t="shared" si="45"/>
        <v>28117.057688678724</v>
      </c>
      <c r="Z455" s="35">
        <f t="shared" si="46"/>
        <v>0</v>
      </c>
      <c r="AA455" s="35">
        <f t="shared" si="47"/>
        <v>1</v>
      </c>
      <c r="AB455" s="35">
        <f t="shared" si="48"/>
        <v>0</v>
      </c>
    </row>
    <row r="456" spans="1:28">
      <c r="A456" s="35">
        <v>445</v>
      </c>
      <c r="B456" s="35">
        <v>5.2042767968474291E-4</v>
      </c>
      <c r="C456" s="232">
        <v>70.489999999999995</v>
      </c>
      <c r="D456" s="35">
        <v>5.0621572404351598</v>
      </c>
      <c r="E456" s="232">
        <v>41.23</v>
      </c>
      <c r="F456" s="35">
        <v>5.0508378121504354</v>
      </c>
      <c r="G456" s="232">
        <v>10256.56</v>
      </c>
      <c r="H456" s="35">
        <v>8.1370438239349081</v>
      </c>
      <c r="I456" s="232">
        <v>10796.03</v>
      </c>
      <c r="J456" s="35">
        <v>6.7139977573158358</v>
      </c>
      <c r="K456" s="232">
        <v>14050.88</v>
      </c>
      <c r="L456" s="35">
        <v>8.3073209037954463</v>
      </c>
      <c r="M456" s="232">
        <v>40102.06</v>
      </c>
      <c r="N456" s="35">
        <v>7.2139469253900739</v>
      </c>
      <c r="P456" s="232">
        <v>-29.26</v>
      </c>
      <c r="Q456" s="35">
        <v>1.1319428284724431E-2</v>
      </c>
      <c r="R456" s="232">
        <v>539.47</v>
      </c>
      <c r="S456" s="35">
        <v>1.4230460666190723</v>
      </c>
      <c r="T456" s="232">
        <v>26051.18</v>
      </c>
      <c r="U456" s="35">
        <v>1.0933739784053724</v>
      </c>
      <c r="W456" s="35">
        <f t="shared" si="43"/>
        <v>595.23141423622155</v>
      </c>
      <c r="X456" s="35">
        <f t="shared" si="44"/>
        <v>70612.83333095361</v>
      </c>
      <c r="Y456" s="35">
        <f t="shared" si="45"/>
        <v>28617.518920268623</v>
      </c>
      <c r="Z456" s="35">
        <f t="shared" si="46"/>
        <v>0</v>
      </c>
      <c r="AA456" s="35">
        <f t="shared" si="47"/>
        <v>1</v>
      </c>
      <c r="AB456" s="35">
        <f t="shared" si="48"/>
        <v>0</v>
      </c>
    </row>
    <row r="457" spans="1:28">
      <c r="A457" s="35">
        <v>446</v>
      </c>
      <c r="B457" s="35">
        <v>4.8947990222347748E-4</v>
      </c>
      <c r="C457" s="232">
        <v>59.55</v>
      </c>
      <c r="D457" s="35">
        <v>5.0676083191342416</v>
      </c>
      <c r="E457" s="232">
        <v>34.83</v>
      </c>
      <c r="F457" s="35">
        <v>5.0534580812538481</v>
      </c>
      <c r="G457" s="232">
        <v>9516.0400000000009</v>
      </c>
      <c r="H457" s="35">
        <v>9.7731722243810228</v>
      </c>
      <c r="I457" s="232">
        <v>11302.61</v>
      </c>
      <c r="J457" s="35">
        <v>8.7553834773658998</v>
      </c>
      <c r="K457" s="232">
        <v>9439.16</v>
      </c>
      <c r="L457" s="35">
        <v>9.0386150519878861</v>
      </c>
      <c r="M457" s="232">
        <v>35355.01</v>
      </c>
      <c r="N457" s="35">
        <v>7.8720300040838458</v>
      </c>
      <c r="P457" s="232">
        <v>-24.72</v>
      </c>
      <c r="Q457" s="35">
        <v>1.415023788039349E-2</v>
      </c>
      <c r="R457" s="232">
        <v>1786.57</v>
      </c>
      <c r="S457" s="35">
        <v>1.017788747015123</v>
      </c>
      <c r="T457" s="232">
        <v>25915.85</v>
      </c>
      <c r="U457" s="35">
        <v>1.1665850479040403</v>
      </c>
      <c r="W457" s="35">
        <f t="shared" si="43"/>
        <v>732.23189401967454</v>
      </c>
      <c r="X457" s="35">
        <f t="shared" si="44"/>
        <v>49102.867350756147</v>
      </c>
      <c r="Y457" s="35">
        <f t="shared" si="45"/>
        <v>32413.402395202014</v>
      </c>
      <c r="Z457" s="35">
        <f t="shared" si="46"/>
        <v>0</v>
      </c>
      <c r="AA457" s="35">
        <f t="shared" si="47"/>
        <v>1</v>
      </c>
      <c r="AB457" s="35">
        <f t="shared" si="48"/>
        <v>0</v>
      </c>
    </row>
    <row r="458" spans="1:28">
      <c r="A458" s="35">
        <v>447</v>
      </c>
      <c r="B458" s="35">
        <v>4.1147036996703833E-4</v>
      </c>
      <c r="C458" s="232">
        <v>55.24</v>
      </c>
      <c r="D458" s="35">
        <v>5.0571469619592779</v>
      </c>
      <c r="E458" s="232">
        <v>43.48</v>
      </c>
      <c r="F458" s="35">
        <v>5.0517806174020299</v>
      </c>
      <c r="G458" s="232">
        <v>9829.1200000000008</v>
      </c>
      <c r="H458" s="35">
        <v>7.9830590018620402</v>
      </c>
      <c r="I458" s="232">
        <v>11063.15</v>
      </c>
      <c r="J458" s="35">
        <v>7.0812023638030288</v>
      </c>
      <c r="K458" s="232">
        <v>13531.93</v>
      </c>
      <c r="L458" s="35">
        <v>8.356576670734027</v>
      </c>
      <c r="M458" s="232">
        <v>39514.71</v>
      </c>
      <c r="N458" s="35">
        <v>7.386482220031886</v>
      </c>
      <c r="P458" s="232">
        <v>-11.76</v>
      </c>
      <c r="Q458" s="35">
        <v>5.3663445572480484E-3</v>
      </c>
      <c r="R458" s="232">
        <v>1234.03</v>
      </c>
      <c r="S458" s="35">
        <v>0.9018566380590114</v>
      </c>
      <c r="T458" s="232">
        <v>25982.78</v>
      </c>
      <c r="U458" s="35">
        <v>0.97009445070214095</v>
      </c>
      <c r="W458" s="35">
        <f t="shared" si="43"/>
        <v>280.07722786240242</v>
      </c>
      <c r="X458" s="35">
        <f t="shared" si="44"/>
        <v>43858.801902950574</v>
      </c>
      <c r="Y458" s="35">
        <f t="shared" si="45"/>
        <v>22521.942535107046</v>
      </c>
      <c r="Z458" s="35">
        <f t="shared" si="46"/>
        <v>0</v>
      </c>
      <c r="AA458" s="35">
        <f t="shared" si="47"/>
        <v>1</v>
      </c>
      <c r="AB458" s="35">
        <f t="shared" si="48"/>
        <v>0</v>
      </c>
    </row>
    <row r="459" spans="1:28">
      <c r="A459" s="35">
        <v>448</v>
      </c>
      <c r="B459" s="35">
        <v>3.9560336963387148E-4</v>
      </c>
      <c r="C459" s="232">
        <v>52.22</v>
      </c>
      <c r="D459" s="35">
        <v>5.0581376929217061</v>
      </c>
      <c r="E459" s="232">
        <v>33.479999999999997</v>
      </c>
      <c r="F459" s="35">
        <v>5.0494626952756914</v>
      </c>
      <c r="G459" s="232">
        <v>10204.620000000001</v>
      </c>
      <c r="H459" s="35">
        <v>8.6550246082623534</v>
      </c>
      <c r="I459" s="232">
        <v>11861.22</v>
      </c>
      <c r="J459" s="35">
        <v>7.897619382424315</v>
      </c>
      <c r="K459" s="232">
        <v>12124.8</v>
      </c>
      <c r="L459" s="35">
        <v>8.5285978746969171</v>
      </c>
      <c r="M459" s="232">
        <v>38067.99</v>
      </c>
      <c r="N459" s="35">
        <v>7.3715460169351896</v>
      </c>
      <c r="P459" s="232">
        <v>-18.75</v>
      </c>
      <c r="Q459" s="35">
        <v>8.6749976460147593E-3</v>
      </c>
      <c r="R459" s="232">
        <v>1656.6</v>
      </c>
      <c r="S459" s="35">
        <v>0.75740522583803838</v>
      </c>
      <c r="T459" s="232">
        <v>25943.19</v>
      </c>
      <c r="U459" s="35">
        <v>1.1570518577617275</v>
      </c>
      <c r="W459" s="35">
        <f t="shared" si="43"/>
        <v>452.49988230073797</v>
      </c>
      <c r="X459" s="35">
        <f t="shared" si="44"/>
        <v>36213.661291901917</v>
      </c>
      <c r="Y459" s="35">
        <f t="shared" si="45"/>
        <v>31909.402888086373</v>
      </c>
      <c r="Z459" s="35">
        <f t="shared" si="46"/>
        <v>0</v>
      </c>
      <c r="AA459" s="35">
        <f t="shared" si="47"/>
        <v>1</v>
      </c>
      <c r="AB459" s="35">
        <f t="shared" si="48"/>
        <v>0</v>
      </c>
    </row>
    <row r="460" spans="1:28">
      <c r="A460" s="35">
        <v>449</v>
      </c>
      <c r="B460" s="35">
        <v>4.4278455789322044E-4</v>
      </c>
      <c r="C460" s="232">
        <v>68.540000000000006</v>
      </c>
      <c r="D460" s="35">
        <v>5.0624138555197922</v>
      </c>
      <c r="E460" s="232">
        <v>38.450000000000003</v>
      </c>
      <c r="F460" s="35">
        <v>5.0503511062134772</v>
      </c>
      <c r="G460" s="232">
        <v>11732.6</v>
      </c>
      <c r="H460" s="35">
        <v>8.8246759211795478</v>
      </c>
      <c r="I460" s="232">
        <v>12687.31</v>
      </c>
      <c r="J460" s="35">
        <v>7.7631157899179497</v>
      </c>
      <c r="K460" s="232">
        <v>16273.97</v>
      </c>
      <c r="L460" s="35">
        <v>9.2834000907203436</v>
      </c>
      <c r="M460" s="232">
        <v>42353.62</v>
      </c>
      <c r="N460" s="35">
        <v>8.1033790963596335</v>
      </c>
      <c r="P460" s="232">
        <v>-30.09</v>
      </c>
      <c r="Q460" s="35">
        <v>1.2062749306315013E-2</v>
      </c>
      <c r="R460" s="232">
        <v>954.71</v>
      </c>
      <c r="S460" s="35">
        <v>1.0615601312615981</v>
      </c>
      <c r="T460" s="232">
        <v>26079.65</v>
      </c>
      <c r="U460" s="35">
        <v>1.1800209943607101</v>
      </c>
      <c r="W460" s="35">
        <f t="shared" ref="W460:W523" si="49">$X$2*Q460-P460</f>
        <v>633.22746531575069</v>
      </c>
      <c r="X460" s="35">
        <f t="shared" ref="X460:X523" si="50">$X$2*S460-R460</f>
        <v>52123.296563079908</v>
      </c>
      <c r="Y460" s="35">
        <f t="shared" ref="Y460:Y523" si="51">$X$2*U460-T460</f>
        <v>32921.3997180355</v>
      </c>
      <c r="Z460" s="35">
        <f t="shared" ref="Z460:Z523" si="52">IF(W460=MAX($W460:$Y460), 1, 0)</f>
        <v>0</v>
      </c>
      <c r="AA460" s="35">
        <f t="shared" ref="AA460:AA523" si="53">IF(X460=MAX($W460:$Y460), 1, 0)</f>
        <v>1</v>
      </c>
      <c r="AB460" s="35">
        <f t="shared" ref="AB460:AB523" si="54">IF(Y460=MAX($W460:$Y460), 1, 0)</f>
        <v>0</v>
      </c>
    </row>
    <row r="461" spans="1:28">
      <c r="A461" s="35">
        <v>450</v>
      </c>
      <c r="B461" s="35">
        <v>4.6875091310527583E-4</v>
      </c>
      <c r="C461" s="232">
        <v>68.58</v>
      </c>
      <c r="D461" s="35">
        <v>5.0629303559542072</v>
      </c>
      <c r="E461" s="232">
        <v>44.29</v>
      </c>
      <c r="F461" s="35">
        <v>5.0527355101740916</v>
      </c>
      <c r="G461" s="232">
        <v>11094.99</v>
      </c>
      <c r="H461" s="35">
        <v>8.8326549308289337</v>
      </c>
      <c r="I461" s="232">
        <v>12043.82</v>
      </c>
      <c r="J461" s="35">
        <v>7.5737234418000376</v>
      </c>
      <c r="K461" s="232">
        <v>13641.63</v>
      </c>
      <c r="L461" s="35">
        <v>8.7559868660059674</v>
      </c>
      <c r="M461" s="232">
        <v>39654.21</v>
      </c>
      <c r="N461" s="35">
        <v>7.7488060200030509</v>
      </c>
      <c r="P461" s="232">
        <v>-24.29</v>
      </c>
      <c r="Q461" s="35">
        <v>1.0194845780115536E-2</v>
      </c>
      <c r="R461" s="232">
        <v>948.83</v>
      </c>
      <c r="S461" s="35">
        <v>1.2589314890288961</v>
      </c>
      <c r="T461" s="232">
        <v>26012.58</v>
      </c>
      <c r="U461" s="35">
        <v>1.0071808460029166</v>
      </c>
      <c r="W461" s="35">
        <f t="shared" si="49"/>
        <v>534.03228900577676</v>
      </c>
      <c r="X461" s="35">
        <f t="shared" si="50"/>
        <v>61997.7444514448</v>
      </c>
      <c r="Y461" s="35">
        <f t="shared" si="51"/>
        <v>24346.462300145824</v>
      </c>
      <c r="Z461" s="35">
        <f t="shared" si="52"/>
        <v>0</v>
      </c>
      <c r="AA461" s="35">
        <f t="shared" si="53"/>
        <v>1</v>
      </c>
      <c r="AB461" s="35">
        <f t="shared" si="54"/>
        <v>0</v>
      </c>
    </row>
    <row r="462" spans="1:28">
      <c r="A462" s="35">
        <v>451</v>
      </c>
      <c r="B462" s="35">
        <v>3.9416431322059656E-4</v>
      </c>
      <c r="C462" s="232">
        <v>51.76</v>
      </c>
      <c r="D462" s="35">
        <v>5.0582179581115065</v>
      </c>
      <c r="E462" s="232">
        <v>32.6</v>
      </c>
      <c r="F462" s="35">
        <v>5.0492703581888243</v>
      </c>
      <c r="G462" s="232">
        <v>10121.85</v>
      </c>
      <c r="H462" s="35">
        <v>8.9232529327573769</v>
      </c>
      <c r="I462" s="232">
        <v>11654.11</v>
      </c>
      <c r="J462" s="35">
        <v>8.1081637294770026</v>
      </c>
      <c r="K462" s="232">
        <v>11590.93</v>
      </c>
      <c r="L462" s="35">
        <v>8.2820107916784096</v>
      </c>
      <c r="M462" s="232">
        <v>37544.25</v>
      </c>
      <c r="N462" s="35">
        <v>7.2342483915672036</v>
      </c>
      <c r="P462" s="232">
        <v>-19.16</v>
      </c>
      <c r="Q462" s="35">
        <v>8.9475999226822367E-3</v>
      </c>
      <c r="R462" s="232">
        <v>1532.26</v>
      </c>
      <c r="S462" s="35">
        <v>0.81508920328037426</v>
      </c>
      <c r="T462" s="232">
        <v>25953.32</v>
      </c>
      <c r="U462" s="35">
        <v>1.047762400111206</v>
      </c>
      <c r="W462" s="35">
        <f t="shared" si="49"/>
        <v>466.53999613411185</v>
      </c>
      <c r="X462" s="35">
        <f t="shared" si="50"/>
        <v>39222.200164018708</v>
      </c>
      <c r="Y462" s="35">
        <f t="shared" si="51"/>
        <v>26434.800005560304</v>
      </c>
      <c r="Z462" s="35">
        <f t="shared" si="52"/>
        <v>0</v>
      </c>
      <c r="AA462" s="35">
        <f t="shared" si="53"/>
        <v>1</v>
      </c>
      <c r="AB462" s="35">
        <f t="shared" si="54"/>
        <v>0</v>
      </c>
    </row>
    <row r="463" spans="1:28">
      <c r="A463" s="35">
        <v>452</v>
      </c>
      <c r="B463" s="35">
        <v>4.7901037350106535E-4</v>
      </c>
      <c r="C463" s="232">
        <v>89.42</v>
      </c>
      <c r="D463" s="35">
        <v>5.0627522262513249</v>
      </c>
      <c r="E463" s="232">
        <v>49.84</v>
      </c>
      <c r="F463" s="35">
        <v>5.0507434866544951</v>
      </c>
      <c r="G463" s="232">
        <v>14894.26</v>
      </c>
      <c r="H463" s="35">
        <v>8.8168578661578412</v>
      </c>
      <c r="I463" s="232">
        <v>15689.77</v>
      </c>
      <c r="J463" s="35">
        <v>7.4999645897248675</v>
      </c>
      <c r="K463" s="232">
        <v>18347.16</v>
      </c>
      <c r="L463" s="35">
        <v>8.6797035061678205</v>
      </c>
      <c r="M463" s="232">
        <v>44611.66</v>
      </c>
      <c r="N463" s="35">
        <v>7.6958429078101593</v>
      </c>
      <c r="P463" s="232">
        <v>-39.58</v>
      </c>
      <c r="Q463" s="35">
        <v>1.2008739596829798E-2</v>
      </c>
      <c r="R463" s="232">
        <v>795.51</v>
      </c>
      <c r="S463" s="35">
        <v>1.3168932764329737</v>
      </c>
      <c r="T463" s="232">
        <v>26264.5</v>
      </c>
      <c r="U463" s="35">
        <v>0.98386059835766115</v>
      </c>
      <c r="W463" s="35">
        <f t="shared" si="49"/>
        <v>640.01697984148996</v>
      </c>
      <c r="X463" s="35">
        <f t="shared" si="50"/>
        <v>65049.153821648688</v>
      </c>
      <c r="Y463" s="35">
        <f t="shared" si="51"/>
        <v>22928.529917883061</v>
      </c>
      <c r="Z463" s="35">
        <f t="shared" si="52"/>
        <v>0</v>
      </c>
      <c r="AA463" s="35">
        <f t="shared" si="53"/>
        <v>1</v>
      </c>
      <c r="AB463" s="35">
        <f t="shared" si="54"/>
        <v>0</v>
      </c>
    </row>
    <row r="464" spans="1:28">
      <c r="A464" s="35">
        <v>453</v>
      </c>
      <c r="B464" s="35">
        <v>4.6939327444617263E-4</v>
      </c>
      <c r="C464" s="232">
        <v>56.77</v>
      </c>
      <c r="D464" s="35">
        <v>5.0609480052352112</v>
      </c>
      <c r="E464" s="232">
        <v>35.76</v>
      </c>
      <c r="F464" s="35">
        <v>5.0509409359042872</v>
      </c>
      <c r="G464" s="232">
        <v>9733.9500000000007</v>
      </c>
      <c r="H464" s="35">
        <v>8.5685507103004692</v>
      </c>
      <c r="I464" s="232">
        <v>11916.53</v>
      </c>
      <c r="J464" s="35">
        <v>7.3482725200339134</v>
      </c>
      <c r="K464" s="232">
        <v>8520.7999999999993</v>
      </c>
      <c r="L464" s="35">
        <v>8.2100727314726729</v>
      </c>
      <c r="M464" s="232">
        <v>34388.449999999997</v>
      </c>
      <c r="N464" s="35">
        <v>7.1320875300427922</v>
      </c>
      <c r="P464" s="232">
        <v>-21.01</v>
      </c>
      <c r="Q464" s="35">
        <v>1.000706933092399E-2</v>
      </c>
      <c r="R464" s="232">
        <v>2182.58</v>
      </c>
      <c r="S464" s="35">
        <v>1.2202781902665558</v>
      </c>
      <c r="T464" s="232">
        <v>25867.65</v>
      </c>
      <c r="U464" s="35">
        <v>1.0779852014298807</v>
      </c>
      <c r="W464" s="35">
        <f t="shared" si="49"/>
        <v>521.36346654619956</v>
      </c>
      <c r="X464" s="35">
        <f t="shared" si="50"/>
        <v>58831.329513327786</v>
      </c>
      <c r="Y464" s="35">
        <f t="shared" si="51"/>
        <v>28031.610071494033</v>
      </c>
      <c r="Z464" s="35">
        <f t="shared" si="52"/>
        <v>0</v>
      </c>
      <c r="AA464" s="35">
        <f t="shared" si="53"/>
        <v>1</v>
      </c>
      <c r="AB464" s="35">
        <f t="shared" si="54"/>
        <v>0</v>
      </c>
    </row>
    <row r="465" spans="1:28">
      <c r="A465" s="35">
        <v>454</v>
      </c>
      <c r="B465" s="35">
        <v>5.7639533792108733E-4</v>
      </c>
      <c r="C465" s="232">
        <v>68.27</v>
      </c>
      <c r="D465" s="35">
        <v>5.0688390745855143</v>
      </c>
      <c r="E465" s="232">
        <v>44.69</v>
      </c>
      <c r="F465" s="35">
        <v>5.0564981665088293</v>
      </c>
      <c r="G465" s="232">
        <v>9855.74</v>
      </c>
      <c r="H465" s="35">
        <v>8.7971467413450721</v>
      </c>
      <c r="I465" s="232">
        <v>11826.14</v>
      </c>
      <c r="J465" s="35">
        <v>7.2106354149852123</v>
      </c>
      <c r="K465" s="232">
        <v>10630.83</v>
      </c>
      <c r="L465" s="35">
        <v>8.8860060734415161</v>
      </c>
      <c r="M465" s="232">
        <v>36524.76</v>
      </c>
      <c r="N465" s="35">
        <v>7.7784519124964904</v>
      </c>
      <c r="P465" s="232">
        <v>-23.59</v>
      </c>
      <c r="Q465" s="35">
        <v>1.2340908076684975E-2</v>
      </c>
      <c r="R465" s="232">
        <v>1970.41</v>
      </c>
      <c r="S465" s="35">
        <v>1.5865113263598598</v>
      </c>
      <c r="T465" s="232">
        <v>25893.93</v>
      </c>
      <c r="U465" s="35">
        <v>1.1075541609450257</v>
      </c>
      <c r="W465" s="35">
        <f t="shared" si="49"/>
        <v>640.63540383424879</v>
      </c>
      <c r="X465" s="35">
        <f t="shared" si="50"/>
        <v>77355.15631799298</v>
      </c>
      <c r="Y465" s="35">
        <f t="shared" si="51"/>
        <v>29483.778047251282</v>
      </c>
      <c r="Z465" s="35">
        <f t="shared" si="52"/>
        <v>0</v>
      </c>
      <c r="AA465" s="35">
        <f t="shared" si="53"/>
        <v>1</v>
      </c>
      <c r="AB465" s="35">
        <f t="shared" si="54"/>
        <v>0</v>
      </c>
    </row>
    <row r="466" spans="1:28">
      <c r="A466" s="35">
        <v>455</v>
      </c>
      <c r="B466" s="35">
        <v>4.3912680168768246E-4</v>
      </c>
      <c r="C466" s="232">
        <v>67.69</v>
      </c>
      <c r="D466" s="35">
        <v>5.0633739063512362</v>
      </c>
      <c r="E466" s="232">
        <v>42.56</v>
      </c>
      <c r="F466" s="35">
        <v>5.0525457379437348</v>
      </c>
      <c r="G466" s="232">
        <v>11994.36</v>
      </c>
      <c r="H466" s="35">
        <v>9.5022141776446709</v>
      </c>
      <c r="I466" s="232">
        <v>12785.67</v>
      </c>
      <c r="J466" s="35">
        <v>8.0918670661834504</v>
      </c>
      <c r="K466" s="232">
        <v>14240.8</v>
      </c>
      <c r="L466" s="35">
        <v>8.6848651057206911</v>
      </c>
      <c r="M466" s="232">
        <v>40207</v>
      </c>
      <c r="N466" s="35">
        <v>7.5789324749259306</v>
      </c>
      <c r="P466" s="232">
        <v>-25.13</v>
      </c>
      <c r="Q466" s="35">
        <v>1.0828168407501337E-2</v>
      </c>
      <c r="R466" s="232">
        <v>791.31</v>
      </c>
      <c r="S466" s="35">
        <v>1.4103471114612205</v>
      </c>
      <c r="T466" s="232">
        <v>25966.21</v>
      </c>
      <c r="U466" s="35">
        <v>1.1059326307947606</v>
      </c>
      <c r="W466" s="35">
        <f t="shared" si="49"/>
        <v>566.53842037506683</v>
      </c>
      <c r="X466" s="35">
        <f t="shared" si="50"/>
        <v>69726.045573061027</v>
      </c>
      <c r="Y466" s="35">
        <f t="shared" si="51"/>
        <v>29330.421539738032</v>
      </c>
      <c r="Z466" s="35">
        <f t="shared" si="52"/>
        <v>0</v>
      </c>
      <c r="AA466" s="35">
        <f t="shared" si="53"/>
        <v>1</v>
      </c>
      <c r="AB466" s="35">
        <f t="shared" si="54"/>
        <v>0</v>
      </c>
    </row>
    <row r="467" spans="1:28">
      <c r="A467" s="35">
        <v>456</v>
      </c>
      <c r="B467" s="35">
        <v>4.3075960777824187E-4</v>
      </c>
      <c r="C467" s="232">
        <v>74.91</v>
      </c>
      <c r="D467" s="35">
        <v>5.0615324421619592</v>
      </c>
      <c r="E467" s="232">
        <v>46.6</v>
      </c>
      <c r="F467" s="35">
        <v>5.0514543623639891</v>
      </c>
      <c r="G467" s="232">
        <v>13121.4</v>
      </c>
      <c r="H467" s="35">
        <v>9.0751076933032024</v>
      </c>
      <c r="I467" s="232">
        <v>13618.9</v>
      </c>
      <c r="J467" s="35">
        <v>7.9564508070448206</v>
      </c>
      <c r="K467" s="232">
        <v>17419.080000000002</v>
      </c>
      <c r="L467" s="35">
        <v>8.7441002154137522</v>
      </c>
      <c r="M467" s="232">
        <v>43549.31</v>
      </c>
      <c r="N467" s="35">
        <v>7.6858227763188012</v>
      </c>
      <c r="P467" s="232">
        <v>-28.31</v>
      </c>
      <c r="Q467" s="35">
        <v>1.0078079797970041E-2</v>
      </c>
      <c r="R467" s="232">
        <v>497.5</v>
      </c>
      <c r="S467" s="35">
        <v>1.1186568862583819</v>
      </c>
      <c r="T467" s="232">
        <v>26130.23</v>
      </c>
      <c r="U467" s="35">
        <v>1.058277439094951</v>
      </c>
      <c r="W467" s="35">
        <f t="shared" si="49"/>
        <v>532.21398989850206</v>
      </c>
      <c r="X467" s="35">
        <f t="shared" si="50"/>
        <v>55435.344312919093</v>
      </c>
      <c r="Y467" s="35">
        <f t="shared" si="51"/>
        <v>26783.641954747549</v>
      </c>
      <c r="Z467" s="35">
        <f t="shared" si="52"/>
        <v>0</v>
      </c>
      <c r="AA467" s="35">
        <f t="shared" si="53"/>
        <v>1</v>
      </c>
      <c r="AB467" s="35">
        <f t="shared" si="54"/>
        <v>0</v>
      </c>
    </row>
    <row r="468" spans="1:28">
      <c r="A468" s="35">
        <v>457</v>
      </c>
      <c r="B468" s="35">
        <v>4.8559092519706581E-4</v>
      </c>
      <c r="C468" s="232">
        <v>87.06</v>
      </c>
      <c r="D468" s="35">
        <v>5.0646769770812323</v>
      </c>
      <c r="E468" s="232">
        <v>58.62</v>
      </c>
      <c r="F468" s="35">
        <v>5.0548107060220726</v>
      </c>
      <c r="G468" s="232">
        <v>14382.96</v>
      </c>
      <c r="H468" s="35">
        <v>8.8392852764614442</v>
      </c>
      <c r="I468" s="232">
        <v>15432.13</v>
      </c>
      <c r="J468" s="35">
        <v>7.5243929755377268</v>
      </c>
      <c r="K468" s="232">
        <v>18917.23</v>
      </c>
      <c r="L468" s="35">
        <v>8.8984665485218848</v>
      </c>
      <c r="M468" s="232">
        <v>45318.71</v>
      </c>
      <c r="N468" s="35">
        <v>7.7337123346604946</v>
      </c>
      <c r="P468" s="232">
        <v>-28.44</v>
      </c>
      <c r="Q468" s="35">
        <v>9.8662710591597147E-3</v>
      </c>
      <c r="R468" s="232">
        <v>1049.17</v>
      </c>
      <c r="S468" s="35">
        <v>1.3148923009237174</v>
      </c>
      <c r="T468" s="232">
        <v>26401.48</v>
      </c>
      <c r="U468" s="35">
        <v>1.1647542138613902</v>
      </c>
      <c r="W468" s="35">
        <f t="shared" si="49"/>
        <v>521.75355295798579</v>
      </c>
      <c r="X468" s="35">
        <f t="shared" si="50"/>
        <v>64695.44504618588</v>
      </c>
      <c r="Y468" s="35">
        <f t="shared" si="51"/>
        <v>31836.230693069509</v>
      </c>
      <c r="Z468" s="35">
        <f t="shared" si="52"/>
        <v>0</v>
      </c>
      <c r="AA468" s="35">
        <f t="shared" si="53"/>
        <v>1</v>
      </c>
      <c r="AB468" s="35">
        <f t="shared" si="54"/>
        <v>0</v>
      </c>
    </row>
    <row r="469" spans="1:28">
      <c r="A469" s="35">
        <v>458</v>
      </c>
      <c r="B469" s="35">
        <v>4.3878885081059197E-4</v>
      </c>
      <c r="C469" s="232">
        <v>39.520000000000003</v>
      </c>
      <c r="D469" s="35">
        <v>5.0624592808198372</v>
      </c>
      <c r="E469" s="232">
        <v>25.56</v>
      </c>
      <c r="F469" s="35">
        <v>5.0515163029156529</v>
      </c>
      <c r="G469" s="232">
        <v>7136.02</v>
      </c>
      <c r="H469" s="35">
        <v>9.1985777114506053</v>
      </c>
      <c r="I469" s="232">
        <v>8816.59</v>
      </c>
      <c r="J469" s="35">
        <v>7.0415013862384779</v>
      </c>
      <c r="K469" s="232">
        <v>6670.32</v>
      </c>
      <c r="L469" s="35">
        <v>8.6727013496497776</v>
      </c>
      <c r="M469" s="232">
        <v>32096.58</v>
      </c>
      <c r="N469" s="35">
        <v>7.4919941740898128</v>
      </c>
      <c r="P469" s="232">
        <v>-13.96</v>
      </c>
      <c r="Q469" s="35">
        <v>1.0942977904184303E-2</v>
      </c>
      <c r="R469" s="232">
        <v>1680.57</v>
      </c>
      <c r="S469" s="35">
        <v>2.1570763252121274</v>
      </c>
      <c r="T469" s="232">
        <v>25426.26</v>
      </c>
      <c r="U469" s="35">
        <v>1.1807071755599647</v>
      </c>
      <c r="W469" s="35">
        <f t="shared" si="49"/>
        <v>561.10889520921523</v>
      </c>
      <c r="X469" s="35">
        <f t="shared" si="50"/>
        <v>106173.24626060636</v>
      </c>
      <c r="Y469" s="35">
        <f t="shared" si="51"/>
        <v>33609.098777998239</v>
      </c>
      <c r="Z469" s="35">
        <f t="shared" si="52"/>
        <v>0</v>
      </c>
      <c r="AA469" s="35">
        <f t="shared" si="53"/>
        <v>1</v>
      </c>
      <c r="AB469" s="35">
        <f t="shared" si="54"/>
        <v>0</v>
      </c>
    </row>
    <row r="470" spans="1:28">
      <c r="A470" s="35">
        <v>459</v>
      </c>
      <c r="B470" s="35">
        <v>3.4251549682003655E-4</v>
      </c>
      <c r="C470" s="232">
        <v>68.75</v>
      </c>
      <c r="D470" s="35">
        <v>5.0543029981379393</v>
      </c>
      <c r="E470" s="232">
        <v>41.24</v>
      </c>
      <c r="F470" s="35">
        <v>5.0468748163905834</v>
      </c>
      <c r="G470" s="232">
        <v>14270.78</v>
      </c>
      <c r="H470" s="35">
        <v>8.200150633519911</v>
      </c>
      <c r="I470" s="232">
        <v>14465.29</v>
      </c>
      <c r="J470" s="35">
        <v>7.3537700675673729</v>
      </c>
      <c r="K470" s="232">
        <v>22688.66</v>
      </c>
      <c r="L470" s="35">
        <v>8.4603954879419572</v>
      </c>
      <c r="M470" s="232">
        <v>49150.68</v>
      </c>
      <c r="N470" s="35">
        <v>7.3441768528216969</v>
      </c>
      <c r="P470" s="232">
        <v>-27.51</v>
      </c>
      <c r="Q470" s="35">
        <v>7.428181747355822E-3</v>
      </c>
      <c r="R470" s="232">
        <v>194.51</v>
      </c>
      <c r="S470" s="35">
        <v>0.84638056595253808</v>
      </c>
      <c r="T470" s="232">
        <v>26462.02</v>
      </c>
      <c r="U470" s="35">
        <v>1.1162186351202603</v>
      </c>
      <c r="W470" s="35">
        <f t="shared" si="49"/>
        <v>398.91908736779112</v>
      </c>
      <c r="X470" s="35">
        <f t="shared" si="50"/>
        <v>42124.518297626899</v>
      </c>
      <c r="Y470" s="35">
        <f t="shared" si="51"/>
        <v>29348.911756013014</v>
      </c>
      <c r="Z470" s="35">
        <f t="shared" si="52"/>
        <v>0</v>
      </c>
      <c r="AA470" s="35">
        <f t="shared" si="53"/>
        <v>1</v>
      </c>
      <c r="AB470" s="35">
        <f t="shared" si="54"/>
        <v>0</v>
      </c>
    </row>
    <row r="471" spans="1:28">
      <c r="A471" s="35">
        <v>460</v>
      </c>
      <c r="B471" s="35">
        <v>3.2476014372793499E-4</v>
      </c>
      <c r="C471" s="232">
        <v>51.59</v>
      </c>
      <c r="D471" s="35">
        <v>5.0570903978831927</v>
      </c>
      <c r="E471" s="232">
        <v>32.75</v>
      </c>
      <c r="F471" s="35">
        <v>5.0487297078745241</v>
      </c>
      <c r="G471" s="232">
        <v>12202.78</v>
      </c>
      <c r="H471" s="35">
        <v>9.5535100352692748</v>
      </c>
      <c r="I471" s="232">
        <v>14469.66</v>
      </c>
      <c r="J471" s="35">
        <v>9.5891148718484231</v>
      </c>
      <c r="K471" s="232">
        <v>15281.16</v>
      </c>
      <c r="L471" s="35">
        <v>8.8892266811045442</v>
      </c>
      <c r="M471" s="232">
        <v>41318.720000000001</v>
      </c>
      <c r="N471" s="35">
        <v>7.7618084921334471</v>
      </c>
      <c r="P471" s="232">
        <v>-18.84</v>
      </c>
      <c r="Q471" s="35">
        <v>8.3606900086685698E-3</v>
      </c>
      <c r="R471" s="232">
        <v>2266.88</v>
      </c>
      <c r="S471" s="35">
        <v>-3.5604836579148369E-2</v>
      </c>
      <c r="T471" s="232">
        <v>26037.56</v>
      </c>
      <c r="U471" s="35">
        <v>1.127418188971097</v>
      </c>
      <c r="W471" s="35">
        <f t="shared" si="49"/>
        <v>436.87450043342847</v>
      </c>
      <c r="X471" s="35">
        <f t="shared" si="50"/>
        <v>-4047.1218289574185</v>
      </c>
      <c r="Y471" s="35">
        <f t="shared" si="51"/>
        <v>30333.349448554847</v>
      </c>
      <c r="Z471" s="35">
        <f t="shared" si="52"/>
        <v>0</v>
      </c>
      <c r="AA471" s="35">
        <f t="shared" si="53"/>
        <v>0</v>
      </c>
      <c r="AB471" s="35">
        <f t="shared" si="54"/>
        <v>1</v>
      </c>
    </row>
    <row r="472" spans="1:28">
      <c r="A472" s="35">
        <v>461</v>
      </c>
      <c r="B472" s="35">
        <v>5.3498567153720256E-4</v>
      </c>
      <c r="C472" s="232">
        <v>82.24</v>
      </c>
      <c r="D472" s="35">
        <v>5.0687532925379912</v>
      </c>
      <c r="E472" s="232">
        <v>50.16</v>
      </c>
      <c r="F472" s="35">
        <v>5.0553531208879896</v>
      </c>
      <c r="G472" s="232">
        <v>12346.53</v>
      </c>
      <c r="H472" s="35">
        <v>9.4247615607565276</v>
      </c>
      <c r="I472" s="232">
        <v>13651.9</v>
      </c>
      <c r="J472" s="35">
        <v>8.0905260854464291</v>
      </c>
      <c r="K472" s="232">
        <v>14305.09</v>
      </c>
      <c r="L472" s="35">
        <v>8.9063066179117722</v>
      </c>
      <c r="M472" s="232">
        <v>40280.980000000003</v>
      </c>
      <c r="N472" s="35">
        <v>7.8796266346334258</v>
      </c>
      <c r="P472" s="232">
        <v>-32.08</v>
      </c>
      <c r="Q472" s="35">
        <v>1.3400171650001624E-2</v>
      </c>
      <c r="R472" s="232">
        <v>1305.3699999999999</v>
      </c>
      <c r="S472" s="35">
        <v>1.3342354753100985</v>
      </c>
      <c r="T472" s="232">
        <v>25975.89</v>
      </c>
      <c r="U472" s="35">
        <v>1.0266799832783464</v>
      </c>
      <c r="W472" s="35">
        <f t="shared" si="49"/>
        <v>702.08858250008132</v>
      </c>
      <c r="X472" s="35">
        <f t="shared" si="50"/>
        <v>65406.403765504925</v>
      </c>
      <c r="Y472" s="35">
        <f t="shared" si="51"/>
        <v>25358.109163917325</v>
      </c>
      <c r="Z472" s="35">
        <f t="shared" si="52"/>
        <v>0</v>
      </c>
      <c r="AA472" s="35">
        <f t="shared" si="53"/>
        <v>1</v>
      </c>
      <c r="AB472" s="35">
        <f t="shared" si="54"/>
        <v>0</v>
      </c>
    </row>
    <row r="473" spans="1:28">
      <c r="A473" s="35">
        <v>462</v>
      </c>
      <c r="B473" s="35">
        <v>4.2074535474091691E-4</v>
      </c>
      <c r="C473" s="232">
        <v>53.28</v>
      </c>
      <c r="D473" s="35">
        <v>5.0604819093593401</v>
      </c>
      <c r="E473" s="232">
        <v>34.909999999999997</v>
      </c>
      <c r="F473" s="35">
        <v>5.0511550134400398</v>
      </c>
      <c r="G473" s="232">
        <v>9261.06</v>
      </c>
      <c r="H473" s="35">
        <v>8.8625584254551928</v>
      </c>
      <c r="I473" s="232">
        <v>10161.83</v>
      </c>
      <c r="J473" s="35">
        <v>7.7457072588711338</v>
      </c>
      <c r="K473" s="232">
        <v>12124.36</v>
      </c>
      <c r="L473" s="35">
        <v>8.7006308907412002</v>
      </c>
      <c r="M473" s="232">
        <v>38056.67</v>
      </c>
      <c r="N473" s="35">
        <v>7.6295773951608004</v>
      </c>
      <c r="P473" s="232">
        <v>-18.36</v>
      </c>
      <c r="Q473" s="35">
        <v>9.3268959193002487E-3</v>
      </c>
      <c r="R473" s="232">
        <v>900.78</v>
      </c>
      <c r="S473" s="35">
        <v>1.116851166584059</v>
      </c>
      <c r="T473" s="232">
        <v>25932.31</v>
      </c>
      <c r="U473" s="35">
        <v>1.0710534955803999</v>
      </c>
      <c r="W473" s="35">
        <f t="shared" si="49"/>
        <v>484.70479596501247</v>
      </c>
      <c r="X473" s="35">
        <f t="shared" si="50"/>
        <v>54941.778329202956</v>
      </c>
      <c r="Y473" s="35">
        <f t="shared" si="51"/>
        <v>27620.364779019994</v>
      </c>
      <c r="Z473" s="35">
        <f t="shared" si="52"/>
        <v>0</v>
      </c>
      <c r="AA473" s="35">
        <f t="shared" si="53"/>
        <v>1</v>
      </c>
      <c r="AB473" s="35">
        <f t="shared" si="54"/>
        <v>0</v>
      </c>
    </row>
    <row r="474" spans="1:28">
      <c r="A474" s="35">
        <v>463</v>
      </c>
      <c r="B474" s="35">
        <v>4.0845832401580686E-4</v>
      </c>
      <c r="C474" s="232">
        <v>67.650000000000006</v>
      </c>
      <c r="D474" s="35">
        <v>5.0593375048693021</v>
      </c>
      <c r="E474" s="232">
        <v>43.83</v>
      </c>
      <c r="F474" s="35">
        <v>5.0506369062720271</v>
      </c>
      <c r="G474" s="232">
        <v>12758.66</v>
      </c>
      <c r="H474" s="35">
        <v>8.7169815106804531</v>
      </c>
      <c r="I474" s="232">
        <v>12891.67</v>
      </c>
      <c r="J474" s="35">
        <v>7.0592152886938173</v>
      </c>
      <c r="K474" s="232">
        <v>17219.28</v>
      </c>
      <c r="L474" s="35">
        <v>8.7641400955689281</v>
      </c>
      <c r="M474" s="232">
        <v>43524.5</v>
      </c>
      <c r="N474" s="35">
        <v>7.6889639603895699</v>
      </c>
      <c r="P474" s="232">
        <v>-23.82</v>
      </c>
      <c r="Q474" s="35">
        <v>8.7005985972750111E-3</v>
      </c>
      <c r="R474" s="232">
        <v>133.01</v>
      </c>
      <c r="S474" s="35">
        <v>1.6577662219866358</v>
      </c>
      <c r="T474" s="232">
        <v>26305.22</v>
      </c>
      <c r="U474" s="35">
        <v>1.0751761351793583</v>
      </c>
      <c r="W474" s="35">
        <f t="shared" si="49"/>
        <v>458.84992986375056</v>
      </c>
      <c r="X474" s="35">
        <f t="shared" si="50"/>
        <v>82755.301099331802</v>
      </c>
      <c r="Y474" s="35">
        <f t="shared" si="51"/>
        <v>27453.586758967911</v>
      </c>
      <c r="Z474" s="35">
        <f t="shared" si="52"/>
        <v>0</v>
      </c>
      <c r="AA474" s="35">
        <f t="shared" si="53"/>
        <v>1</v>
      </c>
      <c r="AB474" s="35">
        <f t="shared" si="54"/>
        <v>0</v>
      </c>
    </row>
    <row r="475" spans="1:28">
      <c r="A475" s="35">
        <v>464</v>
      </c>
      <c r="B475" s="35">
        <v>4.1104055475966377E-4</v>
      </c>
      <c r="C475" s="232">
        <v>46.89</v>
      </c>
      <c r="D475" s="35">
        <v>5.0578711623586701</v>
      </c>
      <c r="E475" s="232">
        <v>33.200000000000003</v>
      </c>
      <c r="F475" s="35">
        <v>5.0504874525194712</v>
      </c>
      <c r="G475" s="232">
        <v>9165.61</v>
      </c>
      <c r="H475" s="35">
        <v>8.0947217560754865</v>
      </c>
      <c r="I475" s="232">
        <v>10677.26</v>
      </c>
      <c r="J475" s="35">
        <v>6.3832369774301405</v>
      </c>
      <c r="K475" s="232">
        <v>11141.59</v>
      </c>
      <c r="L475" s="35">
        <v>8.7596888047762427</v>
      </c>
      <c r="M475" s="232">
        <v>37152.519999999997</v>
      </c>
      <c r="N475" s="35">
        <v>7.7145568373046958</v>
      </c>
      <c r="P475" s="232">
        <v>-13.69</v>
      </c>
      <c r="Q475" s="35">
        <v>7.3837098391988931E-3</v>
      </c>
      <c r="R475" s="232">
        <v>1511.65</v>
      </c>
      <c r="S475" s="35">
        <v>1.711484778645346</v>
      </c>
      <c r="T475" s="232">
        <v>26010.92</v>
      </c>
      <c r="U475" s="35">
        <v>1.0451319674715469</v>
      </c>
      <c r="W475" s="35">
        <f t="shared" si="49"/>
        <v>382.87549195994467</v>
      </c>
      <c r="X475" s="35">
        <f t="shared" si="50"/>
        <v>84062.588932267303</v>
      </c>
      <c r="Y475" s="35">
        <f t="shared" si="51"/>
        <v>26245.67837357735</v>
      </c>
      <c r="Z475" s="35">
        <f t="shared" si="52"/>
        <v>0</v>
      </c>
      <c r="AA475" s="35">
        <f t="shared" si="53"/>
        <v>1</v>
      </c>
      <c r="AB475" s="35">
        <f t="shared" si="54"/>
        <v>0</v>
      </c>
    </row>
    <row r="476" spans="1:28">
      <c r="A476" s="35">
        <v>465</v>
      </c>
      <c r="B476" s="35">
        <v>3.6190173471407813E-4</v>
      </c>
      <c r="C476" s="232">
        <v>51.77</v>
      </c>
      <c r="D476" s="35">
        <v>5.0588647942851575</v>
      </c>
      <c r="E476" s="232">
        <v>33.54</v>
      </c>
      <c r="F476" s="35">
        <v>5.0500074930403205</v>
      </c>
      <c r="G476" s="232">
        <v>11646.39</v>
      </c>
      <c r="H476" s="35">
        <v>9.3677679531594329</v>
      </c>
      <c r="I476" s="232">
        <v>13444.68</v>
      </c>
      <c r="J476" s="35">
        <v>8.1190142261308864</v>
      </c>
      <c r="K476" s="232">
        <v>12731.2</v>
      </c>
      <c r="L476" s="35">
        <v>8.9190199233760765</v>
      </c>
      <c r="M476" s="232">
        <v>38856.160000000003</v>
      </c>
      <c r="N476" s="35">
        <v>7.7883245045174672</v>
      </c>
      <c r="P476" s="232">
        <v>-18.23</v>
      </c>
      <c r="Q476" s="35">
        <v>8.8573012448369681E-3</v>
      </c>
      <c r="R476" s="232">
        <v>1798.29</v>
      </c>
      <c r="S476" s="35">
        <v>1.2487537270285465</v>
      </c>
      <c r="T476" s="232">
        <v>26124.95</v>
      </c>
      <c r="U476" s="35">
        <v>1.1306954188586094</v>
      </c>
      <c r="W476" s="35">
        <f t="shared" si="49"/>
        <v>461.09506224184844</v>
      </c>
      <c r="X476" s="35">
        <f t="shared" si="50"/>
        <v>60639.39635142732</v>
      </c>
      <c r="Y476" s="35">
        <f t="shared" si="51"/>
        <v>30409.820942930466</v>
      </c>
      <c r="Z476" s="35">
        <f t="shared" si="52"/>
        <v>0</v>
      </c>
      <c r="AA476" s="35">
        <f t="shared" si="53"/>
        <v>1</v>
      </c>
      <c r="AB476" s="35">
        <f t="shared" si="54"/>
        <v>0</v>
      </c>
    </row>
    <row r="477" spans="1:28">
      <c r="A477" s="35">
        <v>466</v>
      </c>
      <c r="B477" s="35">
        <v>5.2359184448658169E-4</v>
      </c>
      <c r="C477" s="232">
        <v>106.78</v>
      </c>
      <c r="D477" s="35">
        <v>5.065659104351897</v>
      </c>
      <c r="E477" s="232">
        <v>68.930000000000007</v>
      </c>
      <c r="F477" s="35">
        <v>5.0548736738152131</v>
      </c>
      <c r="G477" s="232">
        <v>15006.77</v>
      </c>
      <c r="H477" s="35">
        <v>8.77628504384084</v>
      </c>
      <c r="I477" s="232">
        <v>13603.99</v>
      </c>
      <c r="J477" s="35">
        <v>7.2106788502549177</v>
      </c>
      <c r="K477" s="232">
        <v>22930.45</v>
      </c>
      <c r="L477" s="35">
        <v>8.7435552807367607</v>
      </c>
      <c r="M477" s="232">
        <v>49529.47</v>
      </c>
      <c r="N477" s="35">
        <v>7.6901644273676304</v>
      </c>
      <c r="P477" s="232">
        <v>-37.85</v>
      </c>
      <c r="Q477" s="35">
        <v>1.0785430536683904E-2</v>
      </c>
      <c r="R477" s="232">
        <v>-1402.79</v>
      </c>
      <c r="S477" s="35">
        <v>1.5656061935859222</v>
      </c>
      <c r="T477" s="232">
        <v>26599.02</v>
      </c>
      <c r="U477" s="35">
        <v>1.0533908533691303</v>
      </c>
      <c r="W477" s="35">
        <f t="shared" si="49"/>
        <v>577.12152683419527</v>
      </c>
      <c r="X477" s="35">
        <f t="shared" si="50"/>
        <v>79683.099679296109</v>
      </c>
      <c r="Y477" s="35">
        <f t="shared" si="51"/>
        <v>26070.522668456517</v>
      </c>
      <c r="Z477" s="35">
        <f t="shared" si="52"/>
        <v>0</v>
      </c>
      <c r="AA477" s="35">
        <f t="shared" si="53"/>
        <v>1</v>
      </c>
      <c r="AB477" s="35">
        <f t="shared" si="54"/>
        <v>0</v>
      </c>
    </row>
    <row r="478" spans="1:28">
      <c r="A478" s="35">
        <v>467</v>
      </c>
      <c r="B478" s="35">
        <v>4.6930115406340622E-4</v>
      </c>
      <c r="C478" s="232">
        <v>82.15</v>
      </c>
      <c r="D478" s="35">
        <v>5.0624165853942058</v>
      </c>
      <c r="E478" s="232">
        <v>43.88</v>
      </c>
      <c r="F478" s="35">
        <v>5.0499132943737823</v>
      </c>
      <c r="G478" s="232">
        <v>14209.67</v>
      </c>
      <c r="H478" s="35">
        <v>8.9972853197408327</v>
      </c>
      <c r="I478" s="232">
        <v>14811.56</v>
      </c>
      <c r="J478" s="35">
        <v>6.9016154381376049</v>
      </c>
      <c r="K478" s="232">
        <v>15851.7</v>
      </c>
      <c r="L478" s="35">
        <v>8.4131835718249004</v>
      </c>
      <c r="M478" s="232">
        <v>41904.15</v>
      </c>
      <c r="N478" s="35">
        <v>7.2781152903668875</v>
      </c>
      <c r="P478" s="232">
        <v>-38.26</v>
      </c>
      <c r="Q478" s="35">
        <v>1.2503291020423468E-2</v>
      </c>
      <c r="R478" s="232">
        <v>601.89</v>
      </c>
      <c r="S478" s="35">
        <v>2.0956698816032278</v>
      </c>
      <c r="T478" s="232">
        <v>26052.46</v>
      </c>
      <c r="U478" s="35">
        <v>1.1350682814580129</v>
      </c>
      <c r="W478" s="35">
        <f t="shared" si="49"/>
        <v>663.42455102117344</v>
      </c>
      <c r="X478" s="35">
        <f t="shared" si="50"/>
        <v>104181.60408016139</v>
      </c>
      <c r="Y478" s="35">
        <f t="shared" si="51"/>
        <v>30700.954072900648</v>
      </c>
      <c r="Z478" s="35">
        <f t="shared" si="52"/>
        <v>0</v>
      </c>
      <c r="AA478" s="35">
        <f t="shared" si="53"/>
        <v>1</v>
      </c>
      <c r="AB478" s="35">
        <f t="shared" si="54"/>
        <v>0</v>
      </c>
    </row>
    <row r="479" spans="1:28">
      <c r="A479" s="35">
        <v>468</v>
      </c>
      <c r="B479" s="35">
        <v>3.8284365395720182E-4</v>
      </c>
      <c r="C479" s="232">
        <v>71.989999999999995</v>
      </c>
      <c r="D479" s="35">
        <v>5.0584268835110482</v>
      </c>
      <c r="E479" s="232">
        <v>43.77</v>
      </c>
      <c r="F479" s="35">
        <v>5.0493443418709942</v>
      </c>
      <c r="G479" s="232">
        <v>14106.97</v>
      </c>
      <c r="H479" s="35">
        <v>8.9772080064123223</v>
      </c>
      <c r="I479" s="232">
        <v>14117.42</v>
      </c>
      <c r="J479" s="35">
        <v>7.9180404420169292</v>
      </c>
      <c r="K479" s="232">
        <v>20922.53</v>
      </c>
      <c r="L479" s="35">
        <v>8.5538947970430659</v>
      </c>
      <c r="M479" s="232">
        <v>47306.92</v>
      </c>
      <c r="N479" s="35">
        <v>7.5149050424962738</v>
      </c>
      <c r="P479" s="232">
        <v>-28.22</v>
      </c>
      <c r="Q479" s="35">
        <v>9.0825416400539538E-3</v>
      </c>
      <c r="R479" s="232">
        <v>10.45</v>
      </c>
      <c r="S479" s="35">
        <v>1.0591675643953931</v>
      </c>
      <c r="T479" s="232">
        <v>26384.38</v>
      </c>
      <c r="U479" s="35">
        <v>1.0389897545467921</v>
      </c>
      <c r="W479" s="35">
        <f t="shared" si="49"/>
        <v>482.34708200269768</v>
      </c>
      <c r="X479" s="35">
        <f t="shared" si="50"/>
        <v>52947.928219769659</v>
      </c>
      <c r="Y479" s="35">
        <f t="shared" si="51"/>
        <v>25565.107727339604</v>
      </c>
      <c r="Z479" s="35">
        <f t="shared" si="52"/>
        <v>0</v>
      </c>
      <c r="AA479" s="35">
        <f t="shared" si="53"/>
        <v>1</v>
      </c>
      <c r="AB479" s="35">
        <f t="shared" si="54"/>
        <v>0</v>
      </c>
    </row>
    <row r="480" spans="1:28">
      <c r="A480" s="35">
        <v>469</v>
      </c>
      <c r="B480" s="35">
        <v>4.6539919758215031E-4</v>
      </c>
      <c r="C480" s="232">
        <v>72.349999999999994</v>
      </c>
      <c r="D480" s="35">
        <v>5.0612146826785684</v>
      </c>
      <c r="E480" s="232">
        <v>45.68</v>
      </c>
      <c r="F480" s="35">
        <v>5.0514489481598961</v>
      </c>
      <c r="G480" s="232">
        <v>11919.88</v>
      </c>
      <c r="H480" s="35">
        <v>8.5603458153581062</v>
      </c>
      <c r="I480" s="232">
        <v>12712.16</v>
      </c>
      <c r="J480" s="35">
        <v>6.8891987312703309</v>
      </c>
      <c r="K480" s="232">
        <v>13359.09</v>
      </c>
      <c r="L480" s="35">
        <v>8.5853748531859644</v>
      </c>
      <c r="M480" s="232">
        <v>39290.67</v>
      </c>
      <c r="N480" s="35">
        <v>7.5467613283180341</v>
      </c>
      <c r="P480" s="232">
        <v>-26.67</v>
      </c>
      <c r="Q480" s="35">
        <v>9.7657345186723532E-3</v>
      </c>
      <c r="R480" s="232">
        <v>792.29</v>
      </c>
      <c r="S480" s="35">
        <v>1.6711470840877753</v>
      </c>
      <c r="T480" s="232">
        <v>25931.59</v>
      </c>
      <c r="U480" s="35">
        <v>1.0386135248679302</v>
      </c>
      <c r="W480" s="35">
        <f t="shared" si="49"/>
        <v>514.95672593361769</v>
      </c>
      <c r="X480" s="35">
        <f t="shared" si="50"/>
        <v>82765.064204388778</v>
      </c>
      <c r="Y480" s="35">
        <f t="shared" si="51"/>
        <v>25999.086243396512</v>
      </c>
      <c r="Z480" s="35">
        <f t="shared" si="52"/>
        <v>0</v>
      </c>
      <c r="AA480" s="35">
        <f t="shared" si="53"/>
        <v>1</v>
      </c>
      <c r="AB480" s="35">
        <f t="shared" si="54"/>
        <v>0</v>
      </c>
    </row>
    <row r="481" spans="1:28">
      <c r="A481" s="35">
        <v>470</v>
      </c>
      <c r="B481" s="35">
        <v>3.7229417999044395E-4</v>
      </c>
      <c r="C481" s="232">
        <v>52.82</v>
      </c>
      <c r="D481" s="35">
        <v>5.0572254173403985</v>
      </c>
      <c r="E481" s="232">
        <v>31.11</v>
      </c>
      <c r="F481" s="35">
        <v>5.0479520454329725</v>
      </c>
      <c r="G481" s="232">
        <v>10983.97</v>
      </c>
      <c r="H481" s="35">
        <v>8.6890818529360558</v>
      </c>
      <c r="I481" s="232">
        <v>12151.2</v>
      </c>
      <c r="J481" s="35">
        <v>7.7128258658485223</v>
      </c>
      <c r="K481" s="232">
        <v>14705.99</v>
      </c>
      <c r="L481" s="35">
        <v>8.7865447270550483</v>
      </c>
      <c r="M481" s="232">
        <v>40660.36</v>
      </c>
      <c r="N481" s="35">
        <v>7.6913227142440661</v>
      </c>
      <c r="P481" s="232">
        <v>-21.71</v>
      </c>
      <c r="Q481" s="35">
        <v>9.2733719074260534E-3</v>
      </c>
      <c r="R481" s="232">
        <v>1167.23</v>
      </c>
      <c r="S481" s="35">
        <v>0.97625598708753358</v>
      </c>
      <c r="T481" s="232">
        <v>25954.36</v>
      </c>
      <c r="U481" s="35">
        <v>1.0952220128109822</v>
      </c>
      <c r="W481" s="35">
        <f t="shared" si="49"/>
        <v>485.37859537130265</v>
      </c>
      <c r="X481" s="35">
        <f t="shared" si="50"/>
        <v>47645.569354376676</v>
      </c>
      <c r="Y481" s="35">
        <f t="shared" si="51"/>
        <v>28806.740640549106</v>
      </c>
      <c r="Z481" s="35">
        <f t="shared" si="52"/>
        <v>0</v>
      </c>
      <c r="AA481" s="35">
        <f t="shared" si="53"/>
        <v>1</v>
      </c>
      <c r="AB481" s="35">
        <f t="shared" si="54"/>
        <v>0</v>
      </c>
    </row>
    <row r="482" spans="1:28">
      <c r="A482" s="35">
        <v>471</v>
      </c>
      <c r="B482" s="35">
        <v>4.7951475178431568E-4</v>
      </c>
      <c r="C482" s="232">
        <v>61.25</v>
      </c>
      <c r="D482" s="35">
        <v>5.0627855440161182</v>
      </c>
      <c r="E482" s="232">
        <v>38.479999999999997</v>
      </c>
      <c r="F482" s="35">
        <v>5.0520555842919155</v>
      </c>
      <c r="G482" s="232">
        <v>9181.33</v>
      </c>
      <c r="H482" s="35">
        <v>8.3897713254439434</v>
      </c>
      <c r="I482" s="232">
        <v>10936.27</v>
      </c>
      <c r="J482" s="35">
        <v>7.9448809291596953</v>
      </c>
      <c r="K482" s="232">
        <v>12581.24</v>
      </c>
      <c r="L482" s="35">
        <v>9.0764216187867266</v>
      </c>
      <c r="M482" s="232">
        <v>38662.21</v>
      </c>
      <c r="N482" s="35">
        <v>7.9871267597828064</v>
      </c>
      <c r="P482" s="232">
        <v>-22.77</v>
      </c>
      <c r="Q482" s="35">
        <v>1.0729959724202764E-2</v>
      </c>
      <c r="R482" s="232">
        <v>1754.93</v>
      </c>
      <c r="S482" s="35">
        <v>0.44489039628424809</v>
      </c>
      <c r="T482" s="232">
        <v>26080.97</v>
      </c>
      <c r="U482" s="35">
        <v>1.0892948590039202</v>
      </c>
      <c r="W482" s="35">
        <f t="shared" si="49"/>
        <v>559.26798621013825</v>
      </c>
      <c r="X482" s="35">
        <f t="shared" si="50"/>
        <v>20489.589814212406</v>
      </c>
      <c r="Y482" s="35">
        <f t="shared" si="51"/>
        <v>28383.772950196006</v>
      </c>
      <c r="Z482" s="35">
        <f t="shared" si="52"/>
        <v>0</v>
      </c>
      <c r="AA482" s="35">
        <f t="shared" si="53"/>
        <v>0</v>
      </c>
      <c r="AB482" s="35">
        <f t="shared" si="54"/>
        <v>1</v>
      </c>
    </row>
    <row r="483" spans="1:28">
      <c r="A483" s="35">
        <v>472</v>
      </c>
      <c r="B483" s="35">
        <v>4.2122933659523109E-4</v>
      </c>
      <c r="C483" s="232">
        <v>53.46</v>
      </c>
      <c r="D483" s="35">
        <v>5.0609606449930942</v>
      </c>
      <c r="E483" s="232">
        <v>33.99</v>
      </c>
      <c r="F483" s="35">
        <v>5.0509902848670736</v>
      </c>
      <c r="G483" s="232">
        <v>10300.719999999999</v>
      </c>
      <c r="H483" s="35">
        <v>9.0903568874956466</v>
      </c>
      <c r="I483" s="232">
        <v>12187.15</v>
      </c>
      <c r="J483" s="35">
        <v>8.3967975931086887</v>
      </c>
      <c r="K483" s="232">
        <v>11983.3</v>
      </c>
      <c r="L483" s="35">
        <v>8.6182021426507838</v>
      </c>
      <c r="M483" s="232">
        <v>37879.17</v>
      </c>
      <c r="N483" s="35">
        <v>7.5519409480859103</v>
      </c>
      <c r="P483" s="232">
        <v>-19.47</v>
      </c>
      <c r="Q483" s="35">
        <v>9.9703601260205943E-3</v>
      </c>
      <c r="R483" s="232">
        <v>1886.43</v>
      </c>
      <c r="S483" s="35">
        <v>0.69355929438695796</v>
      </c>
      <c r="T483" s="232">
        <v>25895.87</v>
      </c>
      <c r="U483" s="35">
        <v>1.0662611945648734</v>
      </c>
      <c r="W483" s="35">
        <f t="shared" si="49"/>
        <v>517.98800630102971</v>
      </c>
      <c r="X483" s="35">
        <f t="shared" si="50"/>
        <v>32791.534719347896</v>
      </c>
      <c r="Y483" s="35">
        <f t="shared" si="51"/>
        <v>27417.189728243673</v>
      </c>
      <c r="Z483" s="35">
        <f t="shared" si="52"/>
        <v>0</v>
      </c>
      <c r="AA483" s="35">
        <f t="shared" si="53"/>
        <v>1</v>
      </c>
      <c r="AB483" s="35">
        <f t="shared" si="54"/>
        <v>0</v>
      </c>
    </row>
    <row r="484" spans="1:28">
      <c r="A484" s="35">
        <v>473</v>
      </c>
      <c r="B484" s="35">
        <v>4.9433171366530804E-4</v>
      </c>
      <c r="C484" s="232">
        <v>66.31</v>
      </c>
      <c r="D484" s="35">
        <v>5.0615676333706379</v>
      </c>
      <c r="E484" s="232">
        <v>42.36</v>
      </c>
      <c r="F484" s="35">
        <v>5.0517205049433827</v>
      </c>
      <c r="G484" s="232">
        <v>10037.56</v>
      </c>
      <c r="H484" s="35">
        <v>8.163957028786113</v>
      </c>
      <c r="I484" s="232">
        <v>11388.44</v>
      </c>
      <c r="J484" s="35">
        <v>7.3454710659557092</v>
      </c>
      <c r="K484" s="232">
        <v>13543.4</v>
      </c>
      <c r="L484" s="35">
        <v>8.5240240746082563</v>
      </c>
      <c r="M484" s="232">
        <v>39517.480000000003</v>
      </c>
      <c r="N484" s="35">
        <v>7.4028132938693183</v>
      </c>
      <c r="P484" s="232">
        <v>-23.95</v>
      </c>
      <c r="Q484" s="35">
        <v>9.847128427255214E-3</v>
      </c>
      <c r="R484" s="232">
        <v>1350.88</v>
      </c>
      <c r="S484" s="35">
        <v>0.81848596283040376</v>
      </c>
      <c r="T484" s="232">
        <v>25974.080000000002</v>
      </c>
      <c r="U484" s="35">
        <v>1.121210780738938</v>
      </c>
      <c r="W484" s="35">
        <f t="shared" si="49"/>
        <v>516.30642136276072</v>
      </c>
      <c r="X484" s="35">
        <f t="shared" si="50"/>
        <v>39573.418141520189</v>
      </c>
      <c r="Y484" s="35">
        <f t="shared" si="51"/>
        <v>30086.459036946901</v>
      </c>
      <c r="Z484" s="35">
        <f t="shared" si="52"/>
        <v>0</v>
      </c>
      <c r="AA484" s="35">
        <f t="shared" si="53"/>
        <v>1</v>
      </c>
      <c r="AB484" s="35">
        <f t="shared" si="54"/>
        <v>0</v>
      </c>
    </row>
    <row r="485" spans="1:28">
      <c r="A485" s="35">
        <v>474</v>
      </c>
      <c r="B485" s="35">
        <v>4.3866659104867061E-4</v>
      </c>
      <c r="C485" s="232">
        <v>52.17</v>
      </c>
      <c r="D485" s="35">
        <v>5.0611525683140668</v>
      </c>
      <c r="E485" s="232">
        <v>32.81</v>
      </c>
      <c r="F485" s="35">
        <v>5.0509000764139937</v>
      </c>
      <c r="G485" s="232">
        <v>8992.36</v>
      </c>
      <c r="H485" s="35">
        <v>8.8087253227848539</v>
      </c>
      <c r="I485" s="232">
        <v>9854.6299999999992</v>
      </c>
      <c r="J485" s="35">
        <v>7.416784624874138</v>
      </c>
      <c r="K485" s="232">
        <v>11840.67</v>
      </c>
      <c r="L485" s="35">
        <v>8.5907244797109037</v>
      </c>
      <c r="M485" s="232">
        <v>37903.65</v>
      </c>
      <c r="N485" s="35">
        <v>7.4281148038235143</v>
      </c>
      <c r="P485" s="232">
        <v>-19.36</v>
      </c>
      <c r="Q485" s="35">
        <v>1.0252491900073046E-2</v>
      </c>
      <c r="R485" s="232">
        <v>862.26</v>
      </c>
      <c r="S485" s="35">
        <v>1.3919406979107158</v>
      </c>
      <c r="T485" s="232">
        <v>26062.99</v>
      </c>
      <c r="U485" s="35">
        <v>1.1626096758873894</v>
      </c>
      <c r="W485" s="35">
        <f t="shared" si="49"/>
        <v>531.98459500365232</v>
      </c>
      <c r="X485" s="35">
        <f t="shared" si="50"/>
        <v>68734.774895535797</v>
      </c>
      <c r="Y485" s="35">
        <f t="shared" si="51"/>
        <v>32067.493794369471</v>
      </c>
      <c r="Z485" s="35">
        <f t="shared" si="52"/>
        <v>0</v>
      </c>
      <c r="AA485" s="35">
        <f t="shared" si="53"/>
        <v>1</v>
      </c>
      <c r="AB485" s="35">
        <f t="shared" si="54"/>
        <v>0</v>
      </c>
    </row>
    <row r="486" spans="1:28">
      <c r="A486" s="35">
        <v>475</v>
      </c>
      <c r="B486" s="35">
        <v>5.6356969818860403E-4</v>
      </c>
      <c r="C486" s="232">
        <v>80.77</v>
      </c>
      <c r="D486" s="35">
        <v>5.0688786498112162</v>
      </c>
      <c r="E486" s="232">
        <v>43.75</v>
      </c>
      <c r="F486" s="35">
        <v>5.0532864567046198</v>
      </c>
      <c r="G486" s="232">
        <v>11259.19</v>
      </c>
      <c r="H486" s="35">
        <v>9.0419239308542334</v>
      </c>
      <c r="I486" s="232">
        <v>12470.78</v>
      </c>
      <c r="J486" s="35">
        <v>8.0846650847156649</v>
      </c>
      <c r="K486" s="232">
        <v>15178.45</v>
      </c>
      <c r="L486" s="35">
        <v>8.8627834956641021</v>
      </c>
      <c r="M486" s="232">
        <v>41325.54</v>
      </c>
      <c r="N486" s="35">
        <v>7.7383603551487363</v>
      </c>
      <c r="P486" s="232">
        <v>-37.01</v>
      </c>
      <c r="Q486" s="35">
        <v>1.5592193106596319E-2</v>
      </c>
      <c r="R486" s="232">
        <v>1211.5899999999999</v>
      </c>
      <c r="S486" s="35">
        <v>0.95725884613856849</v>
      </c>
      <c r="T486" s="232">
        <v>26147.09</v>
      </c>
      <c r="U486" s="35">
        <v>1.1244231405153657</v>
      </c>
      <c r="W486" s="35">
        <f t="shared" si="49"/>
        <v>816.61965532981594</v>
      </c>
      <c r="X486" s="35">
        <f t="shared" si="50"/>
        <v>46651.352306928427</v>
      </c>
      <c r="Y486" s="35">
        <f t="shared" si="51"/>
        <v>30074.067025768283</v>
      </c>
      <c r="Z486" s="35">
        <f t="shared" si="52"/>
        <v>0</v>
      </c>
      <c r="AA486" s="35">
        <f t="shared" si="53"/>
        <v>1</v>
      </c>
      <c r="AB486" s="35">
        <f t="shared" si="54"/>
        <v>0</v>
      </c>
    </row>
    <row r="487" spans="1:28">
      <c r="A487" s="35">
        <v>476</v>
      </c>
      <c r="B487" s="35">
        <v>5.6386804662533763E-4</v>
      </c>
      <c r="C487" s="232">
        <v>82.61</v>
      </c>
      <c r="D487" s="35">
        <v>5.067650890494189</v>
      </c>
      <c r="E487" s="232">
        <v>47.89</v>
      </c>
      <c r="F487" s="35">
        <v>5.0538356009877825</v>
      </c>
      <c r="G487" s="232">
        <v>11272.99</v>
      </c>
      <c r="H487" s="35">
        <v>8.8322325005103455</v>
      </c>
      <c r="I487" s="232">
        <v>11613.06</v>
      </c>
      <c r="J487" s="35">
        <v>7.4625081807636633</v>
      </c>
      <c r="K487" s="232">
        <v>16300.39</v>
      </c>
      <c r="L487" s="35">
        <v>8.6413801429143469</v>
      </c>
      <c r="M487" s="232">
        <v>42507.93</v>
      </c>
      <c r="N487" s="35">
        <v>7.5293264173924781</v>
      </c>
      <c r="P487" s="232">
        <v>-34.72</v>
      </c>
      <c r="Q487" s="35">
        <v>1.3815289506406536E-2</v>
      </c>
      <c r="R487" s="232">
        <v>340.07</v>
      </c>
      <c r="S487" s="35">
        <v>1.3697243197466822</v>
      </c>
      <c r="T487" s="232">
        <v>26207.54</v>
      </c>
      <c r="U487" s="35">
        <v>1.1120537255218688</v>
      </c>
      <c r="W487" s="35">
        <f t="shared" si="49"/>
        <v>725.48447532032685</v>
      </c>
      <c r="X487" s="35">
        <f t="shared" si="50"/>
        <v>68146.145987334108</v>
      </c>
      <c r="Y487" s="35">
        <f t="shared" si="51"/>
        <v>29395.146276093437</v>
      </c>
      <c r="Z487" s="35">
        <f t="shared" si="52"/>
        <v>0</v>
      </c>
      <c r="AA487" s="35">
        <f t="shared" si="53"/>
        <v>1</v>
      </c>
      <c r="AB487" s="35">
        <f t="shared" si="54"/>
        <v>0</v>
      </c>
    </row>
    <row r="488" spans="1:28">
      <c r="A488" s="35">
        <v>477</v>
      </c>
      <c r="B488" s="35">
        <v>3.9060757920921836E-4</v>
      </c>
      <c r="C488" s="232">
        <v>54.7</v>
      </c>
      <c r="D488" s="35">
        <v>5.0559797125007142</v>
      </c>
      <c r="E488" s="232">
        <v>33.979999999999997</v>
      </c>
      <c r="F488" s="35">
        <v>5.04792809020483</v>
      </c>
      <c r="G488" s="232">
        <v>10958.39</v>
      </c>
      <c r="H488" s="35">
        <v>7.9782030278763223</v>
      </c>
      <c r="I488" s="232">
        <v>12205.46</v>
      </c>
      <c r="J488" s="35">
        <v>6.7673753186326602</v>
      </c>
      <c r="K488" s="232">
        <v>14189.65</v>
      </c>
      <c r="L488" s="35">
        <v>8.462847257861144</v>
      </c>
      <c r="M488" s="232">
        <v>40358.97</v>
      </c>
      <c r="N488" s="35">
        <v>7.3360448647280876</v>
      </c>
      <c r="P488" s="232">
        <v>-20.73</v>
      </c>
      <c r="Q488" s="35">
        <v>8.0516222958841865E-3</v>
      </c>
      <c r="R488" s="232">
        <v>1247.07</v>
      </c>
      <c r="S488" s="35">
        <v>1.2108277092436621</v>
      </c>
      <c r="T488" s="232">
        <v>26169.32</v>
      </c>
      <c r="U488" s="35">
        <v>1.1268023931330564</v>
      </c>
      <c r="W488" s="35">
        <f t="shared" si="49"/>
        <v>423.31111479420935</v>
      </c>
      <c r="X488" s="35">
        <f t="shared" si="50"/>
        <v>59294.315462183105</v>
      </c>
      <c r="Y488" s="35">
        <f t="shared" si="51"/>
        <v>30170.799656652824</v>
      </c>
      <c r="Z488" s="35">
        <f t="shared" si="52"/>
        <v>0</v>
      </c>
      <c r="AA488" s="35">
        <f t="shared" si="53"/>
        <v>1</v>
      </c>
      <c r="AB488" s="35">
        <f t="shared" si="54"/>
        <v>0</v>
      </c>
    </row>
    <row r="489" spans="1:28">
      <c r="A489" s="35">
        <v>478</v>
      </c>
      <c r="B489" s="35">
        <v>5.3802689915671831E-4</v>
      </c>
      <c r="C489" s="232">
        <v>82.92</v>
      </c>
      <c r="D489" s="35">
        <v>5.0669974511449301</v>
      </c>
      <c r="E489" s="232">
        <v>50.34</v>
      </c>
      <c r="F489" s="35">
        <v>5.0542885397983746</v>
      </c>
      <c r="G489" s="232">
        <v>11958.02</v>
      </c>
      <c r="H489" s="35">
        <v>9.0334873215754357</v>
      </c>
      <c r="I489" s="232">
        <v>13371.61</v>
      </c>
      <c r="J489" s="35">
        <v>8.3977132676287596</v>
      </c>
      <c r="K489" s="232">
        <v>16534.48</v>
      </c>
      <c r="L489" s="35">
        <v>8.6060330454726266</v>
      </c>
      <c r="M489" s="232">
        <v>42818.45</v>
      </c>
      <c r="N489" s="35">
        <v>7.5757773815932588</v>
      </c>
      <c r="P489" s="232">
        <v>-32.58</v>
      </c>
      <c r="Q489" s="35">
        <v>1.2708911346555496E-2</v>
      </c>
      <c r="R489" s="232">
        <v>1413.59</v>
      </c>
      <c r="S489" s="35">
        <v>0.63577405394667608</v>
      </c>
      <c r="T489" s="232">
        <v>26283.97</v>
      </c>
      <c r="U489" s="35">
        <v>1.0302556638793678</v>
      </c>
      <c r="W489" s="35">
        <f t="shared" si="49"/>
        <v>668.02556732777487</v>
      </c>
      <c r="X489" s="35">
        <f t="shared" si="50"/>
        <v>30375.112697333803</v>
      </c>
      <c r="Y489" s="35">
        <f t="shared" si="51"/>
        <v>25228.813193968388</v>
      </c>
      <c r="Z489" s="35">
        <f t="shared" si="52"/>
        <v>0</v>
      </c>
      <c r="AA489" s="35">
        <f t="shared" si="53"/>
        <v>1</v>
      </c>
      <c r="AB489" s="35">
        <f t="shared" si="54"/>
        <v>0</v>
      </c>
    </row>
    <row r="490" spans="1:28">
      <c r="A490" s="35">
        <v>479</v>
      </c>
      <c r="B490" s="35">
        <v>4.1436444723623331E-4</v>
      </c>
      <c r="C490" s="232">
        <v>69.36</v>
      </c>
      <c r="D490" s="35">
        <v>5.0591098545921049</v>
      </c>
      <c r="E490" s="232">
        <v>40.619999999999997</v>
      </c>
      <c r="F490" s="35">
        <v>5.0492096277714431</v>
      </c>
      <c r="G490" s="232">
        <v>12824.46</v>
      </c>
      <c r="H490" s="35">
        <v>8.4951939790094251</v>
      </c>
      <c r="I490" s="232">
        <v>13425.14</v>
      </c>
      <c r="J490" s="35">
        <v>7.3274148478254828</v>
      </c>
      <c r="K490" s="232">
        <v>18645.09</v>
      </c>
      <c r="L490" s="35">
        <v>8.8418902665180905</v>
      </c>
      <c r="M490" s="232">
        <v>44958.22</v>
      </c>
      <c r="N490" s="35">
        <v>7.7806249508758345</v>
      </c>
      <c r="P490" s="232">
        <v>-28.75</v>
      </c>
      <c r="Q490" s="35">
        <v>9.9002268206618282E-3</v>
      </c>
      <c r="R490" s="232">
        <v>600.67999999999995</v>
      </c>
      <c r="S490" s="35">
        <v>1.1677791311839423</v>
      </c>
      <c r="T490" s="232">
        <v>26313.13</v>
      </c>
      <c r="U490" s="35">
        <v>1.061265315642256</v>
      </c>
      <c r="W490" s="35">
        <f t="shared" si="49"/>
        <v>523.76134103309141</v>
      </c>
      <c r="X490" s="35">
        <f t="shared" si="50"/>
        <v>57788.276559197111</v>
      </c>
      <c r="Y490" s="35">
        <f t="shared" si="51"/>
        <v>26750.1357821128</v>
      </c>
      <c r="Z490" s="35">
        <f t="shared" si="52"/>
        <v>0</v>
      </c>
      <c r="AA490" s="35">
        <f t="shared" si="53"/>
        <v>1</v>
      </c>
      <c r="AB490" s="35">
        <f t="shared" si="54"/>
        <v>0</v>
      </c>
    </row>
    <row r="491" spans="1:28">
      <c r="A491" s="35">
        <v>480</v>
      </c>
      <c r="B491" s="35">
        <v>4.2893247717717747E-4</v>
      </c>
      <c r="C491" s="232">
        <v>64.900000000000006</v>
      </c>
      <c r="D491" s="35">
        <v>5.0617832793410988</v>
      </c>
      <c r="E491" s="232">
        <v>34.82</v>
      </c>
      <c r="F491" s="35">
        <v>5.0493753304198759</v>
      </c>
      <c r="G491" s="232">
        <v>11720.46</v>
      </c>
      <c r="H491" s="35">
        <v>9.2782022551938379</v>
      </c>
      <c r="I491" s="232">
        <v>12686.44</v>
      </c>
      <c r="J491" s="35">
        <v>8.3282545301259781</v>
      </c>
      <c r="K491" s="232">
        <v>15544.38</v>
      </c>
      <c r="L491" s="35">
        <v>8.8382752004947545</v>
      </c>
      <c r="M491" s="232">
        <v>41635.29</v>
      </c>
      <c r="N491" s="35">
        <v>7.8168121620681843</v>
      </c>
      <c r="P491" s="232">
        <v>-30.08</v>
      </c>
      <c r="Q491" s="35">
        <v>1.2407948921222989E-2</v>
      </c>
      <c r="R491" s="232">
        <v>965.99</v>
      </c>
      <c r="S491" s="35">
        <v>0.94994772506785985</v>
      </c>
      <c r="T491" s="232">
        <v>26090.92</v>
      </c>
      <c r="U491" s="35">
        <v>1.0214630384265702</v>
      </c>
      <c r="W491" s="35">
        <f t="shared" si="49"/>
        <v>650.47744606114952</v>
      </c>
      <c r="X491" s="35">
        <f t="shared" si="50"/>
        <v>46531.396253392995</v>
      </c>
      <c r="Y491" s="35">
        <f t="shared" si="51"/>
        <v>24982.231921328508</v>
      </c>
      <c r="Z491" s="35">
        <f t="shared" si="52"/>
        <v>0</v>
      </c>
      <c r="AA491" s="35">
        <f t="shared" si="53"/>
        <v>1</v>
      </c>
      <c r="AB491" s="35">
        <f t="shared" si="54"/>
        <v>0</v>
      </c>
    </row>
    <row r="492" spans="1:28">
      <c r="A492" s="35">
        <v>481</v>
      </c>
      <c r="B492" s="35">
        <v>6.2809115555950701E-4</v>
      </c>
      <c r="C492" s="232">
        <v>115.81</v>
      </c>
      <c r="D492" s="35">
        <v>5.0714650761897184</v>
      </c>
      <c r="E492" s="232">
        <v>63.98</v>
      </c>
      <c r="F492" s="35">
        <v>5.0553901145451876</v>
      </c>
      <c r="G492" s="232">
        <v>14963.63</v>
      </c>
      <c r="H492" s="35">
        <v>8.9687386841627781</v>
      </c>
      <c r="I492" s="232">
        <v>15733.45</v>
      </c>
      <c r="J492" s="35">
        <v>7.5035576119663592</v>
      </c>
      <c r="K492" s="232">
        <v>18564.88</v>
      </c>
      <c r="L492" s="35">
        <v>8.8333022118014988</v>
      </c>
      <c r="M492" s="232">
        <v>44843.99</v>
      </c>
      <c r="N492" s="35">
        <v>7.8270934449335332</v>
      </c>
      <c r="P492" s="232">
        <v>-51.83</v>
      </c>
      <c r="Q492" s="35">
        <v>1.6074961644530816E-2</v>
      </c>
      <c r="R492" s="232">
        <v>769.82</v>
      </c>
      <c r="S492" s="35">
        <v>1.4651810721964189</v>
      </c>
      <c r="T492" s="232">
        <v>26279.11</v>
      </c>
      <c r="U492" s="35">
        <v>1.0062087668679656</v>
      </c>
      <c r="W492" s="35">
        <f t="shared" si="49"/>
        <v>855.57808222654091</v>
      </c>
      <c r="X492" s="35">
        <f t="shared" si="50"/>
        <v>72489.233609820934</v>
      </c>
      <c r="Y492" s="35">
        <f t="shared" si="51"/>
        <v>24031.32834339828</v>
      </c>
      <c r="Z492" s="35">
        <f t="shared" si="52"/>
        <v>0</v>
      </c>
      <c r="AA492" s="35">
        <f t="shared" si="53"/>
        <v>1</v>
      </c>
      <c r="AB492" s="35">
        <f t="shared" si="54"/>
        <v>0</v>
      </c>
    </row>
    <row r="493" spans="1:28">
      <c r="A493" s="35">
        <v>482</v>
      </c>
      <c r="B493" s="35">
        <v>4.6784937086474798E-4</v>
      </c>
      <c r="C493" s="232">
        <v>75.89</v>
      </c>
      <c r="D493" s="35">
        <v>5.0594977140449586</v>
      </c>
      <c r="E493" s="232">
        <v>44.67</v>
      </c>
      <c r="F493" s="35">
        <v>5.0495791574481572</v>
      </c>
      <c r="G493" s="232">
        <v>12779.63</v>
      </c>
      <c r="H493" s="35">
        <v>8.0741910824029457</v>
      </c>
      <c r="I493" s="232">
        <v>14372.38</v>
      </c>
      <c r="J493" s="35">
        <v>7.388228987868759</v>
      </c>
      <c r="K493" s="232">
        <v>16221.08</v>
      </c>
      <c r="L493" s="35">
        <v>8.412680650067152</v>
      </c>
      <c r="M493" s="232">
        <v>42331.41</v>
      </c>
      <c r="N493" s="35">
        <v>7.3683046244746437</v>
      </c>
      <c r="P493" s="232">
        <v>-31.22</v>
      </c>
      <c r="Q493" s="35">
        <v>9.9185565968014089E-3</v>
      </c>
      <c r="R493" s="232">
        <v>1592.75</v>
      </c>
      <c r="S493" s="35">
        <v>0.68596209453418666</v>
      </c>
      <c r="T493" s="232">
        <v>26110.33</v>
      </c>
      <c r="U493" s="35">
        <v>1.0443760255925083</v>
      </c>
      <c r="W493" s="35">
        <f t="shared" si="49"/>
        <v>527.14782984007047</v>
      </c>
      <c r="X493" s="35">
        <f t="shared" si="50"/>
        <v>32705.354726709331</v>
      </c>
      <c r="Y493" s="35">
        <f t="shared" si="51"/>
        <v>26108.471279625417</v>
      </c>
      <c r="Z493" s="35">
        <f t="shared" si="52"/>
        <v>0</v>
      </c>
      <c r="AA493" s="35">
        <f t="shared" si="53"/>
        <v>1</v>
      </c>
      <c r="AB493" s="35">
        <f t="shared" si="54"/>
        <v>0</v>
      </c>
    </row>
    <row r="494" spans="1:28">
      <c r="A494" s="35">
        <v>483</v>
      </c>
      <c r="B494" s="35">
        <v>4.0384899623986285E-4</v>
      </c>
      <c r="C494" s="232">
        <v>41.55</v>
      </c>
      <c r="D494" s="35">
        <v>5.0588698061906472</v>
      </c>
      <c r="E494" s="232">
        <v>28.55</v>
      </c>
      <c r="F494" s="35">
        <v>5.0504729129508146</v>
      </c>
      <c r="G494" s="232">
        <v>8475.3700000000008</v>
      </c>
      <c r="H494" s="35">
        <v>8.5798661700971763</v>
      </c>
      <c r="I494" s="232">
        <v>10582.92</v>
      </c>
      <c r="J494" s="35">
        <v>7.3456727566879687</v>
      </c>
      <c r="K494" s="232">
        <v>8548.66</v>
      </c>
      <c r="L494" s="35">
        <v>8.7009206382155728</v>
      </c>
      <c r="M494" s="232">
        <v>34314.449999999997</v>
      </c>
      <c r="N494" s="35">
        <v>7.5396830800559274</v>
      </c>
      <c r="P494" s="232">
        <v>-12.99</v>
      </c>
      <c r="Q494" s="35">
        <v>8.3968932398326146E-3</v>
      </c>
      <c r="R494" s="232">
        <v>2107.5500000000002</v>
      </c>
      <c r="S494" s="35">
        <v>1.2341934134092076</v>
      </c>
      <c r="T494" s="232">
        <v>25765.79</v>
      </c>
      <c r="U494" s="35">
        <v>1.1612375581596455</v>
      </c>
      <c r="W494" s="35">
        <f t="shared" si="49"/>
        <v>432.83466199163075</v>
      </c>
      <c r="X494" s="35">
        <f t="shared" si="50"/>
        <v>59602.120670460376</v>
      </c>
      <c r="Y494" s="35">
        <f t="shared" si="51"/>
        <v>32296.08790798227</v>
      </c>
      <c r="Z494" s="35">
        <f t="shared" si="52"/>
        <v>0</v>
      </c>
      <c r="AA494" s="35">
        <f t="shared" si="53"/>
        <v>1</v>
      </c>
      <c r="AB494" s="35">
        <f t="shared" si="54"/>
        <v>0</v>
      </c>
    </row>
    <row r="495" spans="1:28">
      <c r="A495" s="35">
        <v>484</v>
      </c>
      <c r="B495" s="35">
        <v>3.6749915652088135E-4</v>
      </c>
      <c r="C495" s="232">
        <v>51.02</v>
      </c>
      <c r="D495" s="35">
        <v>5.0566049412542435</v>
      </c>
      <c r="E495" s="232">
        <v>30.3</v>
      </c>
      <c r="F495" s="35">
        <v>5.0476765276084574</v>
      </c>
      <c r="G495" s="232">
        <v>10498</v>
      </c>
      <c r="H495" s="35">
        <v>8.6108573047755357</v>
      </c>
      <c r="I495" s="232">
        <v>11632.6</v>
      </c>
      <c r="J495" s="35">
        <v>7.7655533831420511</v>
      </c>
      <c r="K495" s="232">
        <v>14815.73</v>
      </c>
      <c r="L495" s="35">
        <v>8.6982245473814501</v>
      </c>
      <c r="M495" s="232">
        <v>40929.050000000003</v>
      </c>
      <c r="N495" s="35">
        <v>7.5875253555062363</v>
      </c>
      <c r="P495" s="232">
        <v>-20.72</v>
      </c>
      <c r="Q495" s="35">
        <v>8.9284136457861152E-3</v>
      </c>
      <c r="R495" s="232">
        <v>1134.5999999999999</v>
      </c>
      <c r="S495" s="35">
        <v>0.84530392163348456</v>
      </c>
      <c r="T495" s="232">
        <v>26113.32</v>
      </c>
      <c r="U495" s="35">
        <v>1.1106991918752138</v>
      </c>
      <c r="W495" s="35">
        <f t="shared" si="49"/>
        <v>467.1406822893058</v>
      </c>
      <c r="X495" s="35">
        <f t="shared" si="50"/>
        <v>41130.59608167423</v>
      </c>
      <c r="Y495" s="35">
        <f t="shared" si="51"/>
        <v>29421.639593760694</v>
      </c>
      <c r="Z495" s="35">
        <f t="shared" si="52"/>
        <v>0</v>
      </c>
      <c r="AA495" s="35">
        <f t="shared" si="53"/>
        <v>1</v>
      </c>
      <c r="AB495" s="35">
        <f t="shared" si="54"/>
        <v>0</v>
      </c>
    </row>
    <row r="496" spans="1:28">
      <c r="A496" s="35">
        <v>485</v>
      </c>
      <c r="B496" s="35">
        <v>5.106945473963842E-4</v>
      </c>
      <c r="C496" s="232">
        <v>92.16</v>
      </c>
      <c r="D496" s="35">
        <v>5.0649394041308637</v>
      </c>
      <c r="E496" s="232">
        <v>51.47</v>
      </c>
      <c r="F496" s="35">
        <v>5.0519357027351424</v>
      </c>
      <c r="G496" s="232">
        <v>13855.34</v>
      </c>
      <c r="H496" s="35">
        <v>8.8054638976818698</v>
      </c>
      <c r="I496" s="232">
        <v>13384.65</v>
      </c>
      <c r="J496" s="35">
        <v>7.0576832029299741</v>
      </c>
      <c r="K496" s="232">
        <v>19236.509999999998</v>
      </c>
      <c r="L496" s="35">
        <v>8.7388820009305537</v>
      </c>
      <c r="M496" s="232">
        <v>45576.54</v>
      </c>
      <c r="N496" s="35">
        <v>7.6156038564359854</v>
      </c>
      <c r="P496" s="232">
        <v>-40.69</v>
      </c>
      <c r="Q496" s="35">
        <v>1.3003701395721379E-2</v>
      </c>
      <c r="R496" s="232">
        <v>-470.7</v>
      </c>
      <c r="S496" s="35">
        <v>1.7477806947518957</v>
      </c>
      <c r="T496" s="232">
        <v>26340.03</v>
      </c>
      <c r="U496" s="35">
        <v>1.1232781444945683</v>
      </c>
      <c r="W496" s="35">
        <f t="shared" si="49"/>
        <v>690.87506978606893</v>
      </c>
      <c r="X496" s="35">
        <f t="shared" si="50"/>
        <v>87859.734737594787</v>
      </c>
      <c r="Y496" s="35">
        <f t="shared" si="51"/>
        <v>29823.877224728414</v>
      </c>
      <c r="Z496" s="35">
        <f t="shared" si="52"/>
        <v>0</v>
      </c>
      <c r="AA496" s="35">
        <f t="shared" si="53"/>
        <v>1</v>
      </c>
      <c r="AB496" s="35">
        <f t="shared" si="54"/>
        <v>0</v>
      </c>
    </row>
    <row r="497" spans="1:28">
      <c r="A497" s="35">
        <v>486</v>
      </c>
      <c r="B497" s="35">
        <v>4.6490705932000775E-4</v>
      </c>
      <c r="C497" s="232">
        <v>55.04</v>
      </c>
      <c r="D497" s="35">
        <v>5.061242904526881</v>
      </c>
      <c r="E497" s="232">
        <v>32.69</v>
      </c>
      <c r="F497" s="35">
        <v>5.0502205461000118</v>
      </c>
      <c r="G497" s="232">
        <v>8776.36</v>
      </c>
      <c r="H497" s="35">
        <v>8.6321199759529179</v>
      </c>
      <c r="I497" s="232">
        <v>9997.34</v>
      </c>
      <c r="J497" s="35">
        <v>7.597741175442704</v>
      </c>
      <c r="K497" s="232">
        <v>10756.01</v>
      </c>
      <c r="L497" s="35">
        <v>8.4275594756818855</v>
      </c>
      <c r="M497" s="232">
        <v>36748.28</v>
      </c>
      <c r="N497" s="35">
        <v>7.2788950761715618</v>
      </c>
      <c r="P497" s="232">
        <v>-22.35</v>
      </c>
      <c r="Q497" s="35">
        <v>1.1022358426869161E-2</v>
      </c>
      <c r="R497" s="232">
        <v>1220.98</v>
      </c>
      <c r="S497" s="35">
        <v>1.0343788005102139</v>
      </c>
      <c r="T497" s="232">
        <v>25992.27</v>
      </c>
      <c r="U497" s="35">
        <v>1.1486643995103236</v>
      </c>
      <c r="W497" s="35">
        <f t="shared" si="49"/>
        <v>573.4679213434581</v>
      </c>
      <c r="X497" s="35">
        <f t="shared" si="50"/>
        <v>50497.960025510693</v>
      </c>
      <c r="Y497" s="35">
        <f t="shared" si="51"/>
        <v>31440.949975516178</v>
      </c>
      <c r="Z497" s="35">
        <f t="shared" si="52"/>
        <v>0</v>
      </c>
      <c r="AA497" s="35">
        <f t="shared" si="53"/>
        <v>1</v>
      </c>
      <c r="AB497" s="35">
        <f t="shared" si="54"/>
        <v>0</v>
      </c>
    </row>
    <row r="498" spans="1:28">
      <c r="A498" s="35">
        <v>487</v>
      </c>
      <c r="B498" s="35">
        <v>3.8052477092593906E-4</v>
      </c>
      <c r="C498" s="232">
        <v>62.08</v>
      </c>
      <c r="D498" s="35">
        <v>5.0571373619071487</v>
      </c>
      <c r="E498" s="232">
        <v>36.909999999999997</v>
      </c>
      <c r="F498" s="35">
        <v>5.0482114522995563</v>
      </c>
      <c r="G498" s="232">
        <v>12120.71</v>
      </c>
      <c r="H498" s="35">
        <v>8.4892397186212278</v>
      </c>
      <c r="I498" s="232">
        <v>12762.13</v>
      </c>
      <c r="J498" s="35">
        <v>7.3374596365785543</v>
      </c>
      <c r="K498" s="232">
        <v>16227.94</v>
      </c>
      <c r="L498" s="35">
        <v>8.6842407599564559</v>
      </c>
      <c r="M498" s="232">
        <v>42394.79</v>
      </c>
      <c r="N498" s="35">
        <v>7.6242688955198394</v>
      </c>
      <c r="P498" s="232">
        <v>-25.17</v>
      </c>
      <c r="Q498" s="35">
        <v>8.9259096075924305E-3</v>
      </c>
      <c r="R498" s="232">
        <v>641.41</v>
      </c>
      <c r="S498" s="35">
        <v>1.1517800820426736</v>
      </c>
      <c r="T498" s="232">
        <v>26166.84</v>
      </c>
      <c r="U498" s="35">
        <v>1.0599718644366165</v>
      </c>
      <c r="W498" s="35">
        <f t="shared" si="49"/>
        <v>471.46548037962151</v>
      </c>
      <c r="X498" s="35">
        <f t="shared" si="50"/>
        <v>56947.594102133677</v>
      </c>
      <c r="Y498" s="35">
        <f t="shared" si="51"/>
        <v>26831.753221830822</v>
      </c>
      <c r="Z498" s="35">
        <f t="shared" si="52"/>
        <v>0</v>
      </c>
      <c r="AA498" s="35">
        <f t="shared" si="53"/>
        <v>1</v>
      </c>
      <c r="AB498" s="35">
        <f t="shared" si="54"/>
        <v>0</v>
      </c>
    </row>
    <row r="499" spans="1:28">
      <c r="A499" s="35">
        <v>488</v>
      </c>
      <c r="B499" s="35">
        <v>2.8614759875060291E-4</v>
      </c>
      <c r="C499" s="232">
        <v>34.14</v>
      </c>
      <c r="D499" s="35">
        <v>5.0524333951897518</v>
      </c>
      <c r="E499" s="232">
        <v>23.19</v>
      </c>
      <c r="F499" s="35">
        <v>5.0462226939405621</v>
      </c>
      <c r="G499" s="232">
        <v>9857.7900000000009</v>
      </c>
      <c r="H499" s="35">
        <v>8.55302462615788</v>
      </c>
      <c r="I499" s="232">
        <v>12093.42</v>
      </c>
      <c r="J499" s="35">
        <v>6.5025052325858352</v>
      </c>
      <c r="K499" s="232">
        <v>9051.02</v>
      </c>
      <c r="L499" s="35">
        <v>8.5729283969181669</v>
      </c>
      <c r="M499" s="232">
        <v>34746.82</v>
      </c>
      <c r="N499" s="35">
        <v>7.4455313955797475</v>
      </c>
      <c r="P499" s="232">
        <v>-10.95</v>
      </c>
      <c r="Q499" s="35">
        <v>6.210701249189654E-3</v>
      </c>
      <c r="R499" s="232">
        <v>2235.63</v>
      </c>
      <c r="S499" s="35">
        <v>2.0505193935720447</v>
      </c>
      <c r="T499" s="232">
        <v>25695.79</v>
      </c>
      <c r="U499" s="35">
        <v>1.1273970013384194</v>
      </c>
      <c r="W499" s="35">
        <f t="shared" si="49"/>
        <v>321.48506245948266</v>
      </c>
      <c r="X499" s="35">
        <f t="shared" si="50"/>
        <v>100290.33967860223</v>
      </c>
      <c r="Y499" s="35">
        <f t="shared" si="51"/>
        <v>30674.060066920967</v>
      </c>
      <c r="Z499" s="35">
        <f t="shared" si="52"/>
        <v>0</v>
      </c>
      <c r="AA499" s="35">
        <f t="shared" si="53"/>
        <v>1</v>
      </c>
      <c r="AB499" s="35">
        <f t="shared" si="54"/>
        <v>0</v>
      </c>
    </row>
    <row r="500" spans="1:28">
      <c r="A500" s="35">
        <v>489</v>
      </c>
      <c r="B500" s="35">
        <v>5.4366095773372702E-4</v>
      </c>
      <c r="C500" s="232">
        <v>133.36000000000001</v>
      </c>
      <c r="D500" s="35">
        <v>5.0662112852459575</v>
      </c>
      <c r="E500" s="232">
        <v>81.42</v>
      </c>
      <c r="F500" s="35">
        <v>5.0544138462770958</v>
      </c>
      <c r="G500" s="232">
        <v>18072.37</v>
      </c>
      <c r="H500" s="35">
        <v>8.8898536670897013</v>
      </c>
      <c r="I500" s="232">
        <v>19332.88</v>
      </c>
      <c r="J500" s="35">
        <v>8.5406690023594436</v>
      </c>
      <c r="K500" s="232">
        <v>25872.91</v>
      </c>
      <c r="L500" s="35">
        <v>8.330952064648514</v>
      </c>
      <c r="M500" s="232">
        <v>52532.75</v>
      </c>
      <c r="N500" s="35">
        <v>7.188955246743558</v>
      </c>
      <c r="P500" s="232">
        <v>-51.94</v>
      </c>
      <c r="Q500" s="35">
        <v>1.1797438968861762E-2</v>
      </c>
      <c r="R500" s="232">
        <v>1260.51</v>
      </c>
      <c r="S500" s="35">
        <v>0.34918466473025767</v>
      </c>
      <c r="T500" s="232">
        <v>26659.85</v>
      </c>
      <c r="U500" s="35">
        <v>1.141996817904956</v>
      </c>
      <c r="W500" s="35">
        <f t="shared" si="49"/>
        <v>641.81194844308811</v>
      </c>
      <c r="X500" s="35">
        <f t="shared" si="50"/>
        <v>16198.723236512882</v>
      </c>
      <c r="Y500" s="35">
        <f t="shared" si="51"/>
        <v>30439.9908952478</v>
      </c>
      <c r="Z500" s="35">
        <f t="shared" si="52"/>
        <v>0</v>
      </c>
      <c r="AA500" s="35">
        <f t="shared" si="53"/>
        <v>0</v>
      </c>
      <c r="AB500" s="35">
        <f t="shared" si="54"/>
        <v>1</v>
      </c>
    </row>
    <row r="501" spans="1:28">
      <c r="A501" s="35">
        <v>490</v>
      </c>
      <c r="B501" s="35">
        <v>5.5155621322200421E-4</v>
      </c>
      <c r="C501" s="232">
        <v>84.08</v>
      </c>
      <c r="D501" s="35">
        <v>5.0673624014200191</v>
      </c>
      <c r="E501" s="232">
        <v>46.96</v>
      </c>
      <c r="F501" s="35">
        <v>5.0530807800986421</v>
      </c>
      <c r="G501" s="232">
        <v>12793.49</v>
      </c>
      <c r="H501" s="35">
        <v>8.9091692126803981</v>
      </c>
      <c r="I501" s="232">
        <v>14705.53</v>
      </c>
      <c r="J501" s="35">
        <v>7.900660234671645</v>
      </c>
      <c r="K501" s="232">
        <v>14509.02</v>
      </c>
      <c r="L501" s="35">
        <v>8.602583472124584</v>
      </c>
      <c r="M501" s="232">
        <v>40678.75</v>
      </c>
      <c r="N501" s="35">
        <v>7.4307750693696226</v>
      </c>
      <c r="P501" s="232">
        <v>-37.119999999999997</v>
      </c>
      <c r="Q501" s="35">
        <v>1.4281621321377003E-2</v>
      </c>
      <c r="R501" s="232">
        <v>1912.04</v>
      </c>
      <c r="S501" s="35">
        <v>1.0085089780087531</v>
      </c>
      <c r="T501" s="232">
        <v>26169.73</v>
      </c>
      <c r="U501" s="35">
        <v>1.1718084027549613</v>
      </c>
      <c r="W501" s="35">
        <f t="shared" si="49"/>
        <v>751.20106606885008</v>
      </c>
      <c r="X501" s="35">
        <f t="shared" si="50"/>
        <v>48513.408900437651</v>
      </c>
      <c r="Y501" s="35">
        <f t="shared" si="51"/>
        <v>32420.690137748064</v>
      </c>
      <c r="Z501" s="35">
        <f t="shared" si="52"/>
        <v>0</v>
      </c>
      <c r="AA501" s="35">
        <f t="shared" si="53"/>
        <v>1</v>
      </c>
      <c r="AB501" s="35">
        <f t="shared" si="54"/>
        <v>0</v>
      </c>
    </row>
    <row r="502" spans="1:28">
      <c r="A502" s="35">
        <v>491</v>
      </c>
      <c r="B502" s="35">
        <v>5.5508051605102082E-4</v>
      </c>
      <c r="C502" s="232">
        <v>68.540000000000006</v>
      </c>
      <c r="D502" s="35">
        <v>5.0657903648354177</v>
      </c>
      <c r="E502" s="232">
        <v>41.05</v>
      </c>
      <c r="F502" s="35">
        <v>5.0531222965280582</v>
      </c>
      <c r="G502" s="232">
        <v>9515.41</v>
      </c>
      <c r="H502" s="35">
        <v>8.5796612937051275</v>
      </c>
      <c r="I502" s="232">
        <v>10888.4</v>
      </c>
      <c r="J502" s="35">
        <v>7.270799217250322</v>
      </c>
      <c r="K502" s="232">
        <v>10463.48</v>
      </c>
      <c r="L502" s="35">
        <v>8.5820527875426862</v>
      </c>
      <c r="M502" s="232">
        <v>36249.08</v>
      </c>
      <c r="N502" s="35">
        <v>7.5631398783576449</v>
      </c>
      <c r="P502" s="232">
        <v>-27.49</v>
      </c>
      <c r="Q502" s="35">
        <v>1.2668068307359448E-2</v>
      </c>
      <c r="R502" s="232">
        <v>1372.99</v>
      </c>
      <c r="S502" s="35">
        <v>1.3088620764548056</v>
      </c>
      <c r="T502" s="232">
        <v>25785.599999999999</v>
      </c>
      <c r="U502" s="35">
        <v>1.0189129091850413</v>
      </c>
      <c r="W502" s="35">
        <f t="shared" si="49"/>
        <v>660.89341536797247</v>
      </c>
      <c r="X502" s="35">
        <f t="shared" si="50"/>
        <v>64070.113822740277</v>
      </c>
      <c r="Y502" s="35">
        <f t="shared" si="51"/>
        <v>25160.045459252069</v>
      </c>
      <c r="Z502" s="35">
        <f t="shared" si="52"/>
        <v>0</v>
      </c>
      <c r="AA502" s="35">
        <f t="shared" si="53"/>
        <v>1</v>
      </c>
      <c r="AB502" s="35">
        <f t="shared" si="54"/>
        <v>0</v>
      </c>
    </row>
    <row r="503" spans="1:28">
      <c r="A503" s="35">
        <v>492</v>
      </c>
      <c r="B503" s="35">
        <v>3.3882834119747745E-4</v>
      </c>
      <c r="C503" s="232">
        <v>46.8</v>
      </c>
      <c r="D503" s="35">
        <v>5.0535659749463466</v>
      </c>
      <c r="E503" s="232">
        <v>32.380000000000003</v>
      </c>
      <c r="F503" s="35">
        <v>5.0475204755986738</v>
      </c>
      <c r="G503" s="232">
        <v>9642.2900000000009</v>
      </c>
      <c r="H503" s="35">
        <v>7.9266568884966233</v>
      </c>
      <c r="I503" s="232">
        <v>9716.76</v>
      </c>
      <c r="J503" s="35">
        <v>6.7194643882735443</v>
      </c>
      <c r="K503" s="232">
        <v>16206.97</v>
      </c>
      <c r="L503" s="35">
        <v>8.5249847791175331</v>
      </c>
      <c r="M503" s="232">
        <v>42375.15</v>
      </c>
      <c r="N503" s="35">
        <v>7.4537397052841987</v>
      </c>
      <c r="P503" s="232">
        <v>-14.43</v>
      </c>
      <c r="Q503" s="35">
        <v>6.0454993476728447E-3</v>
      </c>
      <c r="R503" s="232">
        <v>74.47</v>
      </c>
      <c r="S503" s="35">
        <v>1.207192500223079</v>
      </c>
      <c r="T503" s="232">
        <v>26168.18</v>
      </c>
      <c r="U503" s="35">
        <v>1.0712450738333343</v>
      </c>
      <c r="W503" s="35">
        <f t="shared" si="49"/>
        <v>316.70496738364221</v>
      </c>
      <c r="X503" s="35">
        <f t="shared" si="50"/>
        <v>60285.155011153947</v>
      </c>
      <c r="Y503" s="35">
        <f t="shared" si="51"/>
        <v>27394.073691666716</v>
      </c>
      <c r="Z503" s="35">
        <f t="shared" si="52"/>
        <v>0</v>
      </c>
      <c r="AA503" s="35">
        <f t="shared" si="53"/>
        <v>1</v>
      </c>
      <c r="AB503" s="35">
        <f t="shared" si="54"/>
        <v>0</v>
      </c>
    </row>
    <row r="504" spans="1:28">
      <c r="A504" s="35">
        <v>493</v>
      </c>
      <c r="B504" s="35">
        <v>4.5923033975503458E-4</v>
      </c>
      <c r="C504" s="232">
        <v>69.41</v>
      </c>
      <c r="D504" s="35">
        <v>5.061255990151472</v>
      </c>
      <c r="E504" s="232">
        <v>38.43</v>
      </c>
      <c r="F504" s="35">
        <v>5.0496105145821568</v>
      </c>
      <c r="G504" s="232">
        <v>11584.43</v>
      </c>
      <c r="H504" s="35">
        <v>8.6872577369757629</v>
      </c>
      <c r="I504" s="232">
        <v>12470.66</v>
      </c>
      <c r="J504" s="35">
        <v>7.6258639277285001</v>
      </c>
      <c r="K504" s="232">
        <v>15090.01</v>
      </c>
      <c r="L504" s="35">
        <v>8.6155063890084005</v>
      </c>
      <c r="M504" s="232">
        <v>41125.839999999997</v>
      </c>
      <c r="N504" s="35">
        <v>7.5532795991649531</v>
      </c>
      <c r="P504" s="232">
        <v>-30.97</v>
      </c>
      <c r="Q504" s="35">
        <v>1.1645475569315167E-2</v>
      </c>
      <c r="R504" s="232">
        <v>886.24</v>
      </c>
      <c r="S504" s="35">
        <v>1.0613938092472628</v>
      </c>
      <c r="T504" s="232">
        <v>26035.83</v>
      </c>
      <c r="U504" s="35">
        <v>1.0622267898434474</v>
      </c>
      <c r="W504" s="35">
        <f t="shared" si="49"/>
        <v>613.2437784657584</v>
      </c>
      <c r="X504" s="35">
        <f t="shared" si="50"/>
        <v>52183.450462363144</v>
      </c>
      <c r="Y504" s="35">
        <f t="shared" si="51"/>
        <v>27075.509492172372</v>
      </c>
      <c r="Z504" s="35">
        <f t="shared" si="52"/>
        <v>0</v>
      </c>
      <c r="AA504" s="35">
        <f t="shared" si="53"/>
        <v>1</v>
      </c>
      <c r="AB504" s="35">
        <f t="shared" si="54"/>
        <v>0</v>
      </c>
    </row>
    <row r="505" spans="1:28">
      <c r="A505" s="35">
        <v>494</v>
      </c>
      <c r="B505" s="35">
        <v>5.0703879486713177E-4</v>
      </c>
      <c r="C505" s="232">
        <v>91.82</v>
      </c>
      <c r="D505" s="35">
        <v>5.0662265264541473</v>
      </c>
      <c r="E505" s="232">
        <v>50.19</v>
      </c>
      <c r="F505" s="35">
        <v>5.0522650480113089</v>
      </c>
      <c r="G505" s="232">
        <v>13723.69</v>
      </c>
      <c r="H505" s="35">
        <v>9.0771784147637646</v>
      </c>
      <c r="I505" s="232">
        <v>13917.62</v>
      </c>
      <c r="J505" s="35">
        <v>7.8782917849304299</v>
      </c>
      <c r="K505" s="232">
        <v>19792.13</v>
      </c>
      <c r="L505" s="35">
        <v>9.1758763844401123</v>
      </c>
      <c r="M505" s="232">
        <v>46222.9</v>
      </c>
      <c r="N505" s="35">
        <v>8.0953096769959796</v>
      </c>
      <c r="P505" s="232">
        <v>-41.62</v>
      </c>
      <c r="Q505" s="35">
        <v>1.3961478442838349E-2</v>
      </c>
      <c r="R505" s="232">
        <v>193.92</v>
      </c>
      <c r="S505" s="35">
        <v>1.1988866298333347</v>
      </c>
      <c r="T505" s="232">
        <v>26430.78</v>
      </c>
      <c r="U505" s="35">
        <v>1.0805667074441327</v>
      </c>
      <c r="W505" s="35">
        <f t="shared" si="49"/>
        <v>739.69392214191748</v>
      </c>
      <c r="X505" s="35">
        <f t="shared" si="50"/>
        <v>59750.411491666739</v>
      </c>
      <c r="Y505" s="35">
        <f t="shared" si="51"/>
        <v>27597.55537220664</v>
      </c>
      <c r="Z505" s="35">
        <f t="shared" si="52"/>
        <v>0</v>
      </c>
      <c r="AA505" s="35">
        <f t="shared" si="53"/>
        <v>1</v>
      </c>
      <c r="AB505" s="35">
        <f t="shared" si="54"/>
        <v>0</v>
      </c>
    </row>
    <row r="506" spans="1:28">
      <c r="A506" s="35">
        <v>495</v>
      </c>
      <c r="B506" s="35">
        <v>3.4501156276666378E-4</v>
      </c>
      <c r="C506" s="232">
        <v>46.92</v>
      </c>
      <c r="D506" s="35">
        <v>5.0557357815384165</v>
      </c>
      <c r="E506" s="232">
        <v>29.8</v>
      </c>
      <c r="F506" s="35">
        <v>5.0478446512414656</v>
      </c>
      <c r="G506" s="232">
        <v>10529.14</v>
      </c>
      <c r="H506" s="35">
        <v>8.4837418967236129</v>
      </c>
      <c r="I506" s="232">
        <v>11323.8</v>
      </c>
      <c r="J506" s="35">
        <v>6.7166198949381792</v>
      </c>
      <c r="K506" s="232">
        <v>13185.06</v>
      </c>
      <c r="L506" s="35">
        <v>8.8634771590302588</v>
      </c>
      <c r="M506" s="232">
        <v>39121.65</v>
      </c>
      <c r="N506" s="35">
        <v>7.7549569416904722</v>
      </c>
      <c r="P506" s="232">
        <v>-17.12</v>
      </c>
      <c r="Q506" s="35">
        <v>7.8911302969508768E-3</v>
      </c>
      <c r="R506" s="232">
        <v>794.66</v>
      </c>
      <c r="S506" s="35">
        <v>1.7671220017854337</v>
      </c>
      <c r="T506" s="232">
        <v>25936.59</v>
      </c>
      <c r="U506" s="35">
        <v>1.1085202173397866</v>
      </c>
      <c r="W506" s="35">
        <f t="shared" si="49"/>
        <v>411.67651484754384</v>
      </c>
      <c r="X506" s="35">
        <f t="shared" si="50"/>
        <v>87561.44008927168</v>
      </c>
      <c r="Y506" s="35">
        <f t="shared" si="51"/>
        <v>29489.420866989331</v>
      </c>
      <c r="Z506" s="35">
        <f t="shared" si="52"/>
        <v>0</v>
      </c>
      <c r="AA506" s="35">
        <f t="shared" si="53"/>
        <v>1</v>
      </c>
      <c r="AB506" s="35">
        <f t="shared" si="54"/>
        <v>0</v>
      </c>
    </row>
    <row r="507" spans="1:28">
      <c r="A507" s="35">
        <v>496</v>
      </c>
      <c r="B507" s="35">
        <v>4.4063257743137647E-4</v>
      </c>
      <c r="C507" s="232">
        <v>57.19</v>
      </c>
      <c r="D507" s="35">
        <v>5.0585281246198068</v>
      </c>
      <c r="E507" s="232">
        <v>34.76</v>
      </c>
      <c r="F507" s="35">
        <v>5.0491240832693549</v>
      </c>
      <c r="G507" s="232">
        <v>10492.32</v>
      </c>
      <c r="H507" s="35">
        <v>8.1272739588980407</v>
      </c>
      <c r="I507" s="232">
        <v>12156.8</v>
      </c>
      <c r="J507" s="35">
        <v>6.822903171315204</v>
      </c>
      <c r="K507" s="232">
        <v>11715.64</v>
      </c>
      <c r="L507" s="35">
        <v>8.3928969619933582</v>
      </c>
      <c r="M507" s="232">
        <v>37564.33</v>
      </c>
      <c r="N507" s="35">
        <v>7.2964201792504175</v>
      </c>
      <c r="P507" s="232">
        <v>-22.44</v>
      </c>
      <c r="Q507" s="35">
        <v>9.4040413504519194E-3</v>
      </c>
      <c r="R507" s="232">
        <v>1664.48</v>
      </c>
      <c r="S507" s="35">
        <v>1.3043707875828368</v>
      </c>
      <c r="T507" s="232">
        <v>25848.69</v>
      </c>
      <c r="U507" s="35">
        <v>1.0964767827429407</v>
      </c>
      <c r="W507" s="35">
        <f t="shared" si="49"/>
        <v>492.64206752259594</v>
      </c>
      <c r="X507" s="35">
        <f t="shared" si="50"/>
        <v>63554.059379141836</v>
      </c>
      <c r="Y507" s="35">
        <f t="shared" si="51"/>
        <v>28975.149137147037</v>
      </c>
      <c r="Z507" s="35">
        <f t="shared" si="52"/>
        <v>0</v>
      </c>
      <c r="AA507" s="35">
        <f t="shared" si="53"/>
        <v>1</v>
      </c>
      <c r="AB507" s="35">
        <f t="shared" si="54"/>
        <v>0</v>
      </c>
    </row>
    <row r="508" spans="1:28">
      <c r="A508" s="35">
        <v>497</v>
      </c>
      <c r="B508" s="35">
        <v>3.2891767632196411E-4</v>
      </c>
      <c r="C508" s="232">
        <v>38.94</v>
      </c>
      <c r="D508" s="35">
        <v>5.0565113164212407</v>
      </c>
      <c r="E508" s="232">
        <v>25.56</v>
      </c>
      <c r="F508" s="35">
        <v>5.0483766110309807</v>
      </c>
      <c r="G508" s="232">
        <v>9331.8700000000008</v>
      </c>
      <c r="H508" s="35">
        <v>9.3147052758722069</v>
      </c>
      <c r="I508" s="232">
        <v>11446.5</v>
      </c>
      <c r="J508" s="35">
        <v>8.9702798166157098</v>
      </c>
      <c r="K508" s="232">
        <v>9175.1200000000008</v>
      </c>
      <c r="L508" s="35">
        <v>8.7547771744892078</v>
      </c>
      <c r="M508" s="232">
        <v>35004.300000000003</v>
      </c>
      <c r="N508" s="35">
        <v>7.6430786574853435</v>
      </c>
      <c r="P508" s="232">
        <v>-13.38</v>
      </c>
      <c r="Q508" s="35">
        <v>8.1347053902600663E-3</v>
      </c>
      <c r="R508" s="232">
        <v>2114.63</v>
      </c>
      <c r="S508" s="35">
        <v>0.34442545925649704</v>
      </c>
      <c r="T508" s="232">
        <v>25829.17</v>
      </c>
      <c r="U508" s="35">
        <v>1.1116985170038642</v>
      </c>
      <c r="W508" s="35">
        <f t="shared" si="49"/>
        <v>420.11526951300334</v>
      </c>
      <c r="X508" s="35">
        <f t="shared" si="50"/>
        <v>15106.642962824852</v>
      </c>
      <c r="Y508" s="35">
        <f t="shared" si="51"/>
        <v>29755.755850193214</v>
      </c>
      <c r="Z508" s="35">
        <f t="shared" si="52"/>
        <v>0</v>
      </c>
      <c r="AA508" s="35">
        <f t="shared" si="53"/>
        <v>0</v>
      </c>
      <c r="AB508" s="35">
        <f t="shared" si="54"/>
        <v>1</v>
      </c>
    </row>
    <row r="509" spans="1:28">
      <c r="A509" s="35">
        <v>498</v>
      </c>
      <c r="B509" s="35">
        <v>5.7476160722536029E-4</v>
      </c>
      <c r="C509" s="232">
        <v>85.09</v>
      </c>
      <c r="D509" s="35">
        <v>5.0693463696109404</v>
      </c>
      <c r="E509" s="232">
        <v>51.57</v>
      </c>
      <c r="F509" s="35">
        <v>5.0556135641877038</v>
      </c>
      <c r="G509" s="232">
        <v>11189.41</v>
      </c>
      <c r="H509" s="35">
        <v>8.9653956019942189</v>
      </c>
      <c r="I509" s="232">
        <v>12846.02</v>
      </c>
      <c r="J509" s="35">
        <v>8.3525703715535897</v>
      </c>
      <c r="K509" s="232">
        <v>13144.95</v>
      </c>
      <c r="L509" s="35">
        <v>8.9435309885959775</v>
      </c>
      <c r="M509" s="232">
        <v>39148.53</v>
      </c>
      <c r="N509" s="35">
        <v>7.9092509542221343</v>
      </c>
      <c r="P509" s="232">
        <v>-33.520000000000003</v>
      </c>
      <c r="Q509" s="35">
        <v>1.3732805423236627E-2</v>
      </c>
      <c r="R509" s="232">
        <v>1656.61</v>
      </c>
      <c r="S509" s="35">
        <v>0.6128252304406292</v>
      </c>
      <c r="T509" s="232">
        <v>26003.58</v>
      </c>
      <c r="U509" s="35">
        <v>1.0342800343738432</v>
      </c>
      <c r="W509" s="35">
        <f t="shared" si="49"/>
        <v>720.16027116183136</v>
      </c>
      <c r="X509" s="35">
        <f t="shared" si="50"/>
        <v>28984.651522031458</v>
      </c>
      <c r="Y509" s="35">
        <f t="shared" si="51"/>
        <v>25710.42171869216</v>
      </c>
      <c r="Z509" s="35">
        <f t="shared" si="52"/>
        <v>0</v>
      </c>
      <c r="AA509" s="35">
        <f t="shared" si="53"/>
        <v>1</v>
      </c>
      <c r="AB509" s="35">
        <f t="shared" si="54"/>
        <v>0</v>
      </c>
    </row>
    <row r="510" spans="1:28">
      <c r="A510" s="35">
        <v>499</v>
      </c>
      <c r="B510" s="35">
        <v>3.6632991465182231E-4</v>
      </c>
      <c r="C510" s="232">
        <v>53.14</v>
      </c>
      <c r="D510" s="35">
        <v>5.0574972665792224</v>
      </c>
      <c r="E510" s="232">
        <v>32.200000000000003</v>
      </c>
      <c r="F510" s="35">
        <v>5.0484345518538181</v>
      </c>
      <c r="G510" s="232">
        <v>11270.87</v>
      </c>
      <c r="H510" s="35">
        <v>8.846887272843885</v>
      </c>
      <c r="I510" s="232">
        <v>12457.15</v>
      </c>
      <c r="J510" s="35">
        <v>7.6630666100599738</v>
      </c>
      <c r="K510" s="232">
        <v>13936.69</v>
      </c>
      <c r="L510" s="35">
        <v>8.8123968095664047</v>
      </c>
      <c r="M510" s="232">
        <v>40071.25</v>
      </c>
      <c r="N510" s="35">
        <v>7.712732716985534</v>
      </c>
      <c r="P510" s="232">
        <v>-20.94</v>
      </c>
      <c r="Q510" s="35">
        <v>9.0627147254043194E-3</v>
      </c>
      <c r="R510" s="232">
        <v>1186.28</v>
      </c>
      <c r="S510" s="35">
        <v>1.1838206627839112</v>
      </c>
      <c r="T510" s="232">
        <v>26134.55</v>
      </c>
      <c r="U510" s="35">
        <v>1.0996640925808707</v>
      </c>
      <c r="W510" s="35">
        <f t="shared" si="49"/>
        <v>474.07573627021594</v>
      </c>
      <c r="X510" s="35">
        <f t="shared" si="50"/>
        <v>58004.753139195564</v>
      </c>
      <c r="Y510" s="35">
        <f t="shared" si="51"/>
        <v>28848.65462904354</v>
      </c>
      <c r="Z510" s="35">
        <f t="shared" si="52"/>
        <v>0</v>
      </c>
      <c r="AA510" s="35">
        <f t="shared" si="53"/>
        <v>1</v>
      </c>
      <c r="AB510" s="35">
        <f t="shared" si="54"/>
        <v>0</v>
      </c>
    </row>
    <row r="511" spans="1:28">
      <c r="A511" s="35">
        <v>500</v>
      </c>
      <c r="B511" s="35">
        <v>4.7839187692733098E-4</v>
      </c>
      <c r="C511" s="232">
        <v>79.989999999999995</v>
      </c>
      <c r="D511" s="35">
        <v>5.0669034671241926</v>
      </c>
      <c r="E511" s="232">
        <v>46.9</v>
      </c>
      <c r="F511" s="35">
        <v>5.0535868786027951</v>
      </c>
      <c r="G511" s="232">
        <v>13258.81</v>
      </c>
      <c r="H511" s="35">
        <v>9.7587953246443906</v>
      </c>
      <c r="I511" s="232">
        <v>13721.51</v>
      </c>
      <c r="J511" s="35">
        <v>8.1133581881866412</v>
      </c>
      <c r="K511" s="232">
        <v>16489.490000000002</v>
      </c>
      <c r="L511" s="35">
        <v>8.9232933634428822</v>
      </c>
      <c r="M511" s="232">
        <v>42657.31</v>
      </c>
      <c r="N511" s="35">
        <v>7.8383678668574435</v>
      </c>
      <c r="P511" s="232">
        <v>-33.090000000000003</v>
      </c>
      <c r="Q511" s="35">
        <v>1.3316588521397499E-2</v>
      </c>
      <c r="R511" s="232">
        <v>462.71</v>
      </c>
      <c r="S511" s="35">
        <v>1.6454371364577494</v>
      </c>
      <c r="T511" s="232">
        <v>26167.82</v>
      </c>
      <c r="U511" s="35">
        <v>1.0849254965854387</v>
      </c>
      <c r="W511" s="35">
        <f t="shared" si="49"/>
        <v>698.91942606987493</v>
      </c>
      <c r="X511" s="35">
        <f t="shared" si="50"/>
        <v>81809.146822887458</v>
      </c>
      <c r="Y511" s="35">
        <f t="shared" si="51"/>
        <v>28078.454829271934</v>
      </c>
      <c r="Z511" s="35">
        <f t="shared" si="52"/>
        <v>0</v>
      </c>
      <c r="AA511" s="35">
        <f t="shared" si="53"/>
        <v>1</v>
      </c>
      <c r="AB511" s="35">
        <f t="shared" si="54"/>
        <v>0</v>
      </c>
    </row>
    <row r="512" spans="1:28">
      <c r="A512" s="35">
        <v>501</v>
      </c>
      <c r="B512" s="35">
        <v>3.8615707829562593E-4</v>
      </c>
      <c r="C512" s="232">
        <v>48.9</v>
      </c>
      <c r="D512" s="35">
        <v>5.0567957045222904</v>
      </c>
      <c r="E512" s="232">
        <v>28.15</v>
      </c>
      <c r="F512" s="35">
        <v>5.0473719414053217</v>
      </c>
      <c r="G512" s="232">
        <v>9679.26</v>
      </c>
      <c r="H512" s="35">
        <v>8.3060445554236679</v>
      </c>
      <c r="I512" s="232">
        <v>10416.61</v>
      </c>
      <c r="J512" s="35">
        <v>6.4850196381310914</v>
      </c>
      <c r="K512" s="232">
        <v>11813.05</v>
      </c>
      <c r="L512" s="35">
        <v>8.6421193812414234</v>
      </c>
      <c r="M512" s="232">
        <v>37772.49</v>
      </c>
      <c r="N512" s="35">
        <v>7.5542158053724755</v>
      </c>
      <c r="P512" s="232">
        <v>-20.75</v>
      </c>
      <c r="Q512" s="35">
        <v>9.4237631169686864E-3</v>
      </c>
      <c r="R512" s="232">
        <v>737.36</v>
      </c>
      <c r="S512" s="35">
        <v>1.8210249172925765</v>
      </c>
      <c r="T512" s="232">
        <v>25959.439999999999</v>
      </c>
      <c r="U512" s="35">
        <v>1.0879035758689479</v>
      </c>
      <c r="W512" s="35">
        <f t="shared" si="49"/>
        <v>491.93815584843435</v>
      </c>
      <c r="X512" s="35">
        <f t="shared" si="50"/>
        <v>90313.885864628828</v>
      </c>
      <c r="Y512" s="35">
        <f t="shared" si="51"/>
        <v>28435.738793447399</v>
      </c>
      <c r="Z512" s="35">
        <f t="shared" si="52"/>
        <v>0</v>
      </c>
      <c r="AA512" s="35">
        <f t="shared" si="53"/>
        <v>1</v>
      </c>
      <c r="AB512" s="35">
        <f t="shared" si="54"/>
        <v>0</v>
      </c>
    </row>
    <row r="513" spans="1:28">
      <c r="A513" s="35">
        <v>502</v>
      </c>
      <c r="B513" s="35">
        <v>4.1308650679234508E-4</v>
      </c>
      <c r="C513" s="232">
        <v>74.790000000000006</v>
      </c>
      <c r="D513" s="35">
        <v>5.0588912257067813</v>
      </c>
      <c r="E513" s="232">
        <v>50</v>
      </c>
      <c r="F513" s="35">
        <v>5.050913397830171</v>
      </c>
      <c r="G513" s="232">
        <v>13861.35</v>
      </c>
      <c r="H513" s="35">
        <v>8.5700709991746162</v>
      </c>
      <c r="I513" s="232">
        <v>14007.56</v>
      </c>
      <c r="J513" s="35">
        <v>6.8307892961219956</v>
      </c>
      <c r="K513" s="232">
        <v>17292.93</v>
      </c>
      <c r="L513" s="35">
        <v>8.4520725855487484</v>
      </c>
      <c r="M513" s="232">
        <v>43462.2</v>
      </c>
      <c r="N513" s="35">
        <v>7.3626043872505411</v>
      </c>
      <c r="P513" s="232">
        <v>-24.79</v>
      </c>
      <c r="Q513" s="35">
        <v>7.9778278766102773E-3</v>
      </c>
      <c r="R513" s="232">
        <v>146.21</v>
      </c>
      <c r="S513" s="35">
        <v>1.7392817030526206</v>
      </c>
      <c r="T513" s="232">
        <v>26169.27</v>
      </c>
      <c r="U513" s="35">
        <v>1.0894681982982073</v>
      </c>
      <c r="W513" s="35">
        <f t="shared" si="49"/>
        <v>423.68139383051385</v>
      </c>
      <c r="X513" s="35">
        <f t="shared" si="50"/>
        <v>86817.875152631023</v>
      </c>
      <c r="Y513" s="35">
        <f t="shared" si="51"/>
        <v>28304.139914910364</v>
      </c>
      <c r="Z513" s="35">
        <f t="shared" si="52"/>
        <v>0</v>
      </c>
      <c r="AA513" s="35">
        <f t="shared" si="53"/>
        <v>1</v>
      </c>
      <c r="AB513" s="35">
        <f t="shared" si="54"/>
        <v>0</v>
      </c>
    </row>
    <row r="514" spans="1:28">
      <c r="A514" s="35">
        <v>503</v>
      </c>
      <c r="B514" s="35">
        <v>3.4378281271280693E-4</v>
      </c>
      <c r="C514" s="232">
        <v>45.37</v>
      </c>
      <c r="D514" s="35">
        <v>5.0547724171001605</v>
      </c>
      <c r="E514" s="232">
        <v>27.09</v>
      </c>
      <c r="F514" s="35">
        <v>5.0466225660988275</v>
      </c>
      <c r="G514" s="232">
        <v>10210.5</v>
      </c>
      <c r="H514" s="35">
        <v>8.4797645751911208</v>
      </c>
      <c r="I514" s="232">
        <v>11766.87</v>
      </c>
      <c r="J514" s="35">
        <v>7.8444879564588117</v>
      </c>
      <c r="K514" s="232">
        <v>13706.73</v>
      </c>
      <c r="L514" s="35">
        <v>8.4637018680069342</v>
      </c>
      <c r="M514" s="232">
        <v>39747.06</v>
      </c>
      <c r="N514" s="35">
        <v>7.3874304228108665</v>
      </c>
      <c r="P514" s="232">
        <v>-18.28</v>
      </c>
      <c r="Q514" s="35">
        <v>8.1498510013329195E-3</v>
      </c>
      <c r="R514" s="232">
        <v>1556.38</v>
      </c>
      <c r="S514" s="35">
        <v>0.63527661873230912</v>
      </c>
      <c r="T514" s="232">
        <v>26040.33</v>
      </c>
      <c r="U514" s="35">
        <v>1.0762714451960678</v>
      </c>
      <c r="W514" s="35">
        <f t="shared" si="49"/>
        <v>425.77255006664598</v>
      </c>
      <c r="X514" s="35">
        <f t="shared" si="50"/>
        <v>30207.450936615456</v>
      </c>
      <c r="Y514" s="35">
        <f t="shared" si="51"/>
        <v>27773.242259803388</v>
      </c>
      <c r="Z514" s="35">
        <f t="shared" si="52"/>
        <v>0</v>
      </c>
      <c r="AA514" s="35">
        <f t="shared" si="53"/>
        <v>1</v>
      </c>
      <c r="AB514" s="35">
        <f t="shared" si="54"/>
        <v>0</v>
      </c>
    </row>
    <row r="515" spans="1:28">
      <c r="A515" s="35">
        <v>504</v>
      </c>
      <c r="B515" s="35">
        <v>5.2323643737872683E-4</v>
      </c>
      <c r="C515" s="232">
        <v>80.430000000000007</v>
      </c>
      <c r="D515" s="35">
        <v>5.0687273824531172</v>
      </c>
      <c r="E515" s="232">
        <v>53.4</v>
      </c>
      <c r="F515" s="35">
        <v>5.0569715947130085</v>
      </c>
      <c r="G515" s="232">
        <v>12186.25</v>
      </c>
      <c r="H515" s="35">
        <v>9.4669597374722194</v>
      </c>
      <c r="I515" s="232">
        <v>14017.39</v>
      </c>
      <c r="J515" s="35">
        <v>8.3806338231144579</v>
      </c>
      <c r="K515" s="232">
        <v>12291.18</v>
      </c>
      <c r="L515" s="35">
        <v>8.9022826336512022</v>
      </c>
      <c r="M515" s="232">
        <v>38337.980000000003</v>
      </c>
      <c r="N515" s="35">
        <v>7.7987978822456245</v>
      </c>
      <c r="P515" s="232">
        <v>-27.03</v>
      </c>
      <c r="Q515" s="35">
        <v>1.1755787740108659E-2</v>
      </c>
      <c r="R515" s="232">
        <v>1831.15</v>
      </c>
      <c r="S515" s="35">
        <v>1.0863259143577615</v>
      </c>
      <c r="T515" s="232">
        <v>26046.799999999999</v>
      </c>
      <c r="U515" s="35">
        <v>1.1034847514055777</v>
      </c>
      <c r="W515" s="35">
        <f t="shared" si="49"/>
        <v>614.81938700543287</v>
      </c>
      <c r="X515" s="35">
        <f t="shared" si="50"/>
        <v>52485.145717888074</v>
      </c>
      <c r="Y515" s="35">
        <f t="shared" si="51"/>
        <v>29127.437570278886</v>
      </c>
      <c r="Z515" s="35">
        <f t="shared" si="52"/>
        <v>0</v>
      </c>
      <c r="AA515" s="35">
        <f t="shared" si="53"/>
        <v>1</v>
      </c>
      <c r="AB515" s="35">
        <f t="shared" si="54"/>
        <v>0</v>
      </c>
    </row>
    <row r="516" spans="1:28">
      <c r="A516" s="35">
        <v>505</v>
      </c>
      <c r="B516" s="35">
        <v>3.8455680039734105E-4</v>
      </c>
      <c r="C516" s="232">
        <v>81.25</v>
      </c>
      <c r="D516" s="35">
        <v>5.0582064661099153</v>
      </c>
      <c r="E516" s="232">
        <v>48.89</v>
      </c>
      <c r="F516" s="35">
        <v>5.0492127922761609</v>
      </c>
      <c r="G516" s="232">
        <v>15888.01</v>
      </c>
      <c r="H516" s="35">
        <v>8.9747230858805249</v>
      </c>
      <c r="I516" s="232">
        <v>16722.68</v>
      </c>
      <c r="J516" s="35">
        <v>8.3414234411727506</v>
      </c>
      <c r="K516" s="232">
        <v>22205.360000000001</v>
      </c>
      <c r="L516" s="35">
        <v>8.4169517490466319</v>
      </c>
      <c r="M516" s="232">
        <v>48601.79</v>
      </c>
      <c r="N516" s="35">
        <v>7.3498850264921352</v>
      </c>
      <c r="P516" s="232">
        <v>-32.36</v>
      </c>
      <c r="Q516" s="35">
        <v>8.9936738337543787E-3</v>
      </c>
      <c r="R516" s="232">
        <v>834.67</v>
      </c>
      <c r="S516" s="35">
        <v>0.63329964470777433</v>
      </c>
      <c r="T516" s="232">
        <v>26396.43</v>
      </c>
      <c r="U516" s="35">
        <v>1.0670667225544967</v>
      </c>
      <c r="W516" s="35">
        <f t="shared" si="49"/>
        <v>482.04369168771893</v>
      </c>
      <c r="X516" s="35">
        <f t="shared" si="50"/>
        <v>30830.312235388719</v>
      </c>
      <c r="Y516" s="35">
        <f t="shared" si="51"/>
        <v>26956.90612772484</v>
      </c>
      <c r="Z516" s="35">
        <f t="shared" si="52"/>
        <v>0</v>
      </c>
      <c r="AA516" s="35">
        <f t="shared" si="53"/>
        <v>1</v>
      </c>
      <c r="AB516" s="35">
        <f t="shared" si="54"/>
        <v>0</v>
      </c>
    </row>
    <row r="517" spans="1:28">
      <c r="A517" s="35">
        <v>506</v>
      </c>
      <c r="B517" s="35">
        <v>4.0226617348314568E-4</v>
      </c>
      <c r="C517" s="232">
        <v>65.5</v>
      </c>
      <c r="D517" s="35">
        <v>5.0594733376850147</v>
      </c>
      <c r="E517" s="232">
        <v>39.79</v>
      </c>
      <c r="F517" s="35">
        <v>5.0498076348488627</v>
      </c>
      <c r="G517" s="232">
        <v>12568.67</v>
      </c>
      <c r="H517" s="35">
        <v>8.7892070266433109</v>
      </c>
      <c r="I517" s="232">
        <v>13094.35</v>
      </c>
      <c r="J517" s="35">
        <v>7.11637095100627</v>
      </c>
      <c r="K517" s="232">
        <v>15899.46</v>
      </c>
      <c r="L517" s="35">
        <v>8.5932457469726735</v>
      </c>
      <c r="M517" s="232">
        <v>42283.95</v>
      </c>
      <c r="N517" s="35">
        <v>7.2428598431833855</v>
      </c>
      <c r="P517" s="232">
        <v>-25.71</v>
      </c>
      <c r="Q517" s="35">
        <v>9.6657028361519792E-3</v>
      </c>
      <c r="R517" s="232">
        <v>525.67999999999995</v>
      </c>
      <c r="S517" s="35">
        <v>1.6728360756370408</v>
      </c>
      <c r="T517" s="232">
        <v>26384.49</v>
      </c>
      <c r="U517" s="35">
        <v>1.350385903789288</v>
      </c>
      <c r="W517" s="35">
        <f t="shared" si="49"/>
        <v>508.99514180759894</v>
      </c>
      <c r="X517" s="35">
        <f t="shared" si="50"/>
        <v>83116.123781852046</v>
      </c>
      <c r="Y517" s="35">
        <f t="shared" si="51"/>
        <v>41134.805189464401</v>
      </c>
      <c r="Z517" s="35">
        <f t="shared" si="52"/>
        <v>0</v>
      </c>
      <c r="AA517" s="35">
        <f t="shared" si="53"/>
        <v>1</v>
      </c>
      <c r="AB517" s="35">
        <f t="shared" si="54"/>
        <v>0</v>
      </c>
    </row>
    <row r="518" spans="1:28">
      <c r="A518" s="35">
        <v>507</v>
      </c>
      <c r="B518" s="35">
        <v>3.8800662289247337E-4</v>
      </c>
      <c r="C518" s="232">
        <v>54.27</v>
      </c>
      <c r="D518" s="35">
        <v>5.0576090455581264</v>
      </c>
      <c r="E518" s="232">
        <v>34.74</v>
      </c>
      <c r="F518" s="35">
        <v>5.0491973689860288</v>
      </c>
      <c r="G518" s="232">
        <v>10769.04</v>
      </c>
      <c r="H518" s="35">
        <v>8.6400951518544389</v>
      </c>
      <c r="I518" s="232">
        <v>12331.98</v>
      </c>
      <c r="J518" s="35">
        <v>7.8203355339492839</v>
      </c>
      <c r="K518" s="232">
        <v>12541.2</v>
      </c>
      <c r="L518" s="35">
        <v>8.5636433997775754</v>
      </c>
      <c r="M518" s="232">
        <v>38504.21</v>
      </c>
      <c r="N518" s="35">
        <v>7.523961663384223</v>
      </c>
      <c r="P518" s="232">
        <v>-19.52</v>
      </c>
      <c r="Q518" s="35">
        <v>8.4116765720976261E-3</v>
      </c>
      <c r="R518" s="232">
        <v>1562.94</v>
      </c>
      <c r="S518" s="35">
        <v>0.81975961790515495</v>
      </c>
      <c r="T518" s="232">
        <v>25963</v>
      </c>
      <c r="U518" s="35">
        <v>1.0396817363933524</v>
      </c>
      <c r="W518" s="35">
        <f t="shared" si="49"/>
        <v>440.1038286048813</v>
      </c>
      <c r="X518" s="35">
        <f t="shared" si="50"/>
        <v>39425.040895257742</v>
      </c>
      <c r="Y518" s="35">
        <f t="shared" si="51"/>
        <v>26021.086819667617</v>
      </c>
      <c r="Z518" s="35">
        <f t="shared" si="52"/>
        <v>0</v>
      </c>
      <c r="AA518" s="35">
        <f t="shared" si="53"/>
        <v>1</v>
      </c>
      <c r="AB518" s="35">
        <f t="shared" si="54"/>
        <v>0</v>
      </c>
    </row>
    <row r="519" spans="1:28">
      <c r="A519" s="35">
        <v>508</v>
      </c>
      <c r="B519" s="35">
        <v>4.2037597880991676E-4</v>
      </c>
      <c r="C519" s="232">
        <v>65.92</v>
      </c>
      <c r="D519" s="35">
        <v>5.0613068954367497</v>
      </c>
      <c r="E519" s="232">
        <v>37.799999999999997</v>
      </c>
      <c r="F519" s="35">
        <v>5.0500304138196386</v>
      </c>
      <c r="G519" s="232">
        <v>12419.74</v>
      </c>
      <c r="H519" s="35">
        <v>9.2508281774360288</v>
      </c>
      <c r="I519" s="232">
        <v>13882.69</v>
      </c>
      <c r="J519" s="35">
        <v>8.49772966484141</v>
      </c>
      <c r="K519" s="232">
        <v>15210.07</v>
      </c>
      <c r="L519" s="35">
        <v>8.7488685211943515</v>
      </c>
      <c r="M519" s="232">
        <v>41253.050000000003</v>
      </c>
      <c r="N519" s="35">
        <v>7.6063514056972306</v>
      </c>
      <c r="P519" s="232">
        <v>-28.12</v>
      </c>
      <c r="Q519" s="35">
        <v>1.1276481617111145E-2</v>
      </c>
      <c r="R519" s="232">
        <v>1462.96</v>
      </c>
      <c r="S519" s="35">
        <v>0.7530985125946188</v>
      </c>
      <c r="T519" s="232">
        <v>26042.98</v>
      </c>
      <c r="U519" s="35">
        <v>1.142517115497121</v>
      </c>
      <c r="W519" s="35">
        <f t="shared" si="49"/>
        <v>591.94408085555722</v>
      </c>
      <c r="X519" s="35">
        <f t="shared" si="50"/>
        <v>36191.965629730941</v>
      </c>
      <c r="Y519" s="35">
        <f t="shared" si="51"/>
        <v>31082.875774856049</v>
      </c>
      <c r="Z519" s="35">
        <f t="shared" si="52"/>
        <v>0</v>
      </c>
      <c r="AA519" s="35">
        <f t="shared" si="53"/>
        <v>1</v>
      </c>
      <c r="AB519" s="35">
        <f t="shared" si="54"/>
        <v>0</v>
      </c>
    </row>
    <row r="520" spans="1:28">
      <c r="A520" s="35">
        <v>509</v>
      </c>
      <c r="B520" s="35">
        <v>4.9356185695437205E-4</v>
      </c>
      <c r="C520" s="232">
        <v>42.62</v>
      </c>
      <c r="D520" s="35">
        <v>5.0608927719776373</v>
      </c>
      <c r="E520" s="232">
        <v>23.91</v>
      </c>
      <c r="F520" s="35">
        <v>5.0488334708292424</v>
      </c>
      <c r="G520" s="232">
        <v>6625.98</v>
      </c>
      <c r="H520" s="35">
        <v>8.3636898579346113</v>
      </c>
      <c r="I520" s="232">
        <v>8105.38</v>
      </c>
      <c r="J520" s="35">
        <v>6.907325556399571</v>
      </c>
      <c r="K520" s="232">
        <v>7007.32</v>
      </c>
      <c r="L520" s="35">
        <v>8.176492794488901</v>
      </c>
      <c r="M520" s="232">
        <v>32733.78</v>
      </c>
      <c r="N520" s="35">
        <v>7.1545628396668137</v>
      </c>
      <c r="P520" s="232">
        <v>-18.71</v>
      </c>
      <c r="Q520" s="35">
        <v>1.205930114839493E-2</v>
      </c>
      <c r="R520" s="232">
        <v>1479.39</v>
      </c>
      <c r="S520" s="35">
        <v>1.4563643015350403</v>
      </c>
      <c r="T520" s="232">
        <v>25726.46</v>
      </c>
      <c r="U520" s="35">
        <v>1.0219299548220873</v>
      </c>
      <c r="W520" s="35">
        <f t="shared" si="49"/>
        <v>621.67505741974651</v>
      </c>
      <c r="X520" s="35">
        <f t="shared" si="50"/>
        <v>71338.825076752008</v>
      </c>
      <c r="Y520" s="35">
        <f t="shared" si="51"/>
        <v>25370.037741104366</v>
      </c>
      <c r="Z520" s="35">
        <f t="shared" si="52"/>
        <v>0</v>
      </c>
      <c r="AA520" s="35">
        <f t="shared" si="53"/>
        <v>1</v>
      </c>
      <c r="AB520" s="35">
        <f t="shared" si="54"/>
        <v>0</v>
      </c>
    </row>
    <row r="521" spans="1:28">
      <c r="A521" s="35">
        <v>510</v>
      </c>
      <c r="B521" s="35">
        <v>3.6511882674862875E-4</v>
      </c>
      <c r="C521" s="232">
        <v>59.36</v>
      </c>
      <c r="D521" s="35">
        <v>5.0563391395079993</v>
      </c>
      <c r="E521" s="232">
        <v>37.07</v>
      </c>
      <c r="F521" s="35">
        <v>5.0482868065522473</v>
      </c>
      <c r="G521" s="232">
        <v>12925.99</v>
      </c>
      <c r="H521" s="35">
        <v>8.4548333775942819</v>
      </c>
      <c r="I521" s="232">
        <v>13994.98</v>
      </c>
      <c r="J521" s="35">
        <v>6.9869281089435997</v>
      </c>
      <c r="K521" s="232">
        <v>15899.22</v>
      </c>
      <c r="L521" s="35">
        <v>8.5575755810791154</v>
      </c>
      <c r="M521" s="232">
        <v>42099.32</v>
      </c>
      <c r="N521" s="35">
        <v>7.3750307843120053</v>
      </c>
      <c r="P521" s="232">
        <v>-22.29</v>
      </c>
      <c r="Q521" s="35">
        <v>8.0523329557520285E-3</v>
      </c>
      <c r="R521" s="232">
        <v>1068.99</v>
      </c>
      <c r="S521" s="35">
        <v>1.4679052686506822</v>
      </c>
      <c r="T521" s="232">
        <v>26200.1</v>
      </c>
      <c r="U521" s="35">
        <v>1.1825447967671101</v>
      </c>
      <c r="W521" s="35">
        <f t="shared" si="49"/>
        <v>424.90664778760146</v>
      </c>
      <c r="X521" s="35">
        <f t="shared" si="50"/>
        <v>72326.273432534101</v>
      </c>
      <c r="Y521" s="35">
        <f t="shared" si="51"/>
        <v>32927.139838355506</v>
      </c>
      <c r="Z521" s="35">
        <f t="shared" si="52"/>
        <v>0</v>
      </c>
      <c r="AA521" s="35">
        <f t="shared" si="53"/>
        <v>1</v>
      </c>
      <c r="AB521" s="35">
        <f t="shared" si="54"/>
        <v>0</v>
      </c>
    </row>
    <row r="522" spans="1:28">
      <c r="A522" s="35">
        <v>511</v>
      </c>
      <c r="B522" s="35">
        <v>5.2411048084399781E-4</v>
      </c>
      <c r="C522" s="232">
        <v>98.83</v>
      </c>
      <c r="D522" s="35">
        <v>5.0673190513453426</v>
      </c>
      <c r="E522" s="232">
        <v>58.98</v>
      </c>
      <c r="F522" s="35">
        <v>5.0543755840896631</v>
      </c>
      <c r="G522" s="232">
        <v>14308.93</v>
      </c>
      <c r="H522" s="35">
        <v>9.1556426489881986</v>
      </c>
      <c r="I522" s="232">
        <v>16052.37</v>
      </c>
      <c r="J522" s="35">
        <v>8.8659405304919083</v>
      </c>
      <c r="K522" s="232">
        <v>20151.11</v>
      </c>
      <c r="L522" s="35">
        <v>8.8275204080191934</v>
      </c>
      <c r="M522" s="232">
        <v>46579.72</v>
      </c>
      <c r="N522" s="35">
        <v>7.6948169390574659</v>
      </c>
      <c r="P522" s="232">
        <v>-39.85</v>
      </c>
      <c r="Q522" s="35">
        <v>1.2943467255679408E-2</v>
      </c>
      <c r="R522" s="232">
        <v>1743.45</v>
      </c>
      <c r="S522" s="35">
        <v>0.28970211849629024</v>
      </c>
      <c r="T522" s="232">
        <v>26428.6</v>
      </c>
      <c r="U522" s="35">
        <v>1.1327034689617275</v>
      </c>
      <c r="W522" s="35">
        <f t="shared" si="49"/>
        <v>687.02336278397047</v>
      </c>
      <c r="X522" s="35">
        <f t="shared" si="50"/>
        <v>12741.655924814511</v>
      </c>
      <c r="Y522" s="35">
        <f t="shared" si="51"/>
        <v>30206.573448086376</v>
      </c>
      <c r="Z522" s="35">
        <f t="shared" si="52"/>
        <v>0</v>
      </c>
      <c r="AA522" s="35">
        <f t="shared" si="53"/>
        <v>0</v>
      </c>
      <c r="AB522" s="35">
        <f t="shared" si="54"/>
        <v>1</v>
      </c>
    </row>
    <row r="523" spans="1:28">
      <c r="A523" s="35">
        <v>512</v>
      </c>
      <c r="B523" s="35">
        <v>3.8228852818259835E-4</v>
      </c>
      <c r="C523" s="232">
        <v>62.19</v>
      </c>
      <c r="D523" s="35">
        <v>5.0560591509456545</v>
      </c>
      <c r="E523" s="232">
        <v>40</v>
      </c>
      <c r="F523" s="35">
        <v>5.0485207384831758</v>
      </c>
      <c r="G523" s="232">
        <v>11258.96</v>
      </c>
      <c r="H523" s="35">
        <v>8.2115584824427028</v>
      </c>
      <c r="I523" s="232">
        <v>11528.92</v>
      </c>
      <c r="J523" s="35">
        <v>7.2462980216098183</v>
      </c>
      <c r="K523" s="232">
        <v>17168.93</v>
      </c>
      <c r="L523" s="35">
        <v>8.3582332469988874</v>
      </c>
      <c r="M523" s="232">
        <v>43336.01</v>
      </c>
      <c r="N523" s="35">
        <v>7.3425168271973931</v>
      </c>
      <c r="P523" s="232">
        <v>-22.18</v>
      </c>
      <c r="Q523" s="35">
        <v>7.5384124624786608E-3</v>
      </c>
      <c r="R523" s="232">
        <v>269.95999999999998</v>
      </c>
      <c r="S523" s="35">
        <v>0.96526046083288453</v>
      </c>
      <c r="T523" s="232">
        <v>26167.08</v>
      </c>
      <c r="U523" s="35">
        <v>1.0157164198014943</v>
      </c>
      <c r="W523" s="35">
        <f t="shared" si="49"/>
        <v>399.10062312393308</v>
      </c>
      <c r="X523" s="35">
        <f t="shared" si="50"/>
        <v>47993.063041644229</v>
      </c>
      <c r="Y523" s="35">
        <f t="shared" si="51"/>
        <v>24618.740990074715</v>
      </c>
      <c r="Z523" s="35">
        <f t="shared" si="52"/>
        <v>0</v>
      </c>
      <c r="AA523" s="35">
        <f t="shared" si="53"/>
        <v>1</v>
      </c>
      <c r="AB523" s="35">
        <f t="shared" si="54"/>
        <v>0</v>
      </c>
    </row>
    <row r="524" spans="1:28">
      <c r="A524" s="35">
        <v>513</v>
      </c>
      <c r="B524" s="35">
        <v>4.8673822901301733E-4</v>
      </c>
      <c r="C524" s="232">
        <v>74.94</v>
      </c>
      <c r="D524" s="35">
        <v>5.0626036089999324</v>
      </c>
      <c r="E524" s="232">
        <v>47.34</v>
      </c>
      <c r="F524" s="35">
        <v>5.0523055086144035</v>
      </c>
      <c r="G524" s="232">
        <v>11617.39</v>
      </c>
      <c r="H524" s="35">
        <v>8.5035590774983163</v>
      </c>
      <c r="I524" s="232">
        <v>11130.87</v>
      </c>
      <c r="J524" s="35">
        <v>6.5222107941782745</v>
      </c>
      <c r="K524" s="232">
        <v>16235.69</v>
      </c>
      <c r="L524" s="35">
        <v>8.6404960727613975</v>
      </c>
      <c r="M524" s="232">
        <v>42276.63</v>
      </c>
      <c r="N524" s="35">
        <v>7.5795172454927551</v>
      </c>
      <c r="P524" s="232">
        <v>-27.6</v>
      </c>
      <c r="Q524" s="35">
        <v>1.0298100385528919E-2</v>
      </c>
      <c r="R524" s="232">
        <v>-486.52</v>
      </c>
      <c r="S524" s="35">
        <v>1.9813482833200418</v>
      </c>
      <c r="T524" s="232">
        <v>26040.94</v>
      </c>
      <c r="U524" s="35">
        <v>1.0609788272686425</v>
      </c>
      <c r="W524" s="35">
        <f t="shared" ref="W524:W587" si="55">$X$2*Q524-P524</f>
        <v>542.50501927644598</v>
      </c>
      <c r="X524" s="35">
        <f t="shared" ref="X524:X587" si="56">$X$2*S524-R524</f>
        <v>99553.934166002087</v>
      </c>
      <c r="Y524" s="35">
        <f t="shared" ref="Y524:Y587" si="57">$X$2*U524-T524</f>
        <v>27008.001363432126</v>
      </c>
      <c r="Z524" s="35">
        <f t="shared" ref="Z524:Z587" si="58">IF(W524=MAX($W524:$Y524), 1, 0)</f>
        <v>0</v>
      </c>
      <c r="AA524" s="35">
        <f t="shared" ref="AA524:AA587" si="59">IF(X524=MAX($W524:$Y524), 1, 0)</f>
        <v>1</v>
      </c>
      <c r="AB524" s="35">
        <f t="shared" ref="AB524:AB587" si="60">IF(Y524=MAX($W524:$Y524), 1, 0)</f>
        <v>0</v>
      </c>
    </row>
    <row r="525" spans="1:28">
      <c r="A525" s="35">
        <v>514</v>
      </c>
      <c r="B525" s="35">
        <v>4.4658973149502845E-4</v>
      </c>
      <c r="C525" s="232">
        <v>69.95</v>
      </c>
      <c r="D525" s="35">
        <v>5.0605795281139132</v>
      </c>
      <c r="E525" s="232">
        <v>50.12</v>
      </c>
      <c r="F525" s="35">
        <v>5.05297037942176</v>
      </c>
      <c r="G525" s="232">
        <v>11908.96</v>
      </c>
      <c r="H525" s="35">
        <v>8.4264573168824324</v>
      </c>
      <c r="I525" s="232">
        <v>12533.01</v>
      </c>
      <c r="J525" s="35">
        <v>6.7547464995275543</v>
      </c>
      <c r="K525" s="232">
        <v>15024.87</v>
      </c>
      <c r="L525" s="35">
        <v>8.6470330646055977</v>
      </c>
      <c r="M525" s="232">
        <v>41091.39</v>
      </c>
      <c r="N525" s="35">
        <v>7.6771258575747598</v>
      </c>
      <c r="P525" s="232">
        <v>-19.829999999999998</v>
      </c>
      <c r="Q525" s="35">
        <v>7.6091486921532336E-3</v>
      </c>
      <c r="R525" s="232">
        <v>624.04999999999995</v>
      </c>
      <c r="S525" s="35">
        <v>1.671710817354878</v>
      </c>
      <c r="T525" s="232">
        <v>26066.53</v>
      </c>
      <c r="U525" s="35">
        <v>0.96990720703083788</v>
      </c>
      <c r="W525" s="35">
        <f t="shared" si="55"/>
        <v>400.28743460766168</v>
      </c>
      <c r="X525" s="35">
        <f t="shared" si="56"/>
        <v>82961.490867743894</v>
      </c>
      <c r="Y525" s="35">
        <f t="shared" si="57"/>
        <v>22428.830351541896</v>
      </c>
      <c r="Z525" s="35">
        <f t="shared" si="58"/>
        <v>0</v>
      </c>
      <c r="AA525" s="35">
        <f t="shared" si="59"/>
        <v>1</v>
      </c>
      <c r="AB525" s="35">
        <f t="shared" si="60"/>
        <v>0</v>
      </c>
    </row>
    <row r="526" spans="1:28">
      <c r="A526" s="35">
        <v>515</v>
      </c>
      <c r="B526" s="35">
        <v>3.7526259747930053E-4</v>
      </c>
      <c r="C526" s="232">
        <v>56.65</v>
      </c>
      <c r="D526" s="35">
        <v>5.0582375610578634</v>
      </c>
      <c r="E526" s="232">
        <v>32.9</v>
      </c>
      <c r="F526" s="35">
        <v>5.0484046559944717</v>
      </c>
      <c r="G526" s="232">
        <v>11909.67</v>
      </c>
      <c r="H526" s="35">
        <v>9.0665088135072907</v>
      </c>
      <c r="I526" s="232">
        <v>12573.98</v>
      </c>
      <c r="J526" s="35">
        <v>7.6512753981753674</v>
      </c>
      <c r="K526" s="232">
        <v>15650.88</v>
      </c>
      <c r="L526" s="35">
        <v>8.6732985409561429</v>
      </c>
      <c r="M526" s="232">
        <v>41935.589999999997</v>
      </c>
      <c r="N526" s="35">
        <v>7.4371572830501824</v>
      </c>
      <c r="P526" s="232">
        <v>-23.76</v>
      </c>
      <c r="Q526" s="35">
        <v>9.8329050633916282E-3</v>
      </c>
      <c r="R526" s="232">
        <v>664.31</v>
      </c>
      <c r="S526" s="35">
        <v>1.4152334153319233</v>
      </c>
      <c r="T526" s="232">
        <v>26284.71</v>
      </c>
      <c r="U526" s="35">
        <v>1.2361412579059605</v>
      </c>
      <c r="W526" s="35">
        <f t="shared" si="55"/>
        <v>515.40525316958144</v>
      </c>
      <c r="X526" s="35">
        <f t="shared" si="56"/>
        <v>70097.360766596161</v>
      </c>
      <c r="Y526" s="35">
        <f t="shared" si="57"/>
        <v>35522.352895298027</v>
      </c>
      <c r="Z526" s="35">
        <f t="shared" si="58"/>
        <v>0</v>
      </c>
      <c r="AA526" s="35">
        <f t="shared" si="59"/>
        <v>1</v>
      </c>
      <c r="AB526" s="35">
        <f t="shared" si="60"/>
        <v>0</v>
      </c>
    </row>
    <row r="527" spans="1:28">
      <c r="A527" s="35">
        <v>516</v>
      </c>
      <c r="B527" s="35">
        <v>6.893800490913593E-4</v>
      </c>
      <c r="C527" s="232">
        <v>103.55</v>
      </c>
      <c r="D527" s="35">
        <v>5.0748131477829128</v>
      </c>
      <c r="E527" s="232">
        <v>62.56</v>
      </c>
      <c r="F527" s="35">
        <v>5.0589034619446833</v>
      </c>
      <c r="G527" s="232">
        <v>11970.11</v>
      </c>
      <c r="H527" s="35">
        <v>8.7803823497591349</v>
      </c>
      <c r="I527" s="232">
        <v>13138.85</v>
      </c>
      <c r="J527" s="35">
        <v>6.690733100238865</v>
      </c>
      <c r="K527" s="232">
        <v>13121.61</v>
      </c>
      <c r="L527" s="35">
        <v>8.7908929600376915</v>
      </c>
      <c r="M527" s="232">
        <v>39088.519999999997</v>
      </c>
      <c r="N527" s="35">
        <v>7.6849276674625582</v>
      </c>
      <c r="P527" s="232">
        <v>-40.98</v>
      </c>
      <c r="Q527" s="35">
        <v>1.5909685838229493E-2</v>
      </c>
      <c r="R527" s="232">
        <v>1168.75</v>
      </c>
      <c r="S527" s="35">
        <v>2.0896492495202699</v>
      </c>
      <c r="T527" s="232">
        <v>25966.91</v>
      </c>
      <c r="U527" s="35">
        <v>1.1059652925751333</v>
      </c>
      <c r="W527" s="35">
        <f t="shared" si="55"/>
        <v>836.46429191147467</v>
      </c>
      <c r="X527" s="35">
        <f t="shared" si="56"/>
        <v>103313.71247601349</v>
      </c>
      <c r="Y527" s="35">
        <f t="shared" si="57"/>
        <v>29331.354628756668</v>
      </c>
      <c r="Z527" s="35">
        <f t="shared" si="58"/>
        <v>0</v>
      </c>
      <c r="AA527" s="35">
        <f t="shared" si="59"/>
        <v>1</v>
      </c>
      <c r="AB527" s="35">
        <f t="shared" si="60"/>
        <v>0</v>
      </c>
    </row>
    <row r="528" spans="1:28">
      <c r="A528" s="35">
        <v>517</v>
      </c>
      <c r="B528" s="35">
        <v>4.4696612112382628E-4</v>
      </c>
      <c r="C528" s="232">
        <v>69.33</v>
      </c>
      <c r="D528" s="35">
        <v>5.0594901401156527</v>
      </c>
      <c r="E528" s="232">
        <v>45.68</v>
      </c>
      <c r="F528" s="35">
        <v>5.0509938105480483</v>
      </c>
      <c r="G528" s="232">
        <v>11850.46</v>
      </c>
      <c r="H528" s="35">
        <v>8.2367360916547607</v>
      </c>
      <c r="I528" s="232">
        <v>12588.28</v>
      </c>
      <c r="J528" s="35">
        <v>6.8234478732173383</v>
      </c>
      <c r="K528" s="232">
        <v>15272.77</v>
      </c>
      <c r="L528" s="35">
        <v>8.542021923949612</v>
      </c>
      <c r="M528" s="232">
        <v>41312.31</v>
      </c>
      <c r="N528" s="35">
        <v>7.5105422503129597</v>
      </c>
      <c r="P528" s="232">
        <v>-23.65</v>
      </c>
      <c r="Q528" s="35">
        <v>8.4963295676043771E-3</v>
      </c>
      <c r="R528" s="232">
        <v>737.82</v>
      </c>
      <c r="S528" s="35">
        <v>1.4132882184374225</v>
      </c>
      <c r="T528" s="232">
        <v>26039.53</v>
      </c>
      <c r="U528" s="35">
        <v>1.0314796736366523</v>
      </c>
      <c r="W528" s="35">
        <f t="shared" si="55"/>
        <v>448.46647838021886</v>
      </c>
      <c r="X528" s="35">
        <f t="shared" si="56"/>
        <v>69926.590921871117</v>
      </c>
      <c r="Y528" s="35">
        <f t="shared" si="57"/>
        <v>25534.453681832616</v>
      </c>
      <c r="Z528" s="35">
        <f t="shared" si="58"/>
        <v>0</v>
      </c>
      <c r="AA528" s="35">
        <f t="shared" si="59"/>
        <v>1</v>
      </c>
      <c r="AB528" s="35">
        <f t="shared" si="60"/>
        <v>0</v>
      </c>
    </row>
    <row r="529" spans="1:28">
      <c r="A529" s="35">
        <v>518</v>
      </c>
      <c r="B529" s="35">
        <v>6.2233920734189319E-4</v>
      </c>
      <c r="C529" s="232">
        <v>99.91</v>
      </c>
      <c r="D529" s="35">
        <v>5.0727692657383274</v>
      </c>
      <c r="E529" s="232">
        <v>65.48</v>
      </c>
      <c r="F529" s="35">
        <v>5.0594801712589419</v>
      </c>
      <c r="G529" s="232">
        <v>12635.71</v>
      </c>
      <c r="H529" s="35">
        <v>9.112001559312862</v>
      </c>
      <c r="I529" s="232">
        <v>13869.88</v>
      </c>
      <c r="J529" s="35">
        <v>7.9179362912932945</v>
      </c>
      <c r="K529" s="232">
        <v>15119.17</v>
      </c>
      <c r="L529" s="35">
        <v>8.8018026117107322</v>
      </c>
      <c r="M529" s="232">
        <v>41111.629999999997</v>
      </c>
      <c r="N529" s="35">
        <v>7.6743251605111329</v>
      </c>
      <c r="P529" s="232">
        <v>-34.43</v>
      </c>
      <c r="Q529" s="35">
        <v>1.3289094479385533E-2</v>
      </c>
      <c r="R529" s="232">
        <v>1234.18</v>
      </c>
      <c r="S529" s="35">
        <v>1.1940652680195676</v>
      </c>
      <c r="T529" s="232">
        <v>25992.45</v>
      </c>
      <c r="U529" s="35">
        <v>1.1274774511995993</v>
      </c>
      <c r="W529" s="35">
        <f t="shared" si="55"/>
        <v>698.88472396927659</v>
      </c>
      <c r="X529" s="35">
        <f t="shared" si="56"/>
        <v>58469.083400978379</v>
      </c>
      <c r="Y529" s="35">
        <f t="shared" si="57"/>
        <v>30381.422559979965</v>
      </c>
      <c r="Z529" s="35">
        <f t="shared" si="58"/>
        <v>0</v>
      </c>
      <c r="AA529" s="35">
        <f t="shared" si="59"/>
        <v>1</v>
      </c>
      <c r="AB529" s="35">
        <f t="shared" si="60"/>
        <v>0</v>
      </c>
    </row>
    <row r="530" spans="1:28">
      <c r="A530" s="35">
        <v>519</v>
      </c>
      <c r="B530" s="35">
        <v>4.5768881803176509E-4</v>
      </c>
      <c r="C530" s="232">
        <v>91.49</v>
      </c>
      <c r="D530" s="35">
        <v>5.0616211493895182</v>
      </c>
      <c r="E530" s="232">
        <v>52.59</v>
      </c>
      <c r="F530" s="35">
        <v>5.0505927713945944</v>
      </c>
      <c r="G530" s="232">
        <v>15176.88</v>
      </c>
      <c r="H530" s="35">
        <v>8.8634635218572839</v>
      </c>
      <c r="I530" s="232">
        <v>15289.33</v>
      </c>
      <c r="J530" s="35">
        <v>7.8269840764247007</v>
      </c>
      <c r="K530" s="232">
        <v>21388.68</v>
      </c>
      <c r="L530" s="35">
        <v>8.4098305035780214</v>
      </c>
      <c r="M530" s="232">
        <v>47750.21</v>
      </c>
      <c r="N530" s="35">
        <v>7.307764240021875</v>
      </c>
      <c r="P530" s="232">
        <v>-38.909999999999997</v>
      </c>
      <c r="Q530" s="35">
        <v>1.1028377994923844E-2</v>
      </c>
      <c r="R530" s="232">
        <v>112.45</v>
      </c>
      <c r="S530" s="35">
        <v>1.0364794454325832</v>
      </c>
      <c r="T530" s="232">
        <v>26361.54</v>
      </c>
      <c r="U530" s="35">
        <v>1.1020662635561465</v>
      </c>
      <c r="W530" s="35">
        <f t="shared" si="55"/>
        <v>590.32889974619218</v>
      </c>
      <c r="X530" s="35">
        <f t="shared" si="56"/>
        <v>51711.522271629161</v>
      </c>
      <c r="Y530" s="35">
        <f t="shared" si="57"/>
        <v>28741.773177807321</v>
      </c>
      <c r="Z530" s="35">
        <f t="shared" si="58"/>
        <v>0</v>
      </c>
      <c r="AA530" s="35">
        <f t="shared" si="59"/>
        <v>1</v>
      </c>
      <c r="AB530" s="35">
        <f t="shared" si="60"/>
        <v>0</v>
      </c>
    </row>
    <row r="531" spans="1:28">
      <c r="A531" s="35">
        <v>520</v>
      </c>
      <c r="B531" s="35">
        <v>4.350901850759787E-4</v>
      </c>
      <c r="C531" s="232">
        <v>72.66</v>
      </c>
      <c r="D531" s="35">
        <v>5.0600578744724745</v>
      </c>
      <c r="E531" s="232">
        <v>42.37</v>
      </c>
      <c r="F531" s="35">
        <v>5.0497117866546537</v>
      </c>
      <c r="G531" s="232">
        <v>13298.29</v>
      </c>
      <c r="H531" s="35">
        <v>8.5625119049387113</v>
      </c>
      <c r="I531" s="232">
        <v>14404.46</v>
      </c>
      <c r="J531" s="35">
        <v>7.236380786241206</v>
      </c>
      <c r="K531" s="232">
        <v>16200.87</v>
      </c>
      <c r="L531" s="35">
        <v>8.7728826792441232</v>
      </c>
      <c r="M531" s="232">
        <v>42343.08</v>
      </c>
      <c r="N531" s="35">
        <v>7.7763094688622889</v>
      </c>
      <c r="P531" s="232">
        <v>-30.3</v>
      </c>
      <c r="Q531" s="35">
        <v>1.0346087817820759E-2</v>
      </c>
      <c r="R531" s="232">
        <v>1106.1600000000001</v>
      </c>
      <c r="S531" s="35">
        <v>1.3261311186975053</v>
      </c>
      <c r="T531" s="232">
        <v>26142.2</v>
      </c>
      <c r="U531" s="35">
        <v>0.99657321038183433</v>
      </c>
      <c r="W531" s="35">
        <f t="shared" si="55"/>
        <v>547.60439089103795</v>
      </c>
      <c r="X531" s="35">
        <f t="shared" si="56"/>
        <v>65200.395934875269</v>
      </c>
      <c r="Y531" s="35">
        <f t="shared" si="57"/>
        <v>23686.460519091717</v>
      </c>
      <c r="Z531" s="35">
        <f t="shared" si="58"/>
        <v>0</v>
      </c>
      <c r="AA531" s="35">
        <f t="shared" si="59"/>
        <v>1</v>
      </c>
      <c r="AB531" s="35">
        <f t="shared" si="60"/>
        <v>0</v>
      </c>
    </row>
    <row r="532" spans="1:28">
      <c r="A532" s="35">
        <v>521</v>
      </c>
      <c r="B532" s="35">
        <v>4.5039703571836398E-4</v>
      </c>
      <c r="C532" s="232">
        <v>76.430000000000007</v>
      </c>
      <c r="D532" s="35">
        <v>5.0628871619434506</v>
      </c>
      <c r="E532" s="232">
        <v>42.68</v>
      </c>
      <c r="F532" s="35">
        <v>5.0506662692593931</v>
      </c>
      <c r="G532" s="232">
        <v>13554.61</v>
      </c>
      <c r="H532" s="35">
        <v>9.3849432319991468</v>
      </c>
      <c r="I532" s="232">
        <v>15823.31</v>
      </c>
      <c r="J532" s="35">
        <v>9.426741502757535</v>
      </c>
      <c r="K532" s="232">
        <v>16595.599999999999</v>
      </c>
      <c r="L532" s="35">
        <v>8.453999096655906</v>
      </c>
      <c r="M532" s="232">
        <v>42855.05</v>
      </c>
      <c r="N532" s="35">
        <v>7.3200088247080375</v>
      </c>
      <c r="P532" s="232">
        <v>-33.75</v>
      </c>
      <c r="Q532" s="35">
        <v>1.2220892684057461E-2</v>
      </c>
      <c r="R532" s="232">
        <v>2268.6999999999998</v>
      </c>
      <c r="S532" s="35">
        <v>-4.1798270758388156E-2</v>
      </c>
      <c r="T532" s="232">
        <v>26259.45</v>
      </c>
      <c r="U532" s="35">
        <v>1.1339902719478685</v>
      </c>
      <c r="W532" s="35">
        <f t="shared" si="55"/>
        <v>644.794634202873</v>
      </c>
      <c r="X532" s="35">
        <f t="shared" si="56"/>
        <v>-4358.6135379194075</v>
      </c>
      <c r="Y532" s="35">
        <f t="shared" si="57"/>
        <v>30440.063597393422</v>
      </c>
      <c r="Z532" s="35">
        <f t="shared" si="58"/>
        <v>0</v>
      </c>
      <c r="AA532" s="35">
        <f t="shared" si="59"/>
        <v>0</v>
      </c>
      <c r="AB532" s="35">
        <f t="shared" si="60"/>
        <v>1</v>
      </c>
    </row>
    <row r="533" spans="1:28">
      <c r="A533" s="35">
        <v>522</v>
      </c>
      <c r="B533" s="35">
        <v>4.1038528790430883E-4</v>
      </c>
      <c r="C533" s="232">
        <v>74.11</v>
      </c>
      <c r="D533" s="35">
        <v>5.0624655023795739</v>
      </c>
      <c r="E533" s="232">
        <v>48.58</v>
      </c>
      <c r="F533" s="35">
        <v>5.0527963734058741</v>
      </c>
      <c r="G533" s="232">
        <v>13739.4</v>
      </c>
      <c r="H533" s="35">
        <v>9.4172893900043366</v>
      </c>
      <c r="I533" s="232">
        <v>15689.95</v>
      </c>
      <c r="J533" s="35">
        <v>9.2369694761352612</v>
      </c>
      <c r="K533" s="232">
        <v>19714.150000000001</v>
      </c>
      <c r="L533" s="35">
        <v>9.2573926587240187</v>
      </c>
      <c r="M533" s="232">
        <v>46102.92</v>
      </c>
      <c r="N533" s="35">
        <v>8.1640269483356853</v>
      </c>
      <c r="P533" s="232">
        <v>-25.53</v>
      </c>
      <c r="Q533" s="35">
        <v>9.6691289736998698E-3</v>
      </c>
      <c r="R533" s="232">
        <v>1950.55</v>
      </c>
      <c r="S533" s="35">
        <v>0.18031991386907542</v>
      </c>
      <c r="T533" s="232">
        <v>26388.78</v>
      </c>
      <c r="U533" s="35">
        <v>1.0933657103883334</v>
      </c>
      <c r="W533" s="35">
        <f t="shared" si="55"/>
        <v>508.98644868499343</v>
      </c>
      <c r="X533" s="35">
        <f t="shared" si="56"/>
        <v>7065.4456934537711</v>
      </c>
      <c r="Y533" s="35">
        <f t="shared" si="57"/>
        <v>28279.505519416671</v>
      </c>
      <c r="Z533" s="35">
        <f t="shared" si="58"/>
        <v>0</v>
      </c>
      <c r="AA533" s="35">
        <f t="shared" si="59"/>
        <v>0</v>
      </c>
      <c r="AB533" s="35">
        <f t="shared" si="60"/>
        <v>1</v>
      </c>
    </row>
    <row r="534" spans="1:28">
      <c r="A534" s="35">
        <v>523</v>
      </c>
      <c r="B534" s="35">
        <v>4.1554711476379916E-4</v>
      </c>
      <c r="C534" s="232">
        <v>66.260000000000005</v>
      </c>
      <c r="D534" s="35">
        <v>5.0582884282850529</v>
      </c>
      <c r="E534" s="232">
        <v>37.270000000000003</v>
      </c>
      <c r="F534" s="35">
        <v>5.0482510563107352</v>
      </c>
      <c r="G534" s="232">
        <v>12446.67</v>
      </c>
      <c r="H534" s="35">
        <v>8.542105700102713</v>
      </c>
      <c r="I534" s="232">
        <v>14422.64</v>
      </c>
      <c r="J534" s="35">
        <v>8.3233922495339421</v>
      </c>
      <c r="K534" s="232">
        <v>16316.03</v>
      </c>
      <c r="L534" s="35">
        <v>8.2424348276189825</v>
      </c>
      <c r="M534" s="232">
        <v>42491.839999999997</v>
      </c>
      <c r="N534" s="35">
        <v>7.1401255011802975</v>
      </c>
      <c r="P534" s="232">
        <v>-28.99</v>
      </c>
      <c r="Q534" s="35">
        <v>1.0037371974317644E-2</v>
      </c>
      <c r="R534" s="232">
        <v>1975.97</v>
      </c>
      <c r="S534" s="35">
        <v>0.2187134505687709</v>
      </c>
      <c r="T534" s="232">
        <v>26175.81</v>
      </c>
      <c r="U534" s="35">
        <v>1.102309326438685</v>
      </c>
      <c r="W534" s="35">
        <f t="shared" si="55"/>
        <v>530.85859871588218</v>
      </c>
      <c r="X534" s="35">
        <f t="shared" si="56"/>
        <v>8959.7025284385454</v>
      </c>
      <c r="Y534" s="35">
        <f t="shared" si="57"/>
        <v>28939.656321934246</v>
      </c>
      <c r="Z534" s="35">
        <f t="shared" si="58"/>
        <v>0</v>
      </c>
      <c r="AA534" s="35">
        <f t="shared" si="59"/>
        <v>0</v>
      </c>
      <c r="AB534" s="35">
        <f t="shared" si="60"/>
        <v>1</v>
      </c>
    </row>
    <row r="535" spans="1:28">
      <c r="A535" s="35">
        <v>524</v>
      </c>
      <c r="B535" s="35">
        <v>4.8112916059406263E-4</v>
      </c>
      <c r="C535" s="232">
        <v>58.81</v>
      </c>
      <c r="D535" s="35">
        <v>5.0637758523689547</v>
      </c>
      <c r="E535" s="232">
        <v>34.200000000000003</v>
      </c>
      <c r="F535" s="35">
        <v>5.0513481898937282</v>
      </c>
      <c r="G535" s="232">
        <v>9680.49</v>
      </c>
      <c r="H535" s="35">
        <v>8.9429752633439499</v>
      </c>
      <c r="I535" s="232">
        <v>10487.65</v>
      </c>
      <c r="J535" s="35">
        <v>6.9401436482370045</v>
      </c>
      <c r="K535" s="232">
        <v>11854.36</v>
      </c>
      <c r="L535" s="35">
        <v>8.9078020609971098</v>
      </c>
      <c r="M535" s="232">
        <v>37931.25</v>
      </c>
      <c r="N535" s="35">
        <v>7.8711535403227986</v>
      </c>
      <c r="P535" s="232">
        <v>-24.6</v>
      </c>
      <c r="Q535" s="35">
        <v>1.242766247522642E-2</v>
      </c>
      <c r="R535" s="232">
        <v>807.16</v>
      </c>
      <c r="S535" s="35">
        <v>2.0028316151069454</v>
      </c>
      <c r="T535" s="232">
        <v>26076.9</v>
      </c>
      <c r="U535" s="35">
        <v>1.0366485206743112</v>
      </c>
      <c r="W535" s="35">
        <f t="shared" si="55"/>
        <v>645.98312376132105</v>
      </c>
      <c r="X535" s="35">
        <f t="shared" si="56"/>
        <v>99334.420755347266</v>
      </c>
      <c r="Y535" s="35">
        <f t="shared" si="57"/>
        <v>25755.526033715563</v>
      </c>
      <c r="Z535" s="35">
        <f t="shared" si="58"/>
        <v>0</v>
      </c>
      <c r="AA535" s="35">
        <f t="shared" si="59"/>
        <v>1</v>
      </c>
      <c r="AB535" s="35">
        <f t="shared" si="60"/>
        <v>0</v>
      </c>
    </row>
    <row r="536" spans="1:28">
      <c r="A536" s="35">
        <v>525</v>
      </c>
      <c r="B536" s="35">
        <v>2.9179435688235635E-4</v>
      </c>
      <c r="C536" s="232">
        <v>46.14</v>
      </c>
      <c r="D536" s="35">
        <v>5.0534651161439843</v>
      </c>
      <c r="E536" s="232">
        <v>32.6</v>
      </c>
      <c r="F536" s="35">
        <v>5.04766919299969</v>
      </c>
      <c r="G536" s="232">
        <v>11861.92</v>
      </c>
      <c r="H536" s="35">
        <v>8.8240623358653956</v>
      </c>
      <c r="I536" s="232">
        <v>13233.81</v>
      </c>
      <c r="J536" s="35">
        <v>7.8435638369826783</v>
      </c>
      <c r="K536" s="232">
        <v>13156.41</v>
      </c>
      <c r="L536" s="35">
        <v>8.5913728928382458</v>
      </c>
      <c r="M536" s="232">
        <v>39142.410000000003</v>
      </c>
      <c r="N536" s="35">
        <v>7.4836454267784784</v>
      </c>
      <c r="P536" s="232">
        <v>-13.54</v>
      </c>
      <c r="Q536" s="35">
        <v>5.7959231442943349E-3</v>
      </c>
      <c r="R536" s="232">
        <v>1371.89</v>
      </c>
      <c r="S536" s="35">
        <v>0.98049849888271723</v>
      </c>
      <c r="T536" s="232">
        <v>25986.01</v>
      </c>
      <c r="U536" s="35">
        <v>1.1077274660597674</v>
      </c>
      <c r="W536" s="35">
        <f t="shared" si="55"/>
        <v>303.33615721471676</v>
      </c>
      <c r="X536" s="35">
        <f t="shared" si="56"/>
        <v>47653.034944135863</v>
      </c>
      <c r="Y536" s="35">
        <f t="shared" si="57"/>
        <v>29400.363302988368</v>
      </c>
      <c r="Z536" s="35">
        <f t="shared" si="58"/>
        <v>0</v>
      </c>
      <c r="AA536" s="35">
        <f t="shared" si="59"/>
        <v>1</v>
      </c>
      <c r="AB536" s="35">
        <f t="shared" si="60"/>
        <v>0</v>
      </c>
    </row>
    <row r="537" spans="1:28">
      <c r="A537" s="35">
        <v>526</v>
      </c>
      <c r="B537" s="35">
        <v>4.5509008019994912E-4</v>
      </c>
      <c r="C537" s="232">
        <v>97.88</v>
      </c>
      <c r="D537" s="35">
        <v>5.0619622150421355</v>
      </c>
      <c r="E537" s="232">
        <v>63.81</v>
      </c>
      <c r="F537" s="35">
        <v>5.0526945681285671</v>
      </c>
      <c r="G537" s="232">
        <v>16216.82</v>
      </c>
      <c r="H537" s="35">
        <v>8.7581759239280483</v>
      </c>
      <c r="I537" s="232">
        <v>16351.91</v>
      </c>
      <c r="J537" s="35">
        <v>7.543102329509968</v>
      </c>
      <c r="K537" s="232">
        <v>21643.66</v>
      </c>
      <c r="L537" s="35">
        <v>8.619343055192191</v>
      </c>
      <c r="M537" s="232">
        <v>47990.63</v>
      </c>
      <c r="N537" s="35">
        <v>7.4936751611939094</v>
      </c>
      <c r="P537" s="232">
        <v>-34.06</v>
      </c>
      <c r="Q537" s="35">
        <v>9.2676469135684059E-3</v>
      </c>
      <c r="R537" s="232">
        <v>135.09</v>
      </c>
      <c r="S537" s="35">
        <v>1.2150735944180804</v>
      </c>
      <c r="T537" s="232">
        <v>26346.98</v>
      </c>
      <c r="U537" s="35">
        <v>1.1256678939982816</v>
      </c>
      <c r="W537" s="35">
        <f t="shared" si="55"/>
        <v>497.44234567842028</v>
      </c>
      <c r="X537" s="35">
        <f t="shared" si="56"/>
        <v>60618.589720904019</v>
      </c>
      <c r="Y537" s="35">
        <f t="shared" si="57"/>
        <v>29936.414699914083</v>
      </c>
      <c r="Z537" s="35">
        <f t="shared" si="58"/>
        <v>0</v>
      </c>
      <c r="AA537" s="35">
        <f t="shared" si="59"/>
        <v>1</v>
      </c>
      <c r="AB537" s="35">
        <f t="shared" si="60"/>
        <v>0</v>
      </c>
    </row>
    <row r="538" spans="1:28">
      <c r="A538" s="35">
        <v>527</v>
      </c>
      <c r="B538" s="35">
        <v>6.2001599353056491E-4</v>
      </c>
      <c r="C538" s="232">
        <v>91.21</v>
      </c>
      <c r="D538" s="35">
        <v>5.0692978723164659</v>
      </c>
      <c r="E538" s="232">
        <v>50.01</v>
      </c>
      <c r="F538" s="35">
        <v>5.0538621653290434</v>
      </c>
      <c r="G538" s="232">
        <v>11234.95</v>
      </c>
      <c r="H538" s="35">
        <v>8.2797415202934346</v>
      </c>
      <c r="I538" s="232">
        <v>12521.88</v>
      </c>
      <c r="J538" s="35">
        <v>7.3241179325273409</v>
      </c>
      <c r="K538" s="232">
        <v>15066.67</v>
      </c>
      <c r="L538" s="35">
        <v>9.0538875574697126</v>
      </c>
      <c r="M538" s="232">
        <v>41196.86</v>
      </c>
      <c r="N538" s="35">
        <v>7.9799231082532662</v>
      </c>
      <c r="P538" s="232">
        <v>-41.2</v>
      </c>
      <c r="Q538" s="35">
        <v>1.5435706987422471E-2</v>
      </c>
      <c r="R538" s="232">
        <v>1286.92</v>
      </c>
      <c r="S538" s="35">
        <v>0.95562358776609369</v>
      </c>
      <c r="T538" s="232">
        <v>26130.2</v>
      </c>
      <c r="U538" s="35">
        <v>1.0739644492164464</v>
      </c>
      <c r="W538" s="35">
        <f t="shared" si="55"/>
        <v>812.98534937112356</v>
      </c>
      <c r="X538" s="35">
        <f t="shared" si="56"/>
        <v>46494.259388304687</v>
      </c>
      <c r="Y538" s="35">
        <f t="shared" si="57"/>
        <v>27568.022460822318</v>
      </c>
      <c r="Z538" s="35">
        <f t="shared" si="58"/>
        <v>0</v>
      </c>
      <c r="AA538" s="35">
        <f t="shared" si="59"/>
        <v>1</v>
      </c>
      <c r="AB538" s="35">
        <f t="shared" si="60"/>
        <v>0</v>
      </c>
    </row>
    <row r="539" spans="1:28">
      <c r="A539" s="35">
        <v>528</v>
      </c>
      <c r="B539" s="35">
        <v>4.0958602513960305E-4</v>
      </c>
      <c r="C539" s="232">
        <v>75.87</v>
      </c>
      <c r="D539" s="35">
        <v>5.060194964286997</v>
      </c>
      <c r="E539" s="232">
        <v>50.34</v>
      </c>
      <c r="F539" s="35">
        <v>5.0516241684345848</v>
      </c>
      <c r="G539" s="232">
        <v>14016.85</v>
      </c>
      <c r="H539" s="35">
        <v>9.04087900697915</v>
      </c>
      <c r="I539" s="232">
        <v>12830.45</v>
      </c>
      <c r="J539" s="35">
        <v>7.3593754003300731</v>
      </c>
      <c r="K539" s="232">
        <v>20420.310000000001</v>
      </c>
      <c r="L539" s="35">
        <v>8.8103676698963902</v>
      </c>
      <c r="M539" s="232">
        <v>46613.73</v>
      </c>
      <c r="N539" s="35">
        <v>7.8141716656952305</v>
      </c>
      <c r="P539" s="232">
        <v>-25.53</v>
      </c>
      <c r="Q539" s="35">
        <v>8.5707958524121608E-3</v>
      </c>
      <c r="R539" s="232">
        <v>-1186.4100000000001</v>
      </c>
      <c r="S539" s="35">
        <v>1.6815036066490769</v>
      </c>
      <c r="T539" s="232">
        <v>26193.42</v>
      </c>
      <c r="U539" s="35">
        <v>0.99619600420115972</v>
      </c>
      <c r="W539" s="35">
        <f t="shared" si="55"/>
        <v>454.06979262060804</v>
      </c>
      <c r="X539" s="35">
        <f t="shared" si="56"/>
        <v>85261.590332453852</v>
      </c>
      <c r="Y539" s="35">
        <f t="shared" si="57"/>
        <v>23616.380210057985</v>
      </c>
      <c r="Z539" s="35">
        <f t="shared" si="58"/>
        <v>0</v>
      </c>
      <c r="AA539" s="35">
        <f t="shared" si="59"/>
        <v>1</v>
      </c>
      <c r="AB539" s="35">
        <f t="shared" si="60"/>
        <v>0</v>
      </c>
    </row>
    <row r="540" spans="1:28">
      <c r="A540" s="35">
        <v>529</v>
      </c>
      <c r="B540" s="35">
        <v>4.0607408710504554E-4</v>
      </c>
      <c r="C540" s="232">
        <v>45.12</v>
      </c>
      <c r="D540" s="35">
        <v>5.060088942029533</v>
      </c>
      <c r="E540" s="232">
        <v>29.26</v>
      </c>
      <c r="F540" s="35">
        <v>5.0504980535337056</v>
      </c>
      <c r="G540" s="232">
        <v>8482.5300000000007</v>
      </c>
      <c r="H540" s="35">
        <v>8.9241935187996759</v>
      </c>
      <c r="I540" s="232">
        <v>9544.7999999999993</v>
      </c>
      <c r="J540" s="35">
        <v>7.2822949375127273</v>
      </c>
      <c r="K540" s="232">
        <v>10079.56</v>
      </c>
      <c r="L540" s="35">
        <v>8.8693253565753061</v>
      </c>
      <c r="M540" s="232">
        <v>35891.660000000003</v>
      </c>
      <c r="N540" s="35">
        <v>7.7749429711986409</v>
      </c>
      <c r="P540" s="232">
        <v>-15.86</v>
      </c>
      <c r="Q540" s="35">
        <v>9.5908884958273433E-3</v>
      </c>
      <c r="R540" s="232">
        <v>1062.26</v>
      </c>
      <c r="S540" s="35">
        <v>1.6418985812869487</v>
      </c>
      <c r="T540" s="232">
        <v>25812.11</v>
      </c>
      <c r="U540" s="35">
        <v>1.0943823853766652</v>
      </c>
      <c r="W540" s="35">
        <f t="shared" si="55"/>
        <v>495.40442479136721</v>
      </c>
      <c r="X540" s="35">
        <f t="shared" si="56"/>
        <v>81032.669064347443</v>
      </c>
      <c r="Y540" s="35">
        <f t="shared" si="57"/>
        <v>28907.009268833259</v>
      </c>
      <c r="Z540" s="35">
        <f t="shared" si="58"/>
        <v>0</v>
      </c>
      <c r="AA540" s="35">
        <f t="shared" si="59"/>
        <v>1</v>
      </c>
      <c r="AB540" s="35">
        <f t="shared" si="60"/>
        <v>0</v>
      </c>
    </row>
    <row r="541" spans="1:28">
      <c r="A541" s="35">
        <v>530</v>
      </c>
      <c r="B541" s="35">
        <v>5.6767561881887474E-4</v>
      </c>
      <c r="C541" s="232">
        <v>81.81</v>
      </c>
      <c r="D541" s="35">
        <v>5.0647733268984076</v>
      </c>
      <c r="E541" s="232">
        <v>51.93</v>
      </c>
      <c r="F541" s="35">
        <v>5.0537619604195259</v>
      </c>
      <c r="G541" s="232">
        <v>10310.280000000001</v>
      </c>
      <c r="H541" s="35">
        <v>8.132794288360131</v>
      </c>
      <c r="I541" s="232">
        <v>10621.63</v>
      </c>
      <c r="J541" s="35">
        <v>6.8745018560357103</v>
      </c>
      <c r="K541" s="232">
        <v>14754.46</v>
      </c>
      <c r="L541" s="35">
        <v>8.3967374092252971</v>
      </c>
      <c r="M541" s="232">
        <v>40729.279999999999</v>
      </c>
      <c r="N541" s="35">
        <v>7.3449524148490752</v>
      </c>
      <c r="P541" s="232">
        <v>-29.88</v>
      </c>
      <c r="Q541" s="35">
        <v>1.101136647888179E-2</v>
      </c>
      <c r="R541" s="232">
        <v>311.35000000000002</v>
      </c>
      <c r="S541" s="35">
        <v>1.2582924323244207</v>
      </c>
      <c r="T541" s="232">
        <v>25974.82</v>
      </c>
      <c r="U541" s="35">
        <v>1.0517849943762219</v>
      </c>
      <c r="W541" s="35">
        <f t="shared" si="55"/>
        <v>580.44832394408945</v>
      </c>
      <c r="X541" s="35">
        <f t="shared" si="56"/>
        <v>62603.271616221034</v>
      </c>
      <c r="Y541" s="35">
        <f t="shared" si="57"/>
        <v>26614.429718811094</v>
      </c>
      <c r="Z541" s="35">
        <f t="shared" si="58"/>
        <v>0</v>
      </c>
      <c r="AA541" s="35">
        <f t="shared" si="59"/>
        <v>1</v>
      </c>
      <c r="AB541" s="35">
        <f t="shared" si="60"/>
        <v>0</v>
      </c>
    </row>
    <row r="542" spans="1:28">
      <c r="A542" s="35">
        <v>531</v>
      </c>
      <c r="B542" s="35">
        <v>4.2507705361879289E-4</v>
      </c>
      <c r="C542" s="232">
        <v>62.37</v>
      </c>
      <c r="D542" s="35">
        <v>5.060213082910149</v>
      </c>
      <c r="E542" s="232">
        <v>40.31</v>
      </c>
      <c r="F542" s="35">
        <v>5.0510185815337882</v>
      </c>
      <c r="G542" s="232">
        <v>11072.65</v>
      </c>
      <c r="H542" s="35">
        <v>8.9112498360476842</v>
      </c>
      <c r="I542" s="232">
        <v>12498.6</v>
      </c>
      <c r="J542" s="35">
        <v>8.3667939758806273</v>
      </c>
      <c r="K542" s="232">
        <v>15584.68</v>
      </c>
      <c r="L542" s="35">
        <v>8.3493062120727934</v>
      </c>
      <c r="M542" s="232">
        <v>41709.81</v>
      </c>
      <c r="N542" s="35">
        <v>7.2141274899456436</v>
      </c>
      <c r="P542" s="232">
        <v>-22.06</v>
      </c>
      <c r="Q542" s="35">
        <v>9.1945013763607975E-3</v>
      </c>
      <c r="R542" s="232">
        <v>1425.95</v>
      </c>
      <c r="S542" s="35">
        <v>0.54445586016705683</v>
      </c>
      <c r="T542" s="232">
        <v>26125.13</v>
      </c>
      <c r="U542" s="35">
        <v>1.1351787221271499</v>
      </c>
      <c r="W542" s="35">
        <f t="shared" si="55"/>
        <v>481.78506881803986</v>
      </c>
      <c r="X542" s="35">
        <f t="shared" si="56"/>
        <v>25796.84300835284</v>
      </c>
      <c r="Y542" s="35">
        <f t="shared" si="57"/>
        <v>30633.80610635749</v>
      </c>
      <c r="Z542" s="35">
        <f t="shared" si="58"/>
        <v>0</v>
      </c>
      <c r="AA542" s="35">
        <f t="shared" si="59"/>
        <v>0</v>
      </c>
      <c r="AB542" s="35">
        <f t="shared" si="60"/>
        <v>1</v>
      </c>
    </row>
    <row r="543" spans="1:28">
      <c r="A543" s="35">
        <v>532</v>
      </c>
      <c r="B543" s="35">
        <v>4.3665697348231521E-4</v>
      </c>
      <c r="C543" s="232">
        <v>84.28</v>
      </c>
      <c r="D543" s="35">
        <v>5.0618179926157953</v>
      </c>
      <c r="E543" s="232">
        <v>56.27</v>
      </c>
      <c r="F543" s="35">
        <v>5.052834908144356</v>
      </c>
      <c r="G543" s="232">
        <v>14504.4</v>
      </c>
      <c r="H543" s="35">
        <v>8.9261543471440508</v>
      </c>
      <c r="I543" s="232">
        <v>14104.12</v>
      </c>
      <c r="J543" s="35">
        <v>7.3178218671376438</v>
      </c>
      <c r="K543" s="232">
        <v>19618.14</v>
      </c>
      <c r="L543" s="35">
        <v>8.8134622478934634</v>
      </c>
      <c r="M543" s="232">
        <v>45955</v>
      </c>
      <c r="N543" s="35">
        <v>7.6807010315938173</v>
      </c>
      <c r="P543" s="232">
        <v>-28.02</v>
      </c>
      <c r="Q543" s="35">
        <v>8.9830844714393621E-3</v>
      </c>
      <c r="R543" s="232">
        <v>-400.28</v>
      </c>
      <c r="S543" s="35">
        <v>1.6083324800064069</v>
      </c>
      <c r="T543" s="232">
        <v>26336.86</v>
      </c>
      <c r="U543" s="35">
        <v>1.1327612162996461</v>
      </c>
      <c r="W543" s="35">
        <f t="shared" si="55"/>
        <v>477.17422357196807</v>
      </c>
      <c r="X543" s="35">
        <f t="shared" si="56"/>
        <v>80816.904000320341</v>
      </c>
      <c r="Y543" s="35">
        <f t="shared" si="57"/>
        <v>30301.200814982301</v>
      </c>
      <c r="Z543" s="35">
        <f t="shared" si="58"/>
        <v>0</v>
      </c>
      <c r="AA543" s="35">
        <f t="shared" si="59"/>
        <v>1</v>
      </c>
      <c r="AB543" s="35">
        <f t="shared" si="60"/>
        <v>0</v>
      </c>
    </row>
    <row r="544" spans="1:28">
      <c r="A544" s="35">
        <v>533</v>
      </c>
      <c r="B544" s="35">
        <v>4.192916526916282E-4</v>
      </c>
      <c r="C544" s="232">
        <v>55.37</v>
      </c>
      <c r="D544" s="35">
        <v>5.0590685770847434</v>
      </c>
      <c r="E544" s="232">
        <v>40.11</v>
      </c>
      <c r="F544" s="35">
        <v>5.051841532085402</v>
      </c>
      <c r="G544" s="232">
        <v>10432.799999999999</v>
      </c>
      <c r="H544" s="35">
        <v>8.6062717680823031</v>
      </c>
      <c r="I544" s="232">
        <v>12047.9</v>
      </c>
      <c r="J544" s="35">
        <v>7.6454126422817694</v>
      </c>
      <c r="K544" s="232">
        <v>12373.73</v>
      </c>
      <c r="L544" s="35">
        <v>8.2925687091996316</v>
      </c>
      <c r="M544" s="232">
        <v>38235.01</v>
      </c>
      <c r="N544" s="35">
        <v>7.2778507099768541</v>
      </c>
      <c r="P544" s="232">
        <v>-15.26</v>
      </c>
      <c r="Q544" s="35">
        <v>7.2270449993414587E-3</v>
      </c>
      <c r="R544" s="232">
        <v>1615.1</v>
      </c>
      <c r="S544" s="35">
        <v>0.96085912580053368</v>
      </c>
      <c r="T544" s="232">
        <v>25861.279999999999</v>
      </c>
      <c r="U544" s="35">
        <v>1.0147179992227775</v>
      </c>
      <c r="W544" s="35">
        <f t="shared" si="55"/>
        <v>376.6122499670729</v>
      </c>
      <c r="X544" s="35">
        <f t="shared" si="56"/>
        <v>46427.856290026684</v>
      </c>
      <c r="Y544" s="35">
        <f t="shared" si="57"/>
        <v>24874.619961138873</v>
      </c>
      <c r="Z544" s="35">
        <f t="shared" si="58"/>
        <v>0</v>
      </c>
      <c r="AA544" s="35">
        <f t="shared" si="59"/>
        <v>1</v>
      </c>
      <c r="AB544" s="35">
        <f t="shared" si="60"/>
        <v>0</v>
      </c>
    </row>
    <row r="545" spans="1:28">
      <c r="A545" s="35">
        <v>534</v>
      </c>
      <c r="B545" s="35">
        <v>4.7690999858884808E-4</v>
      </c>
      <c r="C545" s="232">
        <v>71.22</v>
      </c>
      <c r="D545" s="35">
        <v>5.0640122938064565</v>
      </c>
      <c r="E545" s="232">
        <v>43.18</v>
      </c>
      <c r="F545" s="35">
        <v>5.0523956372681846</v>
      </c>
      <c r="G545" s="232">
        <v>11722.7</v>
      </c>
      <c r="H545" s="35">
        <v>8.9162452506582994</v>
      </c>
      <c r="I545" s="232">
        <v>12567.47</v>
      </c>
      <c r="J545" s="35">
        <v>7.315681336275965</v>
      </c>
      <c r="K545" s="232">
        <v>14799.98</v>
      </c>
      <c r="L545" s="35">
        <v>8.8846570203653741</v>
      </c>
      <c r="M545" s="232">
        <v>40957.949999999997</v>
      </c>
      <c r="N545" s="35">
        <v>7.793213181784437</v>
      </c>
      <c r="P545" s="232">
        <v>-28.05</v>
      </c>
      <c r="Q545" s="35">
        <v>1.1616656538271819E-2</v>
      </c>
      <c r="R545" s="232">
        <v>844.78</v>
      </c>
      <c r="S545" s="35">
        <v>1.6005639143823345</v>
      </c>
      <c r="T545" s="232">
        <v>26157.97</v>
      </c>
      <c r="U545" s="35">
        <v>1.0914438385809371</v>
      </c>
      <c r="W545" s="35">
        <f t="shared" si="55"/>
        <v>608.88282691359086</v>
      </c>
      <c r="X545" s="35">
        <f t="shared" si="56"/>
        <v>79183.415719116718</v>
      </c>
      <c r="Y545" s="35">
        <f t="shared" si="57"/>
        <v>28414.221929046849</v>
      </c>
      <c r="Z545" s="35">
        <f t="shared" si="58"/>
        <v>0</v>
      </c>
      <c r="AA545" s="35">
        <f t="shared" si="59"/>
        <v>1</v>
      </c>
      <c r="AB545" s="35">
        <f t="shared" si="60"/>
        <v>0</v>
      </c>
    </row>
    <row r="546" spans="1:28">
      <c r="A546" s="35">
        <v>535</v>
      </c>
      <c r="B546" s="35">
        <v>4.6631152204534843E-4</v>
      </c>
      <c r="C546" s="232">
        <v>85.11</v>
      </c>
      <c r="D546" s="35">
        <v>5.0624221178440836</v>
      </c>
      <c r="E546" s="232">
        <v>46.48</v>
      </c>
      <c r="F546" s="35">
        <v>5.0502466918082138</v>
      </c>
      <c r="G546" s="232">
        <v>13842.35</v>
      </c>
      <c r="H546" s="35">
        <v>8.5567411219935483</v>
      </c>
      <c r="I546" s="232">
        <v>14569.72</v>
      </c>
      <c r="J546" s="35">
        <v>7.6411598250374269</v>
      </c>
      <c r="K546" s="232">
        <v>21308.18</v>
      </c>
      <c r="L546" s="35">
        <v>9.0391788248402509</v>
      </c>
      <c r="M546" s="232">
        <v>47902.43</v>
      </c>
      <c r="N546" s="35">
        <v>7.9200209208983505</v>
      </c>
      <c r="P546" s="232">
        <v>-38.630000000000003</v>
      </c>
      <c r="Q546" s="35">
        <v>1.2175426035869741E-2</v>
      </c>
      <c r="R546" s="232">
        <v>727.38</v>
      </c>
      <c r="S546" s="35">
        <v>0.91558129695612145</v>
      </c>
      <c r="T546" s="232">
        <v>26594.25</v>
      </c>
      <c r="U546" s="35">
        <v>1.1191579039419004</v>
      </c>
      <c r="W546" s="35">
        <f t="shared" si="55"/>
        <v>647.40130179348705</v>
      </c>
      <c r="X546" s="35">
        <f t="shared" si="56"/>
        <v>45051.684847806078</v>
      </c>
      <c r="Y546" s="35">
        <f t="shared" si="57"/>
        <v>29363.645197095022</v>
      </c>
      <c r="Z546" s="35">
        <f t="shared" si="58"/>
        <v>0</v>
      </c>
      <c r="AA546" s="35">
        <f t="shared" si="59"/>
        <v>1</v>
      </c>
      <c r="AB546" s="35">
        <f t="shared" si="60"/>
        <v>0</v>
      </c>
    </row>
    <row r="547" spans="1:28">
      <c r="A547" s="35">
        <v>536</v>
      </c>
      <c r="B547" s="35">
        <v>4.8928935752312608E-4</v>
      </c>
      <c r="C547" s="232">
        <v>71.180000000000007</v>
      </c>
      <c r="D547" s="35">
        <v>5.064603076207276</v>
      </c>
      <c r="E547" s="232">
        <v>49.47</v>
      </c>
      <c r="F547" s="35">
        <v>5.0550923982258746</v>
      </c>
      <c r="G547" s="232">
        <v>11024.93</v>
      </c>
      <c r="H547" s="35">
        <v>8.9178130272325902</v>
      </c>
      <c r="I547" s="232">
        <v>12962.96</v>
      </c>
      <c r="J547" s="35">
        <v>8.5765688018047506</v>
      </c>
      <c r="K547" s="232">
        <v>13288.92</v>
      </c>
      <c r="L547" s="35">
        <v>8.6758657905715495</v>
      </c>
      <c r="M547" s="232">
        <v>39449.379999999997</v>
      </c>
      <c r="N547" s="35">
        <v>7.5386373053765459</v>
      </c>
      <c r="P547" s="232">
        <v>-21.71</v>
      </c>
      <c r="Q547" s="35">
        <v>9.510677981401372E-3</v>
      </c>
      <c r="R547" s="232">
        <v>1938.03</v>
      </c>
      <c r="S547" s="35">
        <v>0.34124422542783961</v>
      </c>
      <c r="T547" s="232">
        <v>26160.46</v>
      </c>
      <c r="U547" s="35">
        <v>1.1372284851950036</v>
      </c>
      <c r="W547" s="35">
        <f t="shared" si="55"/>
        <v>497.24389907006861</v>
      </c>
      <c r="X547" s="35">
        <f t="shared" si="56"/>
        <v>15124.181271391981</v>
      </c>
      <c r="Y547" s="35">
        <f t="shared" si="57"/>
        <v>30700.964259750181</v>
      </c>
      <c r="Z547" s="35">
        <f t="shared" si="58"/>
        <v>0</v>
      </c>
      <c r="AA547" s="35">
        <f t="shared" si="59"/>
        <v>0</v>
      </c>
      <c r="AB547" s="35">
        <f t="shared" si="60"/>
        <v>1</v>
      </c>
    </row>
    <row r="548" spans="1:28">
      <c r="A548" s="35">
        <v>537</v>
      </c>
      <c r="B548" s="35">
        <v>5.6905144568664134E-4</v>
      </c>
      <c r="C548" s="232">
        <v>72.73</v>
      </c>
      <c r="D548" s="35">
        <v>5.0708283494438158</v>
      </c>
      <c r="E548" s="232">
        <v>46.13</v>
      </c>
      <c r="F548" s="35">
        <v>5.0571348357931472</v>
      </c>
      <c r="G548" s="232">
        <v>10168.98</v>
      </c>
      <c r="H548" s="35">
        <v>9.3718575927882597</v>
      </c>
      <c r="I548" s="232">
        <v>12304.74</v>
      </c>
      <c r="J548" s="35">
        <v>9.2246960398680802</v>
      </c>
      <c r="K548" s="232">
        <v>12111.91</v>
      </c>
      <c r="L548" s="35">
        <v>8.9313374247874879</v>
      </c>
      <c r="M548" s="232">
        <v>37934.589999999997</v>
      </c>
      <c r="N548" s="35">
        <v>7.8800532239807328</v>
      </c>
      <c r="P548" s="232">
        <v>-26.6</v>
      </c>
      <c r="Q548" s="35">
        <v>1.3693513650668621E-2</v>
      </c>
      <c r="R548" s="232">
        <v>2135.7600000000002</v>
      </c>
      <c r="S548" s="35">
        <v>0.14716155292017952</v>
      </c>
      <c r="T548" s="232">
        <v>25822.69</v>
      </c>
      <c r="U548" s="35">
        <v>1.0512842008067551</v>
      </c>
      <c r="W548" s="35">
        <f t="shared" si="55"/>
        <v>711.275682533431</v>
      </c>
      <c r="X548" s="35">
        <f t="shared" si="56"/>
        <v>5222.3176460089753</v>
      </c>
      <c r="Y548" s="35">
        <f t="shared" si="57"/>
        <v>26741.520040337757</v>
      </c>
      <c r="Z548" s="35">
        <f t="shared" si="58"/>
        <v>0</v>
      </c>
      <c r="AA548" s="35">
        <f t="shared" si="59"/>
        <v>0</v>
      </c>
      <c r="AB548" s="35">
        <f t="shared" si="60"/>
        <v>1</v>
      </c>
    </row>
    <row r="549" spans="1:28">
      <c r="A549" s="35">
        <v>538</v>
      </c>
      <c r="B549" s="35">
        <v>5.3005093080105148E-4</v>
      </c>
      <c r="C549" s="232">
        <v>96.06</v>
      </c>
      <c r="D549" s="35">
        <v>5.0642736884275426</v>
      </c>
      <c r="E549" s="232">
        <v>52.07</v>
      </c>
      <c r="F549" s="35">
        <v>5.0511991706263357</v>
      </c>
      <c r="G549" s="232">
        <v>14395</v>
      </c>
      <c r="H549" s="35">
        <v>8.5376808396912001</v>
      </c>
      <c r="I549" s="232">
        <v>14105.51</v>
      </c>
      <c r="J549" s="35">
        <v>6.6031646243998425</v>
      </c>
      <c r="K549" s="232">
        <v>19525.02</v>
      </c>
      <c r="L549" s="35">
        <v>8.4650339532537657</v>
      </c>
      <c r="M549" s="232">
        <v>45919.32</v>
      </c>
      <c r="N549" s="35">
        <v>7.3081737578860704</v>
      </c>
      <c r="P549" s="232">
        <v>-43.99</v>
      </c>
      <c r="Q549" s="35">
        <v>1.3074517801206831E-2</v>
      </c>
      <c r="R549" s="232">
        <v>-289.48</v>
      </c>
      <c r="S549" s="35">
        <v>1.9345162152913575</v>
      </c>
      <c r="T549" s="232">
        <v>26394.29</v>
      </c>
      <c r="U549" s="35">
        <v>1.1568601953676954</v>
      </c>
      <c r="W549" s="35">
        <f t="shared" si="55"/>
        <v>697.71589006034151</v>
      </c>
      <c r="X549" s="35">
        <f t="shared" si="56"/>
        <v>97015.290764567879</v>
      </c>
      <c r="Y549" s="35">
        <f t="shared" si="57"/>
        <v>31448.71976838477</v>
      </c>
      <c r="Z549" s="35">
        <f t="shared" si="58"/>
        <v>0</v>
      </c>
      <c r="AA549" s="35">
        <f t="shared" si="59"/>
        <v>1</v>
      </c>
      <c r="AB549" s="35">
        <f t="shared" si="60"/>
        <v>0</v>
      </c>
    </row>
    <row r="550" spans="1:28">
      <c r="A550" s="35">
        <v>539</v>
      </c>
      <c r="B550" s="35">
        <v>3.5654188485768483E-4</v>
      </c>
      <c r="C550" s="232">
        <v>64.73</v>
      </c>
      <c r="D550" s="35">
        <v>5.0566971860404157</v>
      </c>
      <c r="E550" s="232">
        <v>39.96</v>
      </c>
      <c r="F550" s="35">
        <v>5.0484500392750071</v>
      </c>
      <c r="G550" s="232">
        <v>13501.33</v>
      </c>
      <c r="H550" s="35">
        <v>8.9530273711442572</v>
      </c>
      <c r="I550" s="232">
        <v>14406.84</v>
      </c>
      <c r="J550" s="35">
        <v>8.2667927012646789</v>
      </c>
      <c r="K550" s="232">
        <v>18965.23</v>
      </c>
      <c r="L550" s="35">
        <v>8.3528081349546444</v>
      </c>
      <c r="M550" s="232">
        <v>45389.65</v>
      </c>
      <c r="N550" s="35">
        <v>7.2143721155591338</v>
      </c>
      <c r="P550" s="232">
        <v>-24.77</v>
      </c>
      <c r="Q550" s="35">
        <v>8.2471467654086084E-3</v>
      </c>
      <c r="R550" s="232">
        <v>905.52</v>
      </c>
      <c r="S550" s="35">
        <v>0.68623466987957826</v>
      </c>
      <c r="T550" s="232">
        <v>26424.42</v>
      </c>
      <c r="U550" s="35">
        <v>1.1384360193955105</v>
      </c>
      <c r="W550" s="35">
        <f t="shared" si="55"/>
        <v>437.12733827043041</v>
      </c>
      <c r="X550" s="35">
        <f t="shared" si="56"/>
        <v>33406.213493978918</v>
      </c>
      <c r="Y550" s="35">
        <f t="shared" si="57"/>
        <v>30497.380969775528</v>
      </c>
      <c r="Z550" s="35">
        <f t="shared" si="58"/>
        <v>0</v>
      </c>
      <c r="AA550" s="35">
        <f t="shared" si="59"/>
        <v>1</v>
      </c>
      <c r="AB550" s="35">
        <f t="shared" si="60"/>
        <v>0</v>
      </c>
    </row>
    <row r="551" spans="1:28">
      <c r="A551" s="35">
        <v>540</v>
      </c>
      <c r="B551" s="35">
        <v>4.4896736377619817E-4</v>
      </c>
      <c r="C551" s="232">
        <v>54.86</v>
      </c>
      <c r="D551" s="35">
        <v>5.0621415513130987</v>
      </c>
      <c r="E551" s="232">
        <v>33.6</v>
      </c>
      <c r="F551" s="35">
        <v>5.0511377428198942</v>
      </c>
      <c r="G551" s="232">
        <v>9715.36</v>
      </c>
      <c r="H551" s="35">
        <v>9.1114362818030266</v>
      </c>
      <c r="I551" s="232">
        <v>11643.18</v>
      </c>
      <c r="J551" s="35">
        <v>8.6056592097170306</v>
      </c>
      <c r="K551" s="232">
        <v>11032.47</v>
      </c>
      <c r="L551" s="35">
        <v>8.4440973452783581</v>
      </c>
      <c r="M551" s="232">
        <v>36844.25</v>
      </c>
      <c r="N551" s="35">
        <v>7.3251712676910721</v>
      </c>
      <c r="P551" s="232">
        <v>-21.26</v>
      </c>
      <c r="Q551" s="35">
        <v>1.1003808493204481E-2</v>
      </c>
      <c r="R551" s="232">
        <v>1927.82</v>
      </c>
      <c r="S551" s="35">
        <v>0.50577707208599598</v>
      </c>
      <c r="T551" s="232">
        <v>25811.78</v>
      </c>
      <c r="U551" s="35">
        <v>1.118926077587286</v>
      </c>
      <c r="W551" s="35">
        <f t="shared" si="55"/>
        <v>571.45042466022403</v>
      </c>
      <c r="X551" s="35">
        <f t="shared" si="56"/>
        <v>23361.033604299799</v>
      </c>
      <c r="Y551" s="35">
        <f t="shared" si="57"/>
        <v>30134.5238793643</v>
      </c>
      <c r="Z551" s="35">
        <f t="shared" si="58"/>
        <v>0</v>
      </c>
      <c r="AA551" s="35">
        <f t="shared" si="59"/>
        <v>0</v>
      </c>
      <c r="AB551" s="35">
        <f t="shared" si="60"/>
        <v>1</v>
      </c>
    </row>
    <row r="552" spans="1:28">
      <c r="A552" s="35">
        <v>541</v>
      </c>
      <c r="B552" s="35">
        <v>4.92513179103371E-4</v>
      </c>
      <c r="C552" s="232">
        <v>69.53</v>
      </c>
      <c r="D552" s="35">
        <v>5.0630843944239654</v>
      </c>
      <c r="E552" s="232">
        <v>41.21</v>
      </c>
      <c r="F552" s="35">
        <v>5.0515086635082227</v>
      </c>
      <c r="G552" s="232">
        <v>11641.53</v>
      </c>
      <c r="H552" s="35">
        <v>8.6294270037286598</v>
      </c>
      <c r="I552" s="232">
        <v>13706.85</v>
      </c>
      <c r="J552" s="35">
        <v>8.1542383299839951</v>
      </c>
      <c r="K552" s="232">
        <v>12864.93</v>
      </c>
      <c r="L552" s="35">
        <v>8.8748235178637707</v>
      </c>
      <c r="M552" s="232">
        <v>38848.6</v>
      </c>
      <c r="N552" s="35">
        <v>7.8609079720242532</v>
      </c>
      <c r="P552" s="232">
        <v>-28.32</v>
      </c>
      <c r="Q552" s="35">
        <v>1.157573091574271E-2</v>
      </c>
      <c r="R552" s="232">
        <v>2065.3200000000002</v>
      </c>
      <c r="S552" s="35">
        <v>0.47518867374466467</v>
      </c>
      <c r="T552" s="232">
        <v>25983.67</v>
      </c>
      <c r="U552" s="35">
        <v>1.0139155458395175</v>
      </c>
      <c r="W552" s="35">
        <f t="shared" si="55"/>
        <v>607.10654578713559</v>
      </c>
      <c r="X552" s="35">
        <f t="shared" si="56"/>
        <v>21694.113687233235</v>
      </c>
      <c r="Y552" s="35">
        <f t="shared" si="57"/>
        <v>24712.107291975874</v>
      </c>
      <c r="Z552" s="35">
        <f t="shared" si="58"/>
        <v>0</v>
      </c>
      <c r="AA552" s="35">
        <f t="shared" si="59"/>
        <v>0</v>
      </c>
      <c r="AB552" s="35">
        <f t="shared" si="60"/>
        <v>1</v>
      </c>
    </row>
    <row r="553" spans="1:28">
      <c r="A553" s="35">
        <v>542</v>
      </c>
      <c r="B553" s="35">
        <v>5.479115771913623E-4</v>
      </c>
      <c r="C553" s="232">
        <v>89.31</v>
      </c>
      <c r="D553" s="35">
        <v>5.0644459149111372</v>
      </c>
      <c r="E553" s="232">
        <v>57.45</v>
      </c>
      <c r="F553" s="35">
        <v>5.0538946413819392</v>
      </c>
      <c r="G553" s="232">
        <v>13027.12</v>
      </c>
      <c r="H553" s="35">
        <v>8.274627582729579</v>
      </c>
      <c r="I553" s="232">
        <v>14463.82</v>
      </c>
      <c r="J553" s="35">
        <v>7.1626669148255333</v>
      </c>
      <c r="K553" s="232">
        <v>16001.16</v>
      </c>
      <c r="L553" s="35">
        <v>8.4774753016579663</v>
      </c>
      <c r="M553" s="232">
        <v>42317.45</v>
      </c>
      <c r="N553" s="35">
        <v>7.3804059507256863</v>
      </c>
      <c r="P553" s="232">
        <v>-31.86</v>
      </c>
      <c r="Q553" s="35">
        <v>1.0551273529197935E-2</v>
      </c>
      <c r="R553" s="232">
        <v>1436.7</v>
      </c>
      <c r="S553" s="35">
        <v>1.1119606679040457</v>
      </c>
      <c r="T553" s="232">
        <v>26316.29</v>
      </c>
      <c r="U553" s="35">
        <v>1.09706935093228</v>
      </c>
      <c r="W553" s="35">
        <f t="shared" si="55"/>
        <v>559.4236764598968</v>
      </c>
      <c r="X553" s="35">
        <f t="shared" si="56"/>
        <v>54161.333395202288</v>
      </c>
      <c r="Y553" s="35">
        <f t="shared" si="57"/>
        <v>28537.177546613995</v>
      </c>
      <c r="Z553" s="35">
        <f t="shared" si="58"/>
        <v>0</v>
      </c>
      <c r="AA553" s="35">
        <f t="shared" si="59"/>
        <v>1</v>
      </c>
      <c r="AB553" s="35">
        <f t="shared" si="60"/>
        <v>0</v>
      </c>
    </row>
    <row r="554" spans="1:28">
      <c r="A554" s="35">
        <v>543</v>
      </c>
      <c r="B554" s="35">
        <v>4.4773245630580494E-4</v>
      </c>
      <c r="C554" s="232">
        <v>79.88</v>
      </c>
      <c r="D554" s="35">
        <v>5.0629669676193148</v>
      </c>
      <c r="E554" s="232">
        <v>57.38</v>
      </c>
      <c r="F554" s="35">
        <v>5.0547623470127236</v>
      </c>
      <c r="G554" s="232">
        <v>13069.86</v>
      </c>
      <c r="H554" s="35">
        <v>8.97177805246573</v>
      </c>
      <c r="I554" s="232">
        <v>13546.37</v>
      </c>
      <c r="J554" s="35">
        <v>8.0392447878332476</v>
      </c>
      <c r="K554" s="232">
        <v>20111.060000000001</v>
      </c>
      <c r="L554" s="35">
        <v>8.7974244452440633</v>
      </c>
      <c r="M554" s="232">
        <v>46646.559999999998</v>
      </c>
      <c r="N554" s="35">
        <v>7.6240533414053369</v>
      </c>
      <c r="P554" s="232">
        <v>-22.51</v>
      </c>
      <c r="Q554" s="35">
        <v>8.2046206065911065E-3</v>
      </c>
      <c r="R554" s="232">
        <v>476.51</v>
      </c>
      <c r="S554" s="35">
        <v>0.93253326463248243</v>
      </c>
      <c r="T554" s="232">
        <v>26535.5</v>
      </c>
      <c r="U554" s="35">
        <v>1.1733711038387264</v>
      </c>
      <c r="W554" s="35">
        <f t="shared" si="55"/>
        <v>432.74103032955531</v>
      </c>
      <c r="X554" s="35">
        <f t="shared" si="56"/>
        <v>46150.153231624121</v>
      </c>
      <c r="Y554" s="35">
        <f t="shared" si="57"/>
        <v>32133.055191936321</v>
      </c>
      <c r="Z554" s="35">
        <f t="shared" si="58"/>
        <v>0</v>
      </c>
      <c r="AA554" s="35">
        <f t="shared" si="59"/>
        <v>1</v>
      </c>
      <c r="AB554" s="35">
        <f t="shared" si="60"/>
        <v>0</v>
      </c>
    </row>
    <row r="555" spans="1:28">
      <c r="A555" s="35">
        <v>544</v>
      </c>
      <c r="B555" s="35">
        <v>4.0808093993472463E-4</v>
      </c>
      <c r="C555" s="232">
        <v>53.19</v>
      </c>
      <c r="D555" s="35">
        <v>5.0591369304436107</v>
      </c>
      <c r="E555" s="232">
        <v>35.93</v>
      </c>
      <c r="F555" s="35">
        <v>5.0507915761711208</v>
      </c>
      <c r="G555" s="232">
        <v>9876.4599999999991</v>
      </c>
      <c r="H555" s="35">
        <v>8.8150890106105599</v>
      </c>
      <c r="I555" s="232">
        <v>11201.91</v>
      </c>
      <c r="J555" s="35">
        <v>7.870956047512462</v>
      </c>
      <c r="K555" s="232">
        <v>11872.94</v>
      </c>
      <c r="L555" s="35">
        <v>8.4115046783389307</v>
      </c>
      <c r="M555" s="232">
        <v>37662.49</v>
      </c>
      <c r="N555" s="35">
        <v>7.3298201782238381</v>
      </c>
      <c r="P555" s="232">
        <v>-17.260000000000002</v>
      </c>
      <c r="Q555" s="35">
        <v>8.3453542724898355E-3</v>
      </c>
      <c r="R555" s="232">
        <v>1325.45</v>
      </c>
      <c r="S555" s="35">
        <v>0.94413296309809791</v>
      </c>
      <c r="T555" s="232">
        <v>25789.54</v>
      </c>
      <c r="U555" s="35">
        <v>1.0816845001150925</v>
      </c>
      <c r="W555" s="35">
        <f t="shared" si="55"/>
        <v>434.52771362449175</v>
      </c>
      <c r="X555" s="35">
        <f t="shared" si="56"/>
        <v>45881.198154904901</v>
      </c>
      <c r="Y555" s="35">
        <f t="shared" si="57"/>
        <v>28294.685005754625</v>
      </c>
      <c r="Z555" s="35">
        <f t="shared" si="58"/>
        <v>0</v>
      </c>
      <c r="AA555" s="35">
        <f t="shared" si="59"/>
        <v>1</v>
      </c>
      <c r="AB555" s="35">
        <f t="shared" si="60"/>
        <v>0</v>
      </c>
    </row>
    <row r="556" spans="1:28">
      <c r="A556" s="35">
        <v>545</v>
      </c>
      <c r="B556" s="35">
        <v>5.4811674319843462E-4</v>
      </c>
      <c r="C556" s="232">
        <v>85.78</v>
      </c>
      <c r="D556" s="35">
        <v>5.0677793620953571</v>
      </c>
      <c r="E556" s="232">
        <v>50.14</v>
      </c>
      <c r="F556" s="35">
        <v>5.0540966758723149</v>
      </c>
      <c r="G556" s="232">
        <v>12282.06</v>
      </c>
      <c r="H556" s="35">
        <v>8.9756832695742759</v>
      </c>
      <c r="I556" s="232">
        <v>13192.07</v>
      </c>
      <c r="J556" s="35">
        <v>7.5121469562619501</v>
      </c>
      <c r="K556" s="232">
        <v>14756.14</v>
      </c>
      <c r="L556" s="35">
        <v>9.023853449469545</v>
      </c>
      <c r="M556" s="232">
        <v>40763.14</v>
      </c>
      <c r="N556" s="35">
        <v>7.989861449355562</v>
      </c>
      <c r="P556" s="232">
        <v>-35.64</v>
      </c>
      <c r="Q556" s="35">
        <v>1.368268622304214E-2</v>
      </c>
      <c r="R556" s="232">
        <v>910.01</v>
      </c>
      <c r="S556" s="35">
        <v>1.4635363133123258</v>
      </c>
      <c r="T556" s="232">
        <v>26007</v>
      </c>
      <c r="U556" s="35">
        <v>1.0339920001139831</v>
      </c>
      <c r="W556" s="35">
        <f t="shared" si="55"/>
        <v>719.77431115210697</v>
      </c>
      <c r="X556" s="35">
        <f t="shared" si="56"/>
        <v>72266.805665616295</v>
      </c>
      <c r="Y556" s="35">
        <f t="shared" si="57"/>
        <v>25692.600005699154</v>
      </c>
      <c r="Z556" s="35">
        <f t="shared" si="58"/>
        <v>0</v>
      </c>
      <c r="AA556" s="35">
        <f t="shared" si="59"/>
        <v>1</v>
      </c>
      <c r="AB556" s="35">
        <f t="shared" si="60"/>
        <v>0</v>
      </c>
    </row>
    <row r="557" spans="1:28">
      <c r="A557" s="35">
        <v>546</v>
      </c>
      <c r="B557" s="35">
        <v>3.9739118841090811E-4</v>
      </c>
      <c r="C557" s="232">
        <v>66.36</v>
      </c>
      <c r="D557" s="35">
        <v>5.0588746997994569</v>
      </c>
      <c r="E557" s="232">
        <v>44.91</v>
      </c>
      <c r="F557" s="35">
        <v>5.0509447153378657</v>
      </c>
      <c r="G557" s="232">
        <v>12716.72</v>
      </c>
      <c r="H557" s="35">
        <v>8.8108922731894683</v>
      </c>
      <c r="I557" s="232">
        <v>14316.35</v>
      </c>
      <c r="J557" s="35">
        <v>8.301619122882995</v>
      </c>
      <c r="K557" s="232">
        <v>16394.080000000002</v>
      </c>
      <c r="L557" s="35">
        <v>8.5724534340319725</v>
      </c>
      <c r="M557" s="232">
        <v>42601.13</v>
      </c>
      <c r="N557" s="35">
        <v>7.5299979487782007</v>
      </c>
      <c r="P557" s="232">
        <v>-21.45</v>
      </c>
      <c r="Q557" s="35">
        <v>7.9299844615912107E-3</v>
      </c>
      <c r="R557" s="232">
        <v>1599.63</v>
      </c>
      <c r="S557" s="35">
        <v>0.50927315030647335</v>
      </c>
      <c r="T557" s="232">
        <v>26207.05</v>
      </c>
      <c r="U557" s="35">
        <v>1.0424554852537717</v>
      </c>
      <c r="W557" s="35">
        <f t="shared" si="55"/>
        <v>417.94922307956051</v>
      </c>
      <c r="X557" s="35">
        <f t="shared" si="56"/>
        <v>23864.027515323665</v>
      </c>
      <c r="Y557" s="35">
        <f t="shared" si="57"/>
        <v>25915.724262688589</v>
      </c>
      <c r="Z557" s="35">
        <f t="shared" si="58"/>
        <v>0</v>
      </c>
      <c r="AA557" s="35">
        <f t="shared" si="59"/>
        <v>0</v>
      </c>
      <c r="AB557" s="35">
        <f t="shared" si="60"/>
        <v>1</v>
      </c>
    </row>
    <row r="558" spans="1:28">
      <c r="A558" s="35">
        <v>547</v>
      </c>
      <c r="B558" s="35">
        <v>5.3372619793257137E-4</v>
      </c>
      <c r="C558" s="232">
        <v>83.28</v>
      </c>
      <c r="D558" s="35">
        <v>5.064290428699711</v>
      </c>
      <c r="E558" s="232">
        <v>44.76</v>
      </c>
      <c r="F558" s="35">
        <v>5.0509318119827045</v>
      </c>
      <c r="G558" s="232">
        <v>12403.92</v>
      </c>
      <c r="H558" s="35">
        <v>8.5852245646310497</v>
      </c>
      <c r="I558" s="232">
        <v>12911.74</v>
      </c>
      <c r="J558" s="35">
        <v>7.1990478283594301</v>
      </c>
      <c r="K558" s="232">
        <v>16875.97</v>
      </c>
      <c r="L558" s="35">
        <v>8.5652823510350462</v>
      </c>
      <c r="M558" s="232">
        <v>43036.24</v>
      </c>
      <c r="N558" s="35">
        <v>7.5608873833728394</v>
      </c>
      <c r="P558" s="232">
        <v>-38.520000000000003</v>
      </c>
      <c r="Q558" s="35">
        <v>1.3358616717006555E-2</v>
      </c>
      <c r="R558" s="232">
        <v>507.82</v>
      </c>
      <c r="S558" s="35">
        <v>1.3861767362716195</v>
      </c>
      <c r="T558" s="232">
        <v>26160.26</v>
      </c>
      <c r="U558" s="35">
        <v>1.0043949676622068</v>
      </c>
      <c r="W558" s="35">
        <f t="shared" si="55"/>
        <v>706.45083585032773</v>
      </c>
      <c r="X558" s="35">
        <f t="shared" si="56"/>
        <v>68801.016813580965</v>
      </c>
      <c r="Y558" s="35">
        <f t="shared" si="57"/>
        <v>24059.48838311034</v>
      </c>
      <c r="Z558" s="35">
        <f t="shared" si="58"/>
        <v>0</v>
      </c>
      <c r="AA558" s="35">
        <f t="shared" si="59"/>
        <v>1</v>
      </c>
      <c r="AB558" s="35">
        <f t="shared" si="60"/>
        <v>0</v>
      </c>
    </row>
    <row r="559" spans="1:28">
      <c r="A559" s="35">
        <v>548</v>
      </c>
      <c r="B559" s="35">
        <v>4.7613694382875327E-4</v>
      </c>
      <c r="C559" s="232">
        <v>77.239999999999995</v>
      </c>
      <c r="D559" s="35">
        <v>5.0623275162845971</v>
      </c>
      <c r="E559" s="232">
        <v>46.68</v>
      </c>
      <c r="F559" s="35">
        <v>5.0515117981130677</v>
      </c>
      <c r="G559" s="232">
        <v>12593.7</v>
      </c>
      <c r="H559" s="35">
        <v>8.7021809204503615</v>
      </c>
      <c r="I559" s="232">
        <v>14064.42</v>
      </c>
      <c r="J559" s="35">
        <v>8.0544466543266022</v>
      </c>
      <c r="K559" s="232">
        <v>16373.19</v>
      </c>
      <c r="L559" s="35">
        <v>8.4805700450205599</v>
      </c>
      <c r="M559" s="232">
        <v>42572.02</v>
      </c>
      <c r="N559" s="35">
        <v>7.3798695545993604</v>
      </c>
      <c r="P559" s="232">
        <v>-30.57</v>
      </c>
      <c r="Q559" s="35">
        <v>1.0815718171529376E-2</v>
      </c>
      <c r="R559" s="232">
        <v>1470.72</v>
      </c>
      <c r="S559" s="35">
        <v>0.64773426612375928</v>
      </c>
      <c r="T559" s="232">
        <v>26198.83</v>
      </c>
      <c r="U559" s="35">
        <v>1.1007004904211994</v>
      </c>
      <c r="W559" s="35">
        <f t="shared" si="55"/>
        <v>571.35590857646889</v>
      </c>
      <c r="X559" s="35">
        <f t="shared" si="56"/>
        <v>30915.993306187964</v>
      </c>
      <c r="Y559" s="35">
        <f t="shared" si="57"/>
        <v>28836.194521059973</v>
      </c>
      <c r="Z559" s="35">
        <f t="shared" si="58"/>
        <v>0</v>
      </c>
      <c r="AA559" s="35">
        <f t="shared" si="59"/>
        <v>1</v>
      </c>
      <c r="AB559" s="35">
        <f t="shared" si="60"/>
        <v>0</v>
      </c>
    </row>
    <row r="560" spans="1:28">
      <c r="A560" s="35">
        <v>549</v>
      </c>
      <c r="B560" s="35">
        <v>3.9021456444603375E-4</v>
      </c>
      <c r="C560" s="232">
        <v>69.069999999999993</v>
      </c>
      <c r="D560" s="35">
        <v>5.0576783924297306</v>
      </c>
      <c r="E560" s="232">
        <v>38.35</v>
      </c>
      <c r="F560" s="35">
        <v>5.0478435114112923</v>
      </c>
      <c r="G560" s="232">
        <v>13434.96</v>
      </c>
      <c r="H560" s="35">
        <v>8.5143891256127908</v>
      </c>
      <c r="I560" s="232">
        <v>13511.83</v>
      </c>
      <c r="J560" s="35">
        <v>7.2266493923004598</v>
      </c>
      <c r="K560" s="232">
        <v>19870.740000000002</v>
      </c>
      <c r="L560" s="35">
        <v>8.6595787015381855</v>
      </c>
      <c r="M560" s="232">
        <v>46363.05</v>
      </c>
      <c r="N560" s="35">
        <v>7.4390266904567435</v>
      </c>
      <c r="P560" s="232">
        <v>-30.72</v>
      </c>
      <c r="Q560" s="35">
        <v>9.834881018438324E-3</v>
      </c>
      <c r="R560" s="232">
        <v>76.88</v>
      </c>
      <c r="S560" s="35">
        <v>1.287739733312331</v>
      </c>
      <c r="T560" s="232">
        <v>26492.31</v>
      </c>
      <c r="U560" s="35">
        <v>1.2205520110814421</v>
      </c>
      <c r="W560" s="35">
        <f t="shared" si="55"/>
        <v>522.46405092191617</v>
      </c>
      <c r="X560" s="35">
        <f t="shared" si="56"/>
        <v>64310.106665616557</v>
      </c>
      <c r="Y560" s="35">
        <f t="shared" si="57"/>
        <v>34535.290554072097</v>
      </c>
      <c r="Z560" s="35">
        <f t="shared" si="58"/>
        <v>0</v>
      </c>
      <c r="AA560" s="35">
        <f t="shared" si="59"/>
        <v>1</v>
      </c>
      <c r="AB560" s="35">
        <f t="shared" si="60"/>
        <v>0</v>
      </c>
    </row>
    <row r="561" spans="1:28">
      <c r="A561" s="35">
        <v>550</v>
      </c>
      <c r="B561" s="35">
        <v>4.3754449765896682E-4</v>
      </c>
      <c r="C561" s="232">
        <v>49.77</v>
      </c>
      <c r="D561" s="35">
        <v>5.0612032606257618</v>
      </c>
      <c r="E561" s="232">
        <v>32.06</v>
      </c>
      <c r="F561" s="35">
        <v>5.0512063776437586</v>
      </c>
      <c r="G561" s="232">
        <v>8297.56</v>
      </c>
      <c r="H561" s="35">
        <v>8.4921991170077913</v>
      </c>
      <c r="I561" s="232">
        <v>9245.61</v>
      </c>
      <c r="J561" s="35">
        <v>6.846733640927722</v>
      </c>
      <c r="K561" s="232">
        <v>10123.790000000001</v>
      </c>
      <c r="L561" s="35">
        <v>9.2122670478881172</v>
      </c>
      <c r="M561" s="232">
        <v>35897.440000000002</v>
      </c>
      <c r="N561" s="35">
        <v>8.1088521667442262</v>
      </c>
      <c r="P561" s="232">
        <v>-17.71</v>
      </c>
      <c r="Q561" s="35">
        <v>9.9968829820031857E-3</v>
      </c>
      <c r="R561" s="232">
        <v>948.05</v>
      </c>
      <c r="S561" s="35">
        <v>1.6454654760800693</v>
      </c>
      <c r="T561" s="232">
        <v>25773.65</v>
      </c>
      <c r="U561" s="35">
        <v>1.1034148811438911</v>
      </c>
      <c r="W561" s="35">
        <f t="shared" si="55"/>
        <v>517.55414910015929</v>
      </c>
      <c r="X561" s="35">
        <f t="shared" si="56"/>
        <v>81325.223804003457</v>
      </c>
      <c r="Y561" s="35">
        <f t="shared" si="57"/>
        <v>29397.094057194554</v>
      </c>
      <c r="Z561" s="35">
        <f t="shared" si="58"/>
        <v>0</v>
      </c>
      <c r="AA561" s="35">
        <f t="shared" si="59"/>
        <v>1</v>
      </c>
      <c r="AB561" s="35">
        <f t="shared" si="60"/>
        <v>0</v>
      </c>
    </row>
    <row r="562" spans="1:28">
      <c r="A562" s="35">
        <v>551</v>
      </c>
      <c r="B562" s="35">
        <v>4.1370381970525671E-4</v>
      </c>
      <c r="C562" s="232">
        <v>52.75</v>
      </c>
      <c r="D562" s="35">
        <v>5.0599663674795199</v>
      </c>
      <c r="E562" s="232">
        <v>34.619999999999997</v>
      </c>
      <c r="F562" s="35">
        <v>5.0508589698611877</v>
      </c>
      <c r="G562" s="232">
        <v>10073.549999999999</v>
      </c>
      <c r="H562" s="35">
        <v>8.9762461590177764</v>
      </c>
      <c r="I562" s="232">
        <v>11862.94</v>
      </c>
      <c r="J562" s="35">
        <v>7.6930394578910688</v>
      </c>
      <c r="K562" s="232">
        <v>10023.629999999999</v>
      </c>
      <c r="L562" s="35">
        <v>8.5416257960860555</v>
      </c>
      <c r="M562" s="232">
        <v>35985.33</v>
      </c>
      <c r="N562" s="35">
        <v>7.4211345132005615</v>
      </c>
      <c r="P562" s="232">
        <v>-18.13</v>
      </c>
      <c r="Q562" s="35">
        <v>9.1073976183322358E-3</v>
      </c>
      <c r="R562" s="232">
        <v>1789.39</v>
      </c>
      <c r="S562" s="35">
        <v>1.2832067011267076</v>
      </c>
      <c r="T562" s="232">
        <v>25961.7</v>
      </c>
      <c r="U562" s="35">
        <v>1.120491282885494</v>
      </c>
      <c r="W562" s="35">
        <f t="shared" si="55"/>
        <v>473.4998809166118</v>
      </c>
      <c r="X562" s="35">
        <f t="shared" si="56"/>
        <v>62370.945056335382</v>
      </c>
      <c r="Y562" s="35">
        <f t="shared" si="57"/>
        <v>30062.864144274699</v>
      </c>
      <c r="Z562" s="35">
        <f t="shared" si="58"/>
        <v>0</v>
      </c>
      <c r="AA562" s="35">
        <f t="shared" si="59"/>
        <v>1</v>
      </c>
      <c r="AB562" s="35">
        <f t="shared" si="60"/>
        <v>0</v>
      </c>
    </row>
    <row r="563" spans="1:28">
      <c r="A563" s="35">
        <v>552</v>
      </c>
      <c r="B563" s="35">
        <v>5.145423210957123E-4</v>
      </c>
      <c r="C563" s="232">
        <v>79.06</v>
      </c>
      <c r="D563" s="35">
        <v>5.0635464463173889</v>
      </c>
      <c r="E563" s="232">
        <v>45.31</v>
      </c>
      <c r="F563" s="35">
        <v>5.0514177888781919</v>
      </c>
      <c r="G563" s="232">
        <v>11757.92</v>
      </c>
      <c r="H563" s="35">
        <v>8.4741163379675442</v>
      </c>
      <c r="I563" s="232">
        <v>12180.47</v>
      </c>
      <c r="J563" s="35">
        <v>7.087383413509615</v>
      </c>
      <c r="K563" s="232">
        <v>16417.36</v>
      </c>
      <c r="L563" s="35">
        <v>8.4904701870149566</v>
      </c>
      <c r="M563" s="232">
        <v>42719.49</v>
      </c>
      <c r="N563" s="35">
        <v>7.3705207618411874</v>
      </c>
      <c r="P563" s="232">
        <v>-33.75</v>
      </c>
      <c r="Q563" s="35">
        <v>1.2128657439196999E-2</v>
      </c>
      <c r="R563" s="232">
        <v>422.55</v>
      </c>
      <c r="S563" s="35">
        <v>1.3867329244579292</v>
      </c>
      <c r="T563" s="232">
        <v>26302.13</v>
      </c>
      <c r="U563" s="35">
        <v>1.1199494251737692</v>
      </c>
      <c r="W563" s="35">
        <f t="shared" si="55"/>
        <v>640.18287195984999</v>
      </c>
      <c r="X563" s="35">
        <f t="shared" si="56"/>
        <v>68914.096222896449</v>
      </c>
      <c r="Y563" s="35">
        <f t="shared" si="57"/>
        <v>29695.341258688455</v>
      </c>
      <c r="Z563" s="35">
        <f t="shared" si="58"/>
        <v>0</v>
      </c>
      <c r="AA563" s="35">
        <f t="shared" si="59"/>
        <v>1</v>
      </c>
      <c r="AB563" s="35">
        <f t="shared" si="60"/>
        <v>0</v>
      </c>
    </row>
    <row r="564" spans="1:28">
      <c r="A564" s="35">
        <v>553</v>
      </c>
      <c r="B564" s="35">
        <v>3.4013988587162404E-4</v>
      </c>
      <c r="C564" s="232">
        <v>53.74</v>
      </c>
      <c r="D564" s="35">
        <v>5.0544689923651376</v>
      </c>
      <c r="E564" s="232">
        <v>36.869999999999997</v>
      </c>
      <c r="F564" s="35">
        <v>5.0481449759810655</v>
      </c>
      <c r="G564" s="232">
        <v>11667.17</v>
      </c>
      <c r="H564" s="35">
        <v>8.2819849260023481</v>
      </c>
      <c r="I564" s="232">
        <v>13526.22</v>
      </c>
      <c r="J564" s="35">
        <v>8.0186986328627974</v>
      </c>
      <c r="K564" s="232">
        <v>16310.84</v>
      </c>
      <c r="L564" s="35">
        <v>8.473063298520584</v>
      </c>
      <c r="M564" s="232">
        <v>42627.16</v>
      </c>
      <c r="N564" s="35">
        <v>7.3721370654604454</v>
      </c>
      <c r="P564" s="232">
        <v>-16.88</v>
      </c>
      <c r="Q564" s="35">
        <v>6.3240163840720953E-3</v>
      </c>
      <c r="R564" s="232">
        <v>1859.05</v>
      </c>
      <c r="S564" s="35">
        <v>0.26328629313955076</v>
      </c>
      <c r="T564" s="232">
        <v>26316.32</v>
      </c>
      <c r="U564" s="35">
        <v>1.1009262330601386</v>
      </c>
      <c r="W564" s="35">
        <f t="shared" si="55"/>
        <v>333.08081920360473</v>
      </c>
      <c r="X564" s="35">
        <f t="shared" si="56"/>
        <v>11305.264656977539</v>
      </c>
      <c r="Y564" s="35">
        <f t="shared" si="57"/>
        <v>28729.991653006931</v>
      </c>
      <c r="Z564" s="35">
        <f t="shared" si="58"/>
        <v>0</v>
      </c>
      <c r="AA564" s="35">
        <f t="shared" si="59"/>
        <v>0</v>
      </c>
      <c r="AB564" s="35">
        <f t="shared" si="60"/>
        <v>1</v>
      </c>
    </row>
    <row r="565" spans="1:28">
      <c r="A565" s="35">
        <v>554</v>
      </c>
      <c r="B565" s="35">
        <v>4.3896879483893022E-4</v>
      </c>
      <c r="C565" s="232">
        <v>63.36</v>
      </c>
      <c r="D565" s="35">
        <v>5.0610102031139785</v>
      </c>
      <c r="E565" s="232">
        <v>38.340000000000003</v>
      </c>
      <c r="F565" s="35">
        <v>5.0505575983529205</v>
      </c>
      <c r="G565" s="232">
        <v>11732.86</v>
      </c>
      <c r="H565" s="35">
        <v>8.5876948843241454</v>
      </c>
      <c r="I565" s="232">
        <v>13439.3</v>
      </c>
      <c r="J565" s="35">
        <v>7.3539474777501344</v>
      </c>
      <c r="K565" s="232">
        <v>13147.03</v>
      </c>
      <c r="L565" s="35">
        <v>8.9439257811018376</v>
      </c>
      <c r="M565" s="232">
        <v>38954.21</v>
      </c>
      <c r="N565" s="35">
        <v>7.8483579671093544</v>
      </c>
      <c r="P565" s="232">
        <v>-25.02</v>
      </c>
      <c r="Q565" s="35">
        <v>1.0452604761058026E-2</v>
      </c>
      <c r="R565" s="232">
        <v>1706.44</v>
      </c>
      <c r="S565" s="35">
        <v>1.2337474065740111</v>
      </c>
      <c r="T565" s="232">
        <v>25807.17</v>
      </c>
      <c r="U565" s="35">
        <v>1.0955678139924832</v>
      </c>
      <c r="W565" s="35">
        <f t="shared" si="55"/>
        <v>547.65023805290127</v>
      </c>
      <c r="X565" s="35">
        <f t="shared" si="56"/>
        <v>59980.930328700553</v>
      </c>
      <c r="Y565" s="35">
        <f t="shared" si="57"/>
        <v>28971.220699624158</v>
      </c>
      <c r="Z565" s="35">
        <f t="shared" si="58"/>
        <v>0</v>
      </c>
      <c r="AA565" s="35">
        <f t="shared" si="59"/>
        <v>1</v>
      </c>
      <c r="AB565" s="35">
        <f t="shared" si="60"/>
        <v>0</v>
      </c>
    </row>
    <row r="566" spans="1:28">
      <c r="A566" s="35">
        <v>555</v>
      </c>
      <c r="B566" s="35">
        <v>3.4916709153440712E-4</v>
      </c>
      <c r="C566" s="232">
        <v>59.37</v>
      </c>
      <c r="D566" s="35">
        <v>5.0562083917081955</v>
      </c>
      <c r="E566" s="232">
        <v>37.770000000000003</v>
      </c>
      <c r="F566" s="35">
        <v>5.0484253598758979</v>
      </c>
      <c r="G566" s="232">
        <v>12684.52</v>
      </c>
      <c r="H566" s="35">
        <v>8.6847090844567099</v>
      </c>
      <c r="I566" s="232">
        <v>13482.5</v>
      </c>
      <c r="J566" s="35">
        <v>7.6930635024123291</v>
      </c>
      <c r="K566" s="232">
        <v>17501.419999999998</v>
      </c>
      <c r="L566" s="35">
        <v>8.6560553811874357</v>
      </c>
      <c r="M566" s="232">
        <v>43847.61</v>
      </c>
      <c r="N566" s="35">
        <v>7.5423059302427262</v>
      </c>
      <c r="P566" s="232">
        <v>-21.61</v>
      </c>
      <c r="Q566" s="35">
        <v>7.78303183229756E-3</v>
      </c>
      <c r="R566" s="232">
        <v>797.98</v>
      </c>
      <c r="S566" s="35">
        <v>0.9916455820443808</v>
      </c>
      <c r="T566" s="232">
        <v>26346.19</v>
      </c>
      <c r="U566" s="35">
        <v>1.1137494509447095</v>
      </c>
      <c r="W566" s="35">
        <f t="shared" si="55"/>
        <v>410.761591614878</v>
      </c>
      <c r="X566" s="35">
        <f t="shared" si="56"/>
        <v>48784.29910221904</v>
      </c>
      <c r="Y566" s="35">
        <f t="shared" si="57"/>
        <v>29341.282547235471</v>
      </c>
      <c r="Z566" s="35">
        <f t="shared" si="58"/>
        <v>0</v>
      </c>
      <c r="AA566" s="35">
        <f t="shared" si="59"/>
        <v>1</v>
      </c>
      <c r="AB566" s="35">
        <f t="shared" si="60"/>
        <v>0</v>
      </c>
    </row>
    <row r="567" spans="1:28">
      <c r="A567" s="35">
        <v>556</v>
      </c>
      <c r="B567" s="35">
        <v>4.3813628700875687E-4</v>
      </c>
      <c r="C567" s="232">
        <v>79.45</v>
      </c>
      <c r="D567" s="35">
        <v>5.0600887589000063</v>
      </c>
      <c r="E567" s="232">
        <v>54.69</v>
      </c>
      <c r="F567" s="35">
        <v>5.0521576144614437</v>
      </c>
      <c r="G567" s="232">
        <v>13180</v>
      </c>
      <c r="H567" s="35">
        <v>8.5059046773028975</v>
      </c>
      <c r="I567" s="232">
        <v>12981.68</v>
      </c>
      <c r="J567" s="35">
        <v>7.4826781493199661</v>
      </c>
      <c r="K567" s="232">
        <v>22493.43</v>
      </c>
      <c r="L567" s="35">
        <v>8.384507419925276</v>
      </c>
      <c r="M567" s="232">
        <v>49121.09</v>
      </c>
      <c r="N567" s="35">
        <v>7.2425859986269785</v>
      </c>
      <c r="P567" s="232">
        <v>-24.76</v>
      </c>
      <c r="Q567" s="35">
        <v>7.9311444385625762E-3</v>
      </c>
      <c r="R567" s="232">
        <v>-198.33</v>
      </c>
      <c r="S567" s="35">
        <v>1.0232265279829313</v>
      </c>
      <c r="T567" s="232">
        <v>26627.66</v>
      </c>
      <c r="U567" s="35">
        <v>1.1419214212982975</v>
      </c>
      <c r="W567" s="35">
        <f t="shared" si="55"/>
        <v>421.31722192812879</v>
      </c>
      <c r="X567" s="35">
        <f t="shared" si="56"/>
        <v>51359.656399146566</v>
      </c>
      <c r="Y567" s="35">
        <f t="shared" si="57"/>
        <v>30468.411064914875</v>
      </c>
      <c r="Z567" s="35">
        <f t="shared" si="58"/>
        <v>0</v>
      </c>
      <c r="AA567" s="35">
        <f t="shared" si="59"/>
        <v>1</v>
      </c>
      <c r="AB567" s="35">
        <f t="shared" si="60"/>
        <v>0</v>
      </c>
    </row>
    <row r="568" spans="1:28">
      <c r="A568" s="35">
        <v>557</v>
      </c>
      <c r="B568" s="35">
        <v>4.2809954115441309E-4</v>
      </c>
      <c r="C568" s="232">
        <v>54.86</v>
      </c>
      <c r="D568" s="35">
        <v>5.0604885498479044</v>
      </c>
      <c r="E568" s="232">
        <v>34.54</v>
      </c>
      <c r="F568" s="35">
        <v>5.0506204300626925</v>
      </c>
      <c r="G568" s="232">
        <v>10542.55</v>
      </c>
      <c r="H568" s="35">
        <v>8.8843154462067684</v>
      </c>
      <c r="I568" s="232">
        <v>12571.69</v>
      </c>
      <c r="J568" s="35">
        <v>7.7791659201650027</v>
      </c>
      <c r="K568" s="232">
        <v>10781.79</v>
      </c>
      <c r="L568" s="35">
        <v>8.5988204291934984</v>
      </c>
      <c r="M568" s="232">
        <v>36700.379999999997</v>
      </c>
      <c r="N568" s="35">
        <v>7.5440228190105403</v>
      </c>
      <c r="P568" s="232">
        <v>-20.329999999999998</v>
      </c>
      <c r="Q568" s="35">
        <v>9.8681197852119595E-3</v>
      </c>
      <c r="R568" s="232">
        <v>2029.14</v>
      </c>
      <c r="S568" s="35">
        <v>1.1051495260417656</v>
      </c>
      <c r="T568" s="232">
        <v>25918.59</v>
      </c>
      <c r="U568" s="35">
        <v>1.0547976101829581</v>
      </c>
      <c r="W568" s="35">
        <f t="shared" si="55"/>
        <v>513.73598926059799</v>
      </c>
      <c r="X568" s="35">
        <f t="shared" si="56"/>
        <v>53228.336302088283</v>
      </c>
      <c r="Y568" s="35">
        <f t="shared" si="57"/>
        <v>26821.290509147908</v>
      </c>
      <c r="Z568" s="35">
        <f t="shared" si="58"/>
        <v>0</v>
      </c>
      <c r="AA568" s="35">
        <f t="shared" si="59"/>
        <v>1</v>
      </c>
      <c r="AB568" s="35">
        <f t="shared" si="60"/>
        <v>0</v>
      </c>
    </row>
    <row r="569" spans="1:28">
      <c r="A569" s="35">
        <v>558</v>
      </c>
      <c r="B569" s="35">
        <v>6.2917274046003779E-4</v>
      </c>
      <c r="C569" s="232">
        <v>86.92</v>
      </c>
      <c r="D569" s="35">
        <v>5.0725215738924554</v>
      </c>
      <c r="E569" s="232">
        <v>49.97</v>
      </c>
      <c r="F569" s="35">
        <v>5.0563514208919873</v>
      </c>
      <c r="G569" s="232">
        <v>11865.78</v>
      </c>
      <c r="H569" s="35">
        <v>9.165547230857511</v>
      </c>
      <c r="I569" s="232">
        <v>14395.36</v>
      </c>
      <c r="J569" s="35">
        <v>7.4996632465209254</v>
      </c>
      <c r="K569" s="232">
        <v>11406.06</v>
      </c>
      <c r="L569" s="35">
        <v>8.6956133838989551</v>
      </c>
      <c r="M569" s="232">
        <v>37302.269999999997</v>
      </c>
      <c r="N569" s="35">
        <v>7.6537778499630535</v>
      </c>
      <c r="P569" s="232">
        <v>-36.950000000000003</v>
      </c>
      <c r="Q569" s="35">
        <v>1.617015300046809E-2</v>
      </c>
      <c r="R569" s="232">
        <v>2529.58</v>
      </c>
      <c r="S569" s="35">
        <v>1.6658839843365856</v>
      </c>
      <c r="T569" s="232">
        <v>25896.2</v>
      </c>
      <c r="U569" s="35">
        <v>1.0418355339359016</v>
      </c>
      <c r="W569" s="35">
        <f t="shared" si="55"/>
        <v>845.45765002340454</v>
      </c>
      <c r="X569" s="35">
        <f t="shared" si="56"/>
        <v>80764.619216829276</v>
      </c>
      <c r="Y569" s="35">
        <f t="shared" si="57"/>
        <v>26195.57669679508</v>
      </c>
      <c r="Z569" s="35">
        <f t="shared" si="58"/>
        <v>0</v>
      </c>
      <c r="AA569" s="35">
        <f t="shared" si="59"/>
        <v>1</v>
      </c>
      <c r="AB569" s="35">
        <f t="shared" si="60"/>
        <v>0</v>
      </c>
    </row>
    <row r="570" spans="1:28">
      <c r="A570" s="35">
        <v>559</v>
      </c>
      <c r="B570" s="35">
        <v>3.649282511065019E-4</v>
      </c>
      <c r="C570" s="232">
        <v>46.56</v>
      </c>
      <c r="D570" s="35">
        <v>5.0573117948374868</v>
      </c>
      <c r="E570" s="232">
        <v>31.32</v>
      </c>
      <c r="F570" s="35">
        <v>5.0494376320597523</v>
      </c>
      <c r="G570" s="232">
        <v>10055.94</v>
      </c>
      <c r="H570" s="35">
        <v>8.8182423331929893</v>
      </c>
      <c r="I570" s="232">
        <v>11362.35</v>
      </c>
      <c r="J570" s="35">
        <v>7.6512837807495604</v>
      </c>
      <c r="K570" s="232">
        <v>13039.91</v>
      </c>
      <c r="L570" s="35">
        <v>8.7293634183810589</v>
      </c>
      <c r="M570" s="232">
        <v>39186.97</v>
      </c>
      <c r="N570" s="35">
        <v>7.6264193388662678</v>
      </c>
      <c r="P570" s="232">
        <v>-15.25</v>
      </c>
      <c r="Q570" s="35">
        <v>7.8741627777345613E-3</v>
      </c>
      <c r="R570" s="232">
        <v>1306.4100000000001</v>
      </c>
      <c r="S570" s="35">
        <v>1.1669585524434289</v>
      </c>
      <c r="T570" s="232">
        <v>26147.07</v>
      </c>
      <c r="U570" s="35">
        <v>1.1029440795147911</v>
      </c>
      <c r="W570" s="35">
        <f t="shared" si="55"/>
        <v>408.95813888672808</v>
      </c>
      <c r="X570" s="35">
        <f t="shared" si="56"/>
        <v>57041.517622171443</v>
      </c>
      <c r="Y570" s="35">
        <f t="shared" si="57"/>
        <v>29000.133975739554</v>
      </c>
      <c r="Z570" s="35">
        <f t="shared" si="58"/>
        <v>0</v>
      </c>
      <c r="AA570" s="35">
        <f t="shared" si="59"/>
        <v>1</v>
      </c>
      <c r="AB570" s="35">
        <f t="shared" si="60"/>
        <v>0</v>
      </c>
    </row>
    <row r="571" spans="1:28">
      <c r="A571" s="35">
        <v>560</v>
      </c>
      <c r="B571" s="35">
        <v>4.2721988474139576E-4</v>
      </c>
      <c r="C571" s="232">
        <v>53.01</v>
      </c>
      <c r="D571" s="35">
        <v>5.0602097912455903</v>
      </c>
      <c r="E571" s="232">
        <v>33.39</v>
      </c>
      <c r="F571" s="35">
        <v>5.0504203797101148</v>
      </c>
      <c r="G571" s="232">
        <v>9797.9699999999993</v>
      </c>
      <c r="H571" s="35">
        <v>8.817392552759129</v>
      </c>
      <c r="I571" s="232">
        <v>11383.6</v>
      </c>
      <c r="J571" s="35">
        <v>7.8097401784406824</v>
      </c>
      <c r="K571" s="232">
        <v>11419.39</v>
      </c>
      <c r="L571" s="35">
        <v>8.544790647998445</v>
      </c>
      <c r="M571" s="232">
        <v>37341.629999999997</v>
      </c>
      <c r="N571" s="35">
        <v>7.4560584415381568</v>
      </c>
      <c r="P571" s="232">
        <v>-19.62</v>
      </c>
      <c r="Q571" s="35">
        <v>9.7894115354755229E-3</v>
      </c>
      <c r="R571" s="232">
        <v>1585.64</v>
      </c>
      <c r="S571" s="35">
        <v>1.0076523743184467</v>
      </c>
      <c r="T571" s="232">
        <v>25922.23</v>
      </c>
      <c r="U571" s="35">
        <v>1.0887322064602882</v>
      </c>
      <c r="W571" s="35">
        <f t="shared" si="55"/>
        <v>509.09057677377615</v>
      </c>
      <c r="X571" s="35">
        <f t="shared" si="56"/>
        <v>48796.978715922334</v>
      </c>
      <c r="Y571" s="35">
        <f t="shared" si="57"/>
        <v>28514.380323014415</v>
      </c>
      <c r="Z571" s="35">
        <f t="shared" si="58"/>
        <v>0</v>
      </c>
      <c r="AA571" s="35">
        <f t="shared" si="59"/>
        <v>1</v>
      </c>
      <c r="AB571" s="35">
        <f t="shared" si="60"/>
        <v>0</v>
      </c>
    </row>
    <row r="572" spans="1:28">
      <c r="A572" s="35">
        <v>561</v>
      </c>
      <c r="B572" s="35">
        <v>3.2662466809623488E-4</v>
      </c>
      <c r="C572" s="232">
        <v>53.51</v>
      </c>
      <c r="D572" s="35">
        <v>5.055181702896494</v>
      </c>
      <c r="E572" s="232">
        <v>32.14</v>
      </c>
      <c r="F572" s="35">
        <v>5.0471070298470613</v>
      </c>
      <c r="G572" s="232">
        <v>12464</v>
      </c>
      <c r="H572" s="35">
        <v>8.8496038768254301</v>
      </c>
      <c r="I572" s="232">
        <v>13488.36</v>
      </c>
      <c r="J572" s="35">
        <v>7.8590621175821811</v>
      </c>
      <c r="K572" s="232">
        <v>15575.74</v>
      </c>
      <c r="L572" s="35">
        <v>8.6440758020057871</v>
      </c>
      <c r="M572" s="232">
        <v>41653.03</v>
      </c>
      <c r="N572" s="35">
        <v>7.5337880043326306</v>
      </c>
      <c r="P572" s="232">
        <v>-21.37</v>
      </c>
      <c r="Q572" s="35">
        <v>8.0746730494327679E-3</v>
      </c>
      <c r="R572" s="232">
        <v>1024.3699999999999</v>
      </c>
      <c r="S572" s="35">
        <v>0.99054175924324905</v>
      </c>
      <c r="T572" s="232">
        <v>26077.29</v>
      </c>
      <c r="U572" s="35">
        <v>1.1102877976731564</v>
      </c>
      <c r="W572" s="35">
        <f t="shared" si="55"/>
        <v>425.10365247163838</v>
      </c>
      <c r="X572" s="35">
        <f t="shared" si="56"/>
        <v>48502.717962162453</v>
      </c>
      <c r="Y572" s="35">
        <f t="shared" si="57"/>
        <v>29437.099883657822</v>
      </c>
      <c r="Z572" s="35">
        <f t="shared" si="58"/>
        <v>0</v>
      </c>
      <c r="AA572" s="35">
        <f t="shared" si="59"/>
        <v>1</v>
      </c>
      <c r="AB572" s="35">
        <f t="shared" si="60"/>
        <v>0</v>
      </c>
    </row>
    <row r="573" spans="1:28">
      <c r="A573" s="35">
        <v>562</v>
      </c>
      <c r="B573" s="35">
        <v>5.121373813717911E-4</v>
      </c>
      <c r="C573" s="232">
        <v>63.9</v>
      </c>
      <c r="D573" s="35">
        <v>5.0658388755087573</v>
      </c>
      <c r="E573" s="232">
        <v>38.1</v>
      </c>
      <c r="F573" s="35">
        <v>5.0529653431736339</v>
      </c>
      <c r="G573" s="232">
        <v>9793.8799999999992</v>
      </c>
      <c r="H573" s="35">
        <v>8.9350546961946939</v>
      </c>
      <c r="I573" s="232">
        <v>10634.42</v>
      </c>
      <c r="J573" s="35">
        <v>6.816422760905394</v>
      </c>
      <c r="K573" s="232">
        <v>11560.56</v>
      </c>
      <c r="L573" s="35">
        <v>8.9877471686577053</v>
      </c>
      <c r="M573" s="232">
        <v>37544.29</v>
      </c>
      <c r="N573" s="35">
        <v>7.9118583740806523</v>
      </c>
      <c r="P573" s="232">
        <v>-25.8</v>
      </c>
      <c r="Q573" s="35">
        <v>1.287353233512345E-2</v>
      </c>
      <c r="R573" s="232">
        <v>840.54</v>
      </c>
      <c r="S573" s="35">
        <v>2.1186319352892999</v>
      </c>
      <c r="T573" s="232">
        <v>25983.73</v>
      </c>
      <c r="U573" s="35">
        <v>1.075888794577053</v>
      </c>
      <c r="W573" s="35">
        <f t="shared" si="55"/>
        <v>669.47661675617246</v>
      </c>
      <c r="X573" s="35">
        <f t="shared" si="56"/>
        <v>105091.056764465</v>
      </c>
      <c r="Y573" s="35">
        <f t="shared" si="57"/>
        <v>27810.709728852653</v>
      </c>
      <c r="Z573" s="35">
        <f t="shared" si="58"/>
        <v>0</v>
      </c>
      <c r="AA573" s="35">
        <f t="shared" si="59"/>
        <v>1</v>
      </c>
      <c r="AB573" s="35">
        <f t="shared" si="60"/>
        <v>0</v>
      </c>
    </row>
    <row r="574" spans="1:28">
      <c r="A574" s="35">
        <v>563</v>
      </c>
      <c r="B574" s="35">
        <v>5.139866102480406E-4</v>
      </c>
      <c r="C574" s="232">
        <v>77.510000000000005</v>
      </c>
      <c r="D574" s="35">
        <v>5.0646159383764742</v>
      </c>
      <c r="E574" s="232">
        <v>49.5</v>
      </c>
      <c r="F574" s="35">
        <v>5.0537077430074628</v>
      </c>
      <c r="G574" s="232">
        <v>12367</v>
      </c>
      <c r="H574" s="35">
        <v>8.764426096227254</v>
      </c>
      <c r="I574" s="232">
        <v>13956.67</v>
      </c>
      <c r="J574" s="35">
        <v>7.1957017156109107</v>
      </c>
      <c r="K574" s="232">
        <v>13624.51</v>
      </c>
      <c r="L574" s="35">
        <v>8.5795045940186121</v>
      </c>
      <c r="M574" s="232">
        <v>39419.629999999997</v>
      </c>
      <c r="N574" s="35">
        <v>7.5696588966566871</v>
      </c>
      <c r="P574" s="232">
        <v>-28.01</v>
      </c>
      <c r="Q574" s="35">
        <v>1.0908195369011331E-2</v>
      </c>
      <c r="R574" s="232">
        <v>1589.67</v>
      </c>
      <c r="S574" s="35">
        <v>1.5687243806163433</v>
      </c>
      <c r="T574" s="232">
        <v>25795.119999999999</v>
      </c>
      <c r="U574" s="35">
        <v>1.009845697361925</v>
      </c>
      <c r="W574" s="35">
        <f t="shared" si="55"/>
        <v>573.41976845056649</v>
      </c>
      <c r="X574" s="35">
        <f t="shared" si="56"/>
        <v>76846.549030817172</v>
      </c>
      <c r="Y574" s="35">
        <f t="shared" si="57"/>
        <v>24697.16486809625</v>
      </c>
      <c r="Z574" s="35">
        <f t="shared" si="58"/>
        <v>0</v>
      </c>
      <c r="AA574" s="35">
        <f t="shared" si="59"/>
        <v>1</v>
      </c>
      <c r="AB574" s="35">
        <f t="shared" si="60"/>
        <v>0</v>
      </c>
    </row>
    <row r="575" spans="1:28">
      <c r="A575" s="35">
        <v>564</v>
      </c>
      <c r="B575" s="35">
        <v>5.0321416329868196E-4</v>
      </c>
      <c r="C575" s="232">
        <v>88.95</v>
      </c>
      <c r="D575" s="35">
        <v>5.0636248800503108</v>
      </c>
      <c r="E575" s="232">
        <v>49.07</v>
      </c>
      <c r="F575" s="35">
        <v>5.0510412606541859</v>
      </c>
      <c r="G575" s="232">
        <v>13192.45</v>
      </c>
      <c r="H575" s="35">
        <v>8.5747736825867946</v>
      </c>
      <c r="I575" s="232">
        <v>12849.13</v>
      </c>
      <c r="J575" s="35">
        <v>7.2553674829938046</v>
      </c>
      <c r="K575" s="232">
        <v>20355.66</v>
      </c>
      <c r="L575" s="35">
        <v>8.7825169800793788</v>
      </c>
      <c r="M575" s="232">
        <v>46680.63</v>
      </c>
      <c r="N575" s="35">
        <v>7.7455267461746393</v>
      </c>
      <c r="P575" s="232">
        <v>-39.880000000000003</v>
      </c>
      <c r="Q575" s="35">
        <v>1.2583619396124845E-2</v>
      </c>
      <c r="R575" s="232">
        <v>-343.31</v>
      </c>
      <c r="S575" s="35">
        <v>1.31940619959299</v>
      </c>
      <c r="T575" s="232">
        <v>26324.97</v>
      </c>
      <c r="U575" s="35">
        <v>1.0369902339047394</v>
      </c>
      <c r="W575" s="35">
        <f t="shared" si="55"/>
        <v>669.06096980624227</v>
      </c>
      <c r="X575" s="35">
        <f t="shared" si="56"/>
        <v>66313.619979649491</v>
      </c>
      <c r="Y575" s="35">
        <f t="shared" si="57"/>
        <v>25524.541695236971</v>
      </c>
      <c r="Z575" s="35">
        <f t="shared" si="58"/>
        <v>0</v>
      </c>
      <c r="AA575" s="35">
        <f t="shared" si="59"/>
        <v>1</v>
      </c>
      <c r="AB575" s="35">
        <f t="shared" si="60"/>
        <v>0</v>
      </c>
    </row>
    <row r="576" spans="1:28">
      <c r="A576" s="35">
        <v>565</v>
      </c>
      <c r="B576" s="35">
        <v>5.6635413237471344E-4</v>
      </c>
      <c r="C576" s="232">
        <v>96.96</v>
      </c>
      <c r="D576" s="35">
        <v>5.0697277662729991</v>
      </c>
      <c r="E576" s="232">
        <v>54.29</v>
      </c>
      <c r="F576" s="35">
        <v>5.0545277573090788</v>
      </c>
      <c r="G576" s="232">
        <v>13035.09</v>
      </c>
      <c r="H576" s="35">
        <v>9.184231290738861</v>
      </c>
      <c r="I576" s="232">
        <v>12111.05</v>
      </c>
      <c r="J576" s="35">
        <v>7.4474009866077839</v>
      </c>
      <c r="K576" s="232">
        <v>19434.330000000002</v>
      </c>
      <c r="L576" s="35">
        <v>8.9859972303678415</v>
      </c>
      <c r="M576" s="232">
        <v>45638.44</v>
      </c>
      <c r="N576" s="35">
        <v>7.9313778206797831</v>
      </c>
      <c r="P576" s="232">
        <v>-42.67</v>
      </c>
      <c r="Q576" s="35">
        <v>1.5200008963920375E-2</v>
      </c>
      <c r="R576" s="232">
        <v>-924.04</v>
      </c>
      <c r="S576" s="35">
        <v>1.7368303041310771</v>
      </c>
      <c r="T576" s="232">
        <v>26204.12</v>
      </c>
      <c r="U576" s="35">
        <v>1.0546194096880583</v>
      </c>
      <c r="W576" s="35">
        <f t="shared" si="55"/>
        <v>802.6704481960187</v>
      </c>
      <c r="X576" s="35">
        <f t="shared" si="56"/>
        <v>87765.55520655385</v>
      </c>
      <c r="Y576" s="35">
        <f t="shared" si="57"/>
        <v>26526.850484402919</v>
      </c>
      <c r="Z576" s="35">
        <f t="shared" si="58"/>
        <v>0</v>
      </c>
      <c r="AA576" s="35">
        <f t="shared" si="59"/>
        <v>1</v>
      </c>
      <c r="AB576" s="35">
        <f t="shared" si="60"/>
        <v>0</v>
      </c>
    </row>
    <row r="577" spans="1:28">
      <c r="A577" s="35">
        <v>566</v>
      </c>
      <c r="B577" s="35">
        <v>3.7321901736621219E-4</v>
      </c>
      <c r="C577" s="232">
        <v>49.04</v>
      </c>
      <c r="D577" s="35">
        <v>5.0581846149821006</v>
      </c>
      <c r="E577" s="232">
        <v>29.06</v>
      </c>
      <c r="F577" s="35">
        <v>5.0484158421175103</v>
      </c>
      <c r="G577" s="232">
        <v>9755.44</v>
      </c>
      <c r="H577" s="35">
        <v>9.0303181075009089</v>
      </c>
      <c r="I577" s="232">
        <v>11352.13</v>
      </c>
      <c r="J577" s="35">
        <v>8.3802536731005048</v>
      </c>
      <c r="K577" s="232">
        <v>11239.28</v>
      </c>
      <c r="L577" s="35">
        <v>8.7652182089245958</v>
      </c>
      <c r="M577" s="232">
        <v>37017.07</v>
      </c>
      <c r="N577" s="35">
        <v>7.635694706475312</v>
      </c>
      <c r="P577" s="232">
        <v>-19.98</v>
      </c>
      <c r="Q577" s="35">
        <v>9.7687728645903249E-3</v>
      </c>
      <c r="R577" s="232">
        <v>1596.69</v>
      </c>
      <c r="S577" s="35">
        <v>0.65006443440040407</v>
      </c>
      <c r="T577" s="232">
        <v>25777.79</v>
      </c>
      <c r="U577" s="35">
        <v>1.1295235024492838</v>
      </c>
      <c r="W577" s="35">
        <f t="shared" si="55"/>
        <v>508.41864322951625</v>
      </c>
      <c r="X577" s="35">
        <f t="shared" si="56"/>
        <v>30906.531720020204</v>
      </c>
      <c r="Y577" s="35">
        <f t="shared" si="57"/>
        <v>30698.385122464191</v>
      </c>
      <c r="Z577" s="35">
        <f t="shared" si="58"/>
        <v>0</v>
      </c>
      <c r="AA577" s="35">
        <f t="shared" si="59"/>
        <v>1</v>
      </c>
      <c r="AB577" s="35">
        <f t="shared" si="60"/>
        <v>0</v>
      </c>
    </row>
    <row r="578" spans="1:28">
      <c r="A578" s="35">
        <v>567</v>
      </c>
      <c r="B578" s="35">
        <v>5.263577422628396E-4</v>
      </c>
      <c r="C578" s="232">
        <v>88.25</v>
      </c>
      <c r="D578" s="35">
        <v>5.0659878454565632</v>
      </c>
      <c r="E578" s="232">
        <v>46.49</v>
      </c>
      <c r="F578" s="35">
        <v>5.0515411710953853</v>
      </c>
      <c r="G578" s="232">
        <v>12980.82</v>
      </c>
      <c r="H578" s="35">
        <v>9.0811704246047249</v>
      </c>
      <c r="I578" s="232">
        <v>13467.91</v>
      </c>
      <c r="J578" s="35">
        <v>8.0621881523872609</v>
      </c>
      <c r="K578" s="232">
        <v>18375.27</v>
      </c>
      <c r="L578" s="35">
        <v>8.5024284588677386</v>
      </c>
      <c r="M578" s="232">
        <v>44673.17</v>
      </c>
      <c r="N578" s="35">
        <v>7.3779902417430474</v>
      </c>
      <c r="P578" s="232">
        <v>-41.76</v>
      </c>
      <c r="Q578" s="35">
        <v>1.4446674361177969E-2</v>
      </c>
      <c r="R578" s="232">
        <v>487.08</v>
      </c>
      <c r="S578" s="35">
        <v>1.018982272217464</v>
      </c>
      <c r="T578" s="232">
        <v>26297.89</v>
      </c>
      <c r="U578" s="35">
        <v>1.1244382171246912</v>
      </c>
      <c r="W578" s="35">
        <f t="shared" si="55"/>
        <v>764.0937180588985</v>
      </c>
      <c r="X578" s="35">
        <f t="shared" si="56"/>
        <v>50462.033610873194</v>
      </c>
      <c r="Y578" s="35">
        <f t="shared" si="57"/>
        <v>29924.020856234558</v>
      </c>
      <c r="Z578" s="35">
        <f t="shared" si="58"/>
        <v>0</v>
      </c>
      <c r="AA578" s="35">
        <f t="shared" si="59"/>
        <v>1</v>
      </c>
      <c r="AB578" s="35">
        <f t="shared" si="60"/>
        <v>0</v>
      </c>
    </row>
    <row r="579" spans="1:28">
      <c r="A579" s="35">
        <v>568</v>
      </c>
      <c r="B579" s="35">
        <v>5.0331273966253143E-4</v>
      </c>
      <c r="C579" s="232">
        <v>91.68</v>
      </c>
      <c r="D579" s="35">
        <v>5.0651208230127276</v>
      </c>
      <c r="E579" s="232">
        <v>60.16</v>
      </c>
      <c r="F579" s="35">
        <v>5.0546805152751615</v>
      </c>
      <c r="G579" s="232">
        <v>14153.45</v>
      </c>
      <c r="H579" s="35">
        <v>8.9490339046230254</v>
      </c>
      <c r="I579" s="232">
        <v>14585.13</v>
      </c>
      <c r="J579" s="35">
        <v>7.1484025858528355</v>
      </c>
      <c r="K579" s="232">
        <v>16833.29</v>
      </c>
      <c r="L579" s="35">
        <v>8.7284735908619613</v>
      </c>
      <c r="M579" s="232">
        <v>43132.05</v>
      </c>
      <c r="N579" s="35">
        <v>7.6627044011349046</v>
      </c>
      <c r="P579" s="232">
        <v>-31.53</v>
      </c>
      <c r="Q579" s="35">
        <v>1.0440307737566101E-2</v>
      </c>
      <c r="R579" s="232">
        <v>431.68</v>
      </c>
      <c r="S579" s="35">
        <v>1.8006313187701899</v>
      </c>
      <c r="T579" s="232">
        <v>26298.76</v>
      </c>
      <c r="U579" s="35">
        <v>1.0657691897270567</v>
      </c>
      <c r="W579" s="35">
        <f t="shared" si="55"/>
        <v>553.54538687830507</v>
      </c>
      <c r="X579" s="35">
        <f t="shared" si="56"/>
        <v>89599.885938509498</v>
      </c>
      <c r="Y579" s="35">
        <f t="shared" si="57"/>
        <v>26989.699486352834</v>
      </c>
      <c r="Z579" s="35">
        <f t="shared" si="58"/>
        <v>0</v>
      </c>
      <c r="AA579" s="35">
        <f t="shared" si="59"/>
        <v>1</v>
      </c>
      <c r="AB579" s="35">
        <f t="shared" si="60"/>
        <v>0</v>
      </c>
    </row>
    <row r="580" spans="1:28">
      <c r="A580" s="35">
        <v>569</v>
      </c>
      <c r="B580" s="35">
        <v>4.9830024948860352E-4</v>
      </c>
      <c r="C580" s="232">
        <v>78.13</v>
      </c>
      <c r="D580" s="35">
        <v>5.063556276530738</v>
      </c>
      <c r="E580" s="232">
        <v>42.94</v>
      </c>
      <c r="F580" s="35">
        <v>5.0508087941767625</v>
      </c>
      <c r="G580" s="232">
        <v>12947.61</v>
      </c>
      <c r="H580" s="35">
        <v>8.7922978726637506</v>
      </c>
      <c r="I580" s="232">
        <v>14457.54</v>
      </c>
      <c r="J580" s="35">
        <v>7.4596006972464943</v>
      </c>
      <c r="K580" s="232">
        <v>14855.5</v>
      </c>
      <c r="L580" s="35">
        <v>8.4949819960849418</v>
      </c>
      <c r="M580" s="232">
        <v>40831.480000000003</v>
      </c>
      <c r="N580" s="35">
        <v>7.4249858548152856</v>
      </c>
      <c r="P580" s="232">
        <v>-35.18</v>
      </c>
      <c r="Q580" s="35">
        <v>1.2747482353975492E-2</v>
      </c>
      <c r="R580" s="232">
        <v>1509.93</v>
      </c>
      <c r="S580" s="35">
        <v>1.3326971754172563</v>
      </c>
      <c r="T580" s="232">
        <v>25975.99</v>
      </c>
      <c r="U580" s="35">
        <v>1.0699961412696561</v>
      </c>
      <c r="W580" s="35">
        <f t="shared" si="55"/>
        <v>672.55411769877458</v>
      </c>
      <c r="X580" s="35">
        <f t="shared" si="56"/>
        <v>65124.928770862818</v>
      </c>
      <c r="Y580" s="35">
        <f t="shared" si="57"/>
        <v>27523.817063482802</v>
      </c>
      <c r="Z580" s="35">
        <f t="shared" si="58"/>
        <v>0</v>
      </c>
      <c r="AA580" s="35">
        <f t="shared" si="59"/>
        <v>1</v>
      </c>
      <c r="AB580" s="35">
        <f t="shared" si="60"/>
        <v>0</v>
      </c>
    </row>
    <row r="581" spans="1:28">
      <c r="A581" s="35">
        <v>570</v>
      </c>
      <c r="B581" s="35">
        <v>3.8668239355804673E-4</v>
      </c>
      <c r="C581" s="232">
        <v>45.71</v>
      </c>
      <c r="D581" s="35">
        <v>5.0582150878590202</v>
      </c>
      <c r="E581" s="232">
        <v>24.83</v>
      </c>
      <c r="F581" s="35">
        <v>5.0473164293880659</v>
      </c>
      <c r="G581" s="232">
        <v>9825.2900000000009</v>
      </c>
      <c r="H581" s="35">
        <v>8.8731160657831101</v>
      </c>
      <c r="I581" s="232">
        <v>11724.69</v>
      </c>
      <c r="J581" s="35">
        <v>8.0173338047678531</v>
      </c>
      <c r="K581" s="232">
        <v>11346.45</v>
      </c>
      <c r="L581" s="35">
        <v>8.6688274096911524</v>
      </c>
      <c r="M581" s="232">
        <v>37369.68</v>
      </c>
      <c r="N581" s="35">
        <v>7.5393797567071807</v>
      </c>
      <c r="P581" s="232">
        <v>-20.89</v>
      </c>
      <c r="Q581" s="35">
        <v>1.0898658470954281E-2</v>
      </c>
      <c r="R581" s="232">
        <v>1899.4</v>
      </c>
      <c r="S581" s="35">
        <v>0.85578226101525701</v>
      </c>
      <c r="T581" s="232">
        <v>26023.23</v>
      </c>
      <c r="U581" s="35">
        <v>1.1294476529839717</v>
      </c>
      <c r="W581" s="35">
        <f t="shared" si="55"/>
        <v>565.82292354771403</v>
      </c>
      <c r="X581" s="35">
        <f t="shared" si="56"/>
        <v>40889.713050762846</v>
      </c>
      <c r="Y581" s="35">
        <f t="shared" si="57"/>
        <v>30449.152649198582</v>
      </c>
      <c r="Z581" s="35">
        <f t="shared" si="58"/>
        <v>0</v>
      </c>
      <c r="AA581" s="35">
        <f t="shared" si="59"/>
        <v>1</v>
      </c>
      <c r="AB581" s="35">
        <f t="shared" si="60"/>
        <v>0</v>
      </c>
    </row>
    <row r="582" spans="1:28">
      <c r="A582" s="35">
        <v>571</v>
      </c>
      <c r="B582" s="35">
        <v>4.4202749281008354E-4</v>
      </c>
      <c r="C582" s="232">
        <v>53.46</v>
      </c>
      <c r="D582" s="35">
        <v>5.0627506915731466</v>
      </c>
      <c r="E582" s="232">
        <v>30.43</v>
      </c>
      <c r="F582" s="35">
        <v>5.0503551541445031</v>
      </c>
      <c r="G582" s="232">
        <v>9486.48</v>
      </c>
      <c r="H582" s="35">
        <v>9.2713913296336656</v>
      </c>
      <c r="I582" s="232">
        <v>10988.79</v>
      </c>
      <c r="J582" s="35">
        <v>8.3828821652324716</v>
      </c>
      <c r="K582" s="232">
        <v>11890.9</v>
      </c>
      <c r="L582" s="35">
        <v>8.6892937530048844</v>
      </c>
      <c r="M582" s="232">
        <v>37799.85</v>
      </c>
      <c r="N582" s="35">
        <v>7.4730233764246625</v>
      </c>
      <c r="P582" s="232">
        <v>-23.03</v>
      </c>
      <c r="Q582" s="35">
        <v>1.2395537428643522E-2</v>
      </c>
      <c r="R582" s="232">
        <v>1502.31</v>
      </c>
      <c r="S582" s="35">
        <v>0.88850916440119398</v>
      </c>
      <c r="T582" s="232">
        <v>25908.95</v>
      </c>
      <c r="U582" s="35">
        <v>1.2162703765802219</v>
      </c>
      <c r="W582" s="35">
        <f t="shared" si="55"/>
        <v>642.80687143217608</v>
      </c>
      <c r="X582" s="35">
        <f t="shared" si="56"/>
        <v>42923.148220059702</v>
      </c>
      <c r="Y582" s="35">
        <f t="shared" si="57"/>
        <v>34904.568829011099</v>
      </c>
      <c r="Z582" s="35">
        <f t="shared" si="58"/>
        <v>0</v>
      </c>
      <c r="AA582" s="35">
        <f t="shared" si="59"/>
        <v>1</v>
      </c>
      <c r="AB582" s="35">
        <f t="shared" si="60"/>
        <v>0</v>
      </c>
    </row>
    <row r="583" spans="1:28">
      <c r="A583" s="35">
        <v>572</v>
      </c>
      <c r="B583" s="35">
        <v>3.5174185671935581E-4</v>
      </c>
      <c r="C583" s="232">
        <v>56.15</v>
      </c>
      <c r="D583" s="35">
        <v>5.055463413531049</v>
      </c>
      <c r="E583" s="232">
        <v>38.15</v>
      </c>
      <c r="F583" s="35">
        <v>5.0486976606074272</v>
      </c>
      <c r="G583" s="232">
        <v>12247.65</v>
      </c>
      <c r="H583" s="35">
        <v>8.3226190477314592</v>
      </c>
      <c r="I583" s="232">
        <v>12728.64</v>
      </c>
      <c r="J583" s="35">
        <v>6.4639444158818247</v>
      </c>
      <c r="K583" s="232">
        <v>15205.05</v>
      </c>
      <c r="L583" s="35">
        <v>8.6993945894906144</v>
      </c>
      <c r="M583" s="232">
        <v>41221.54</v>
      </c>
      <c r="N583" s="35">
        <v>7.6477751000700565</v>
      </c>
      <c r="P583" s="232">
        <v>-17.989999999999998</v>
      </c>
      <c r="Q583" s="35">
        <v>6.7657529236218039E-3</v>
      </c>
      <c r="R583" s="232">
        <v>480.99</v>
      </c>
      <c r="S583" s="35">
        <v>1.8586746318496346</v>
      </c>
      <c r="T583" s="232">
        <v>26016.49</v>
      </c>
      <c r="U583" s="35">
        <v>1.0516194894205579</v>
      </c>
      <c r="W583" s="35">
        <f t="shared" si="55"/>
        <v>356.27764618109018</v>
      </c>
      <c r="X583" s="35">
        <f t="shared" si="56"/>
        <v>92452.741592481718</v>
      </c>
      <c r="Y583" s="35">
        <f t="shared" si="57"/>
        <v>26564.484471027896</v>
      </c>
      <c r="Z583" s="35">
        <f t="shared" si="58"/>
        <v>0</v>
      </c>
      <c r="AA583" s="35">
        <f t="shared" si="59"/>
        <v>1</v>
      </c>
      <c r="AB583" s="35">
        <f t="shared" si="60"/>
        <v>0</v>
      </c>
    </row>
    <row r="584" spans="1:28">
      <c r="A584" s="35">
        <v>573</v>
      </c>
      <c r="B584" s="35">
        <v>3.8429952185866745E-4</v>
      </c>
      <c r="C584" s="232">
        <v>70.3</v>
      </c>
      <c r="D584" s="35">
        <v>5.0568933303286565</v>
      </c>
      <c r="E584" s="232">
        <v>43.91</v>
      </c>
      <c r="F584" s="35">
        <v>5.0487806463501101</v>
      </c>
      <c r="G584" s="232">
        <v>13776.22</v>
      </c>
      <c r="H584" s="35">
        <v>8.5805769430929502</v>
      </c>
      <c r="I584" s="232">
        <v>14322.59</v>
      </c>
      <c r="J584" s="35">
        <v>7.6195931601272289</v>
      </c>
      <c r="K584" s="232">
        <v>18546.849999999999</v>
      </c>
      <c r="L584" s="35">
        <v>8.2896574623189085</v>
      </c>
      <c r="M584" s="232">
        <v>44747.64</v>
      </c>
      <c r="N584" s="35">
        <v>7.2130660751461981</v>
      </c>
      <c r="P584" s="232">
        <v>-26.4</v>
      </c>
      <c r="Q584" s="35">
        <v>8.1126839785463645E-3</v>
      </c>
      <c r="R584" s="232">
        <v>546.37</v>
      </c>
      <c r="S584" s="35">
        <v>0.96098378296572129</v>
      </c>
      <c r="T584" s="232">
        <v>26200.79</v>
      </c>
      <c r="U584" s="35">
        <v>1.0765913871727104</v>
      </c>
      <c r="W584" s="35">
        <f t="shared" si="55"/>
        <v>432.03419892731819</v>
      </c>
      <c r="X584" s="35">
        <f t="shared" si="56"/>
        <v>47502.819148286064</v>
      </c>
      <c r="Y584" s="35">
        <f t="shared" si="57"/>
        <v>27628.779358635518</v>
      </c>
      <c r="Z584" s="35">
        <f t="shared" si="58"/>
        <v>0</v>
      </c>
      <c r="AA584" s="35">
        <f t="shared" si="59"/>
        <v>1</v>
      </c>
      <c r="AB584" s="35">
        <f t="shared" si="60"/>
        <v>0</v>
      </c>
    </row>
    <row r="585" spans="1:28">
      <c r="A585" s="35">
        <v>574</v>
      </c>
      <c r="B585" s="35">
        <v>3.439481222779386E-4</v>
      </c>
      <c r="C585" s="232">
        <v>54.44</v>
      </c>
      <c r="D585" s="35">
        <v>5.057896248376327</v>
      </c>
      <c r="E585" s="232">
        <v>37.69</v>
      </c>
      <c r="F585" s="35">
        <v>5.0504060862365323</v>
      </c>
      <c r="G585" s="232">
        <v>12964.4</v>
      </c>
      <c r="H585" s="35">
        <v>9.3405784478955205</v>
      </c>
      <c r="I585" s="232">
        <v>15028.2</v>
      </c>
      <c r="J585" s="35">
        <v>8.6597283650454742</v>
      </c>
      <c r="K585" s="232">
        <v>13797.79</v>
      </c>
      <c r="L585" s="35">
        <v>8.9626747464360612</v>
      </c>
      <c r="M585" s="232">
        <v>39871.440000000002</v>
      </c>
      <c r="N585" s="35">
        <v>7.8339518404699504</v>
      </c>
      <c r="P585" s="232">
        <v>-16.75</v>
      </c>
      <c r="Q585" s="35">
        <v>7.4901621397946982E-3</v>
      </c>
      <c r="R585" s="232">
        <v>2063.8000000000002</v>
      </c>
      <c r="S585" s="35">
        <v>0.68085008285004633</v>
      </c>
      <c r="T585" s="232">
        <v>26073.64</v>
      </c>
      <c r="U585" s="35">
        <v>1.1287229059661108</v>
      </c>
      <c r="W585" s="35">
        <f t="shared" si="55"/>
        <v>391.25810698973493</v>
      </c>
      <c r="X585" s="35">
        <f t="shared" si="56"/>
        <v>31978.704142502316</v>
      </c>
      <c r="Y585" s="35">
        <f t="shared" si="57"/>
        <v>30362.505298305543</v>
      </c>
      <c r="Z585" s="35">
        <f t="shared" si="58"/>
        <v>0</v>
      </c>
      <c r="AA585" s="35">
        <f t="shared" si="59"/>
        <v>1</v>
      </c>
      <c r="AB585" s="35">
        <f t="shared" si="60"/>
        <v>0</v>
      </c>
    </row>
    <row r="586" spans="1:28">
      <c r="A586" s="35">
        <v>575</v>
      </c>
      <c r="B586" s="35">
        <v>4.660271392001869E-4</v>
      </c>
      <c r="C586" s="232">
        <v>67.64</v>
      </c>
      <c r="D586" s="35">
        <v>5.065156676275822</v>
      </c>
      <c r="E586" s="232">
        <v>46.57</v>
      </c>
      <c r="F586" s="35">
        <v>5.0551995363682733</v>
      </c>
      <c r="G586" s="232">
        <v>11310.64</v>
      </c>
      <c r="H586" s="35">
        <v>9.4248385221095603</v>
      </c>
      <c r="I586" s="232">
        <v>11584.01</v>
      </c>
      <c r="J586" s="35">
        <v>7.2572323278158359</v>
      </c>
      <c r="K586" s="232">
        <v>13853.97</v>
      </c>
      <c r="L586" s="35">
        <v>8.8023590691335194</v>
      </c>
      <c r="M586" s="232">
        <v>40053.25</v>
      </c>
      <c r="N586" s="35">
        <v>7.6798093191929757</v>
      </c>
      <c r="P586" s="232">
        <v>-21.06</v>
      </c>
      <c r="Q586" s="35">
        <v>9.9571399075486511E-3</v>
      </c>
      <c r="R586" s="232">
        <v>273.37</v>
      </c>
      <c r="S586" s="35">
        <v>2.1676061942937244</v>
      </c>
      <c r="T586" s="232">
        <v>26199.279999999999</v>
      </c>
      <c r="U586" s="35">
        <v>1.1225497499405437</v>
      </c>
      <c r="W586" s="35">
        <f t="shared" si="55"/>
        <v>518.9169953774325</v>
      </c>
      <c r="X586" s="35">
        <f t="shared" si="56"/>
        <v>108106.93971468622</v>
      </c>
      <c r="Y586" s="35">
        <f t="shared" si="57"/>
        <v>29928.207497027186</v>
      </c>
      <c r="Z586" s="35">
        <f t="shared" si="58"/>
        <v>0</v>
      </c>
      <c r="AA586" s="35">
        <f t="shared" si="59"/>
        <v>1</v>
      </c>
      <c r="AB586" s="35">
        <f t="shared" si="60"/>
        <v>0</v>
      </c>
    </row>
    <row r="587" spans="1:28">
      <c r="A587" s="35">
        <v>576</v>
      </c>
      <c r="B587" s="35">
        <v>4.2328069389795727E-4</v>
      </c>
      <c r="C587" s="232">
        <v>66.739999999999995</v>
      </c>
      <c r="D587" s="35">
        <v>5.0591504866489814</v>
      </c>
      <c r="E587" s="232">
        <v>46.8</v>
      </c>
      <c r="F587" s="35">
        <v>5.0516430473627878</v>
      </c>
      <c r="G587" s="232">
        <v>11971.82</v>
      </c>
      <c r="H587" s="35">
        <v>8.4955140394180226</v>
      </c>
      <c r="I587" s="232">
        <v>13744.09</v>
      </c>
      <c r="J587" s="35">
        <v>8.0602306155663879</v>
      </c>
      <c r="K587" s="232">
        <v>15117.53</v>
      </c>
      <c r="L587" s="35">
        <v>8.4444743167119025</v>
      </c>
      <c r="M587" s="232">
        <v>41312.67</v>
      </c>
      <c r="N587" s="35">
        <v>7.3522537097366092</v>
      </c>
      <c r="P587" s="232">
        <v>-19.940000000000001</v>
      </c>
      <c r="Q587" s="35">
        <v>7.5074392861935735E-3</v>
      </c>
      <c r="R587" s="232">
        <v>1772.27</v>
      </c>
      <c r="S587" s="35">
        <v>0.43528342385163477</v>
      </c>
      <c r="T587" s="232">
        <v>26195.14</v>
      </c>
      <c r="U587" s="35">
        <v>1.0922206069752933</v>
      </c>
      <c r="W587" s="35">
        <f t="shared" si="55"/>
        <v>395.31196430967867</v>
      </c>
      <c r="X587" s="35">
        <f t="shared" si="56"/>
        <v>19991.901192581739</v>
      </c>
      <c r="Y587" s="35">
        <f t="shared" si="57"/>
        <v>28415.890348764668</v>
      </c>
      <c r="Z587" s="35">
        <f t="shared" si="58"/>
        <v>0</v>
      </c>
      <c r="AA587" s="35">
        <f t="shared" si="59"/>
        <v>0</v>
      </c>
      <c r="AB587" s="35">
        <f t="shared" si="60"/>
        <v>1</v>
      </c>
    </row>
    <row r="588" spans="1:28">
      <c r="A588" s="35">
        <v>577</v>
      </c>
      <c r="B588" s="35">
        <v>3.5635025962644932E-4</v>
      </c>
      <c r="C588" s="232">
        <v>55.95</v>
      </c>
      <c r="D588" s="35">
        <v>5.058446032032232</v>
      </c>
      <c r="E588" s="232">
        <v>37.46</v>
      </c>
      <c r="F588" s="35">
        <v>5.0503214366825793</v>
      </c>
      <c r="G588" s="232">
        <v>12449.78</v>
      </c>
      <c r="H588" s="35">
        <v>9.3610966839391114</v>
      </c>
      <c r="I588" s="232">
        <v>13554.95</v>
      </c>
      <c r="J588" s="35">
        <v>7.7894875115796722</v>
      </c>
      <c r="K588" s="232">
        <v>14356.08</v>
      </c>
      <c r="L588" s="35">
        <v>8.7981713190966442</v>
      </c>
      <c r="M588" s="232">
        <v>40426.46</v>
      </c>
      <c r="N588" s="35">
        <v>7.6323286384825941</v>
      </c>
      <c r="P588" s="232">
        <v>-18.48</v>
      </c>
      <c r="Q588" s="35">
        <v>8.1245953496527079E-3</v>
      </c>
      <c r="R588" s="232">
        <v>1105.17</v>
      </c>
      <c r="S588" s="35">
        <v>1.5716091723594392</v>
      </c>
      <c r="T588" s="232">
        <v>26070.37</v>
      </c>
      <c r="U588" s="35">
        <v>1.1658426806140501</v>
      </c>
      <c r="W588" s="35">
        <f t="shared" ref="W588:W651" si="61">$X$2*Q588-P588</f>
        <v>424.70976748263541</v>
      </c>
      <c r="X588" s="35">
        <f t="shared" ref="X588:X651" si="62">$X$2*S588-R588</f>
        <v>77475.288617971964</v>
      </c>
      <c r="Y588" s="35">
        <f t="shared" ref="Y588:Y651" si="63">$X$2*U588-T588</f>
        <v>32221.764030702503</v>
      </c>
      <c r="Z588" s="35">
        <f t="shared" ref="Z588:Z651" si="64">IF(W588=MAX($W588:$Y588), 1, 0)</f>
        <v>0</v>
      </c>
      <c r="AA588" s="35">
        <f t="shared" ref="AA588:AA651" si="65">IF(X588=MAX($W588:$Y588), 1, 0)</f>
        <v>1</v>
      </c>
      <c r="AB588" s="35">
        <f t="shared" ref="AB588:AB651" si="66">IF(Y588=MAX($W588:$Y588), 1, 0)</f>
        <v>0</v>
      </c>
    </row>
    <row r="589" spans="1:28">
      <c r="A589" s="35">
        <v>578</v>
      </c>
      <c r="B589" s="35">
        <v>3.0263948107192242E-4</v>
      </c>
      <c r="C589" s="232">
        <v>54.89</v>
      </c>
      <c r="D589" s="35">
        <v>5.053012611276178</v>
      </c>
      <c r="E589" s="232">
        <v>35.78</v>
      </c>
      <c r="F589" s="35">
        <v>5.0467523665306997</v>
      </c>
      <c r="G589" s="232">
        <v>13310.33</v>
      </c>
      <c r="H589" s="35">
        <v>8.3226076259499653</v>
      </c>
      <c r="I589" s="232">
        <v>13848.23</v>
      </c>
      <c r="J589" s="35">
        <v>7.2639205044131296</v>
      </c>
      <c r="K589" s="232">
        <v>18967.21</v>
      </c>
      <c r="L589" s="35">
        <v>8.6265308759356394</v>
      </c>
      <c r="M589" s="232">
        <v>45380.9</v>
      </c>
      <c r="N589" s="35">
        <v>7.4959988356190017</v>
      </c>
      <c r="P589" s="232">
        <v>-19.11</v>
      </c>
      <c r="Q589" s="35">
        <v>6.2602447454782606E-3</v>
      </c>
      <c r="R589" s="232">
        <v>537.91</v>
      </c>
      <c r="S589" s="35">
        <v>1.0586871215368356</v>
      </c>
      <c r="T589" s="232">
        <v>26413.69</v>
      </c>
      <c r="U589" s="35">
        <v>1.1305320403166377</v>
      </c>
      <c r="W589" s="35">
        <f t="shared" si="61"/>
        <v>332.12223727391302</v>
      </c>
      <c r="X589" s="35">
        <f t="shared" si="62"/>
        <v>52396.446076841778</v>
      </c>
      <c r="Y589" s="35">
        <f t="shared" si="63"/>
        <v>30112.912015831887</v>
      </c>
      <c r="Z589" s="35">
        <f t="shared" si="64"/>
        <v>0</v>
      </c>
      <c r="AA589" s="35">
        <f t="shared" si="65"/>
        <v>1</v>
      </c>
      <c r="AB589" s="35">
        <f t="shared" si="66"/>
        <v>0</v>
      </c>
    </row>
    <row r="590" spans="1:28">
      <c r="A590" s="35">
        <v>579</v>
      </c>
      <c r="B590" s="35">
        <v>5.8398220055455585E-4</v>
      </c>
      <c r="C590" s="232">
        <v>105.46</v>
      </c>
      <c r="D590" s="35">
        <v>5.0689301063972385</v>
      </c>
      <c r="E590" s="232">
        <v>58.61</v>
      </c>
      <c r="F590" s="35">
        <v>5.0540767951152539</v>
      </c>
      <c r="G590" s="232">
        <v>14247.45</v>
      </c>
      <c r="H590" s="35">
        <v>8.9834492118386642</v>
      </c>
      <c r="I590" s="232">
        <v>15165.48</v>
      </c>
      <c r="J590" s="35">
        <v>7.7465157190515574</v>
      </c>
      <c r="K590" s="232">
        <v>17042.59</v>
      </c>
      <c r="L590" s="35">
        <v>8.3934127095135072</v>
      </c>
      <c r="M590" s="232">
        <v>43207.06</v>
      </c>
      <c r="N590" s="35">
        <v>7.2505106472327494</v>
      </c>
      <c r="P590" s="232">
        <v>-46.84</v>
      </c>
      <c r="Q590" s="35">
        <v>1.4853311281984638E-2</v>
      </c>
      <c r="R590" s="232">
        <v>918.02</v>
      </c>
      <c r="S590" s="35">
        <v>1.2369334927871067</v>
      </c>
      <c r="T590" s="232">
        <v>26164.47</v>
      </c>
      <c r="U590" s="35">
        <v>1.1429020622807577</v>
      </c>
      <c r="W590" s="35">
        <f t="shared" si="61"/>
        <v>789.50556409923195</v>
      </c>
      <c r="X590" s="35">
        <f t="shared" si="62"/>
        <v>60928.654639355344</v>
      </c>
      <c r="Y590" s="35">
        <f t="shared" si="63"/>
        <v>30980.63311403789</v>
      </c>
      <c r="Z590" s="35">
        <f t="shared" si="64"/>
        <v>0</v>
      </c>
      <c r="AA590" s="35">
        <f t="shared" si="65"/>
        <v>1</v>
      </c>
      <c r="AB590" s="35">
        <f t="shared" si="66"/>
        <v>0</v>
      </c>
    </row>
    <row r="591" spans="1:28">
      <c r="A591" s="35">
        <v>580</v>
      </c>
      <c r="B591" s="35">
        <v>4.4749363745222315E-4</v>
      </c>
      <c r="C591" s="232">
        <v>56.47</v>
      </c>
      <c r="D591" s="35">
        <v>5.0619451778613715</v>
      </c>
      <c r="E591" s="232">
        <v>41.55</v>
      </c>
      <c r="F591" s="35">
        <v>5.0540388978787725</v>
      </c>
      <c r="G591" s="232">
        <v>9694.84</v>
      </c>
      <c r="H591" s="35">
        <v>8.6068481640337176</v>
      </c>
      <c r="I591" s="232">
        <v>10989.13</v>
      </c>
      <c r="J591" s="35">
        <v>7.1692997821291673</v>
      </c>
      <c r="K591" s="232">
        <v>12004.7</v>
      </c>
      <c r="L591" s="35">
        <v>8.8603911327518539</v>
      </c>
      <c r="M591" s="232">
        <v>38067.47</v>
      </c>
      <c r="N591" s="35">
        <v>7.6675054697423892</v>
      </c>
      <c r="P591" s="232">
        <v>-14.92</v>
      </c>
      <c r="Q591" s="35">
        <v>7.9062799825990737E-3</v>
      </c>
      <c r="R591" s="232">
        <v>1294.3</v>
      </c>
      <c r="S591" s="35">
        <v>1.4375483819045503</v>
      </c>
      <c r="T591" s="232">
        <v>26062.77</v>
      </c>
      <c r="U591" s="35">
        <v>1.1928856630094646</v>
      </c>
      <c r="W591" s="35">
        <f t="shared" si="61"/>
        <v>410.2339991299537</v>
      </c>
      <c r="X591" s="35">
        <f t="shared" si="62"/>
        <v>70583.119095227506</v>
      </c>
      <c r="Y591" s="35">
        <f t="shared" si="63"/>
        <v>33581.513150473227</v>
      </c>
      <c r="Z591" s="35">
        <f t="shared" si="64"/>
        <v>0</v>
      </c>
      <c r="AA591" s="35">
        <f t="shared" si="65"/>
        <v>1</v>
      </c>
      <c r="AB591" s="35">
        <f t="shared" si="66"/>
        <v>0</v>
      </c>
    </row>
    <row r="592" spans="1:28">
      <c r="A592" s="35">
        <v>581</v>
      </c>
      <c r="B592" s="35">
        <v>3.8456927900635353E-4</v>
      </c>
      <c r="C592" s="232">
        <v>60.67</v>
      </c>
      <c r="D592" s="35">
        <v>5.0569803792987491</v>
      </c>
      <c r="E592" s="232">
        <v>40.840000000000003</v>
      </c>
      <c r="F592" s="35">
        <v>5.0496007743565494</v>
      </c>
      <c r="G592" s="232">
        <v>11209.72</v>
      </c>
      <c r="H592" s="35">
        <v>8.2795837541466515</v>
      </c>
      <c r="I592" s="232">
        <v>11917.97</v>
      </c>
      <c r="J592" s="35">
        <v>7.4673231607881334</v>
      </c>
      <c r="K592" s="232">
        <v>18048.150000000001</v>
      </c>
      <c r="L592" s="35">
        <v>8.7061856918913811</v>
      </c>
      <c r="M592" s="232">
        <v>44268.93</v>
      </c>
      <c r="N592" s="35">
        <v>7.545684911332601</v>
      </c>
      <c r="P592" s="232">
        <v>-19.829999999999998</v>
      </c>
      <c r="Q592" s="35">
        <v>7.3796049421996912E-3</v>
      </c>
      <c r="R592" s="232">
        <v>708.24</v>
      </c>
      <c r="S592" s="35">
        <v>0.81226059335851808</v>
      </c>
      <c r="T592" s="232">
        <v>26220.77</v>
      </c>
      <c r="U592" s="35">
        <v>1.1605007805587801</v>
      </c>
      <c r="W592" s="35">
        <f t="shared" si="61"/>
        <v>388.81024710998457</v>
      </c>
      <c r="X592" s="35">
        <f t="shared" si="62"/>
        <v>39904.789667925907</v>
      </c>
      <c r="Y592" s="35">
        <f t="shared" si="63"/>
        <v>31804.269027939004</v>
      </c>
      <c r="Z592" s="35">
        <f t="shared" si="64"/>
        <v>0</v>
      </c>
      <c r="AA592" s="35">
        <f t="shared" si="65"/>
        <v>1</v>
      </c>
      <c r="AB592" s="35">
        <f t="shared" si="66"/>
        <v>0</v>
      </c>
    </row>
    <row r="593" spans="1:28">
      <c r="A593" s="35">
        <v>582</v>
      </c>
      <c r="B593" s="35">
        <v>4.6715894362348021E-4</v>
      </c>
      <c r="C593" s="232">
        <v>67.16</v>
      </c>
      <c r="D593" s="35">
        <v>5.0623014865656968</v>
      </c>
      <c r="E593" s="232">
        <v>41.54</v>
      </c>
      <c r="F593" s="35">
        <v>5.0516699915256407</v>
      </c>
      <c r="G593" s="232">
        <v>11489.77</v>
      </c>
      <c r="H593" s="35">
        <v>8.7024030384933901</v>
      </c>
      <c r="I593" s="232">
        <v>13014.25</v>
      </c>
      <c r="J593" s="35">
        <v>7.5208754219127183</v>
      </c>
      <c r="K593" s="232">
        <v>13423.77</v>
      </c>
      <c r="L593" s="35">
        <v>8.6502731586095845</v>
      </c>
      <c r="M593" s="232">
        <v>39500.14</v>
      </c>
      <c r="N593" s="35">
        <v>7.5608023251438992</v>
      </c>
      <c r="P593" s="232">
        <v>-25.62</v>
      </c>
      <c r="Q593" s="35">
        <v>1.0631495040056116E-2</v>
      </c>
      <c r="R593" s="232">
        <v>1524.47</v>
      </c>
      <c r="S593" s="35">
        <v>1.1815276165806718</v>
      </c>
      <c r="T593" s="232">
        <v>26076.37</v>
      </c>
      <c r="U593" s="35">
        <v>1.0894708334656853</v>
      </c>
      <c r="W593" s="35">
        <f t="shared" si="61"/>
        <v>557.19475200280579</v>
      </c>
      <c r="X593" s="35">
        <f t="shared" si="62"/>
        <v>57551.910829033593</v>
      </c>
      <c r="Y593" s="35">
        <f t="shared" si="63"/>
        <v>28397.171673284265</v>
      </c>
      <c r="Z593" s="35">
        <f t="shared" si="64"/>
        <v>0</v>
      </c>
      <c r="AA593" s="35">
        <f t="shared" si="65"/>
        <v>1</v>
      </c>
      <c r="AB593" s="35">
        <f t="shared" si="66"/>
        <v>0</v>
      </c>
    </row>
    <row r="594" spans="1:28">
      <c r="A594" s="35">
        <v>583</v>
      </c>
      <c r="B594" s="35">
        <v>4.223537961773165E-4</v>
      </c>
      <c r="C594" s="232">
        <v>75.7</v>
      </c>
      <c r="D594" s="35">
        <v>5.0608317926438646</v>
      </c>
      <c r="E594" s="232">
        <v>46.56</v>
      </c>
      <c r="F594" s="35">
        <v>5.0509025466210797</v>
      </c>
      <c r="G594" s="232">
        <v>14191.55</v>
      </c>
      <c r="H594" s="35">
        <v>8.972694972169446</v>
      </c>
      <c r="I594" s="232">
        <v>15165.1</v>
      </c>
      <c r="J594" s="35">
        <v>7.9346500837313725</v>
      </c>
      <c r="K594" s="232">
        <v>18846.89</v>
      </c>
      <c r="L594" s="35">
        <v>8.757048303170814</v>
      </c>
      <c r="M594" s="232">
        <v>45024.26</v>
      </c>
      <c r="N594" s="35">
        <v>7.643238233439166</v>
      </c>
      <c r="P594" s="232">
        <v>-29.14</v>
      </c>
      <c r="Q594" s="35">
        <v>9.9292460227848878E-3</v>
      </c>
      <c r="R594" s="232">
        <v>973.55</v>
      </c>
      <c r="S594" s="35">
        <v>1.0380448884380735</v>
      </c>
      <c r="T594" s="232">
        <v>26177.38</v>
      </c>
      <c r="U594" s="35">
        <v>1.113810069731648</v>
      </c>
      <c r="W594" s="35">
        <f t="shared" si="61"/>
        <v>525.60230113924445</v>
      </c>
      <c r="X594" s="35">
        <f t="shared" si="62"/>
        <v>50928.694421903674</v>
      </c>
      <c r="Y594" s="35">
        <f t="shared" si="63"/>
        <v>29513.123486582397</v>
      </c>
      <c r="Z594" s="35">
        <f t="shared" si="64"/>
        <v>0</v>
      </c>
      <c r="AA594" s="35">
        <f t="shared" si="65"/>
        <v>1</v>
      </c>
      <c r="AB594" s="35">
        <f t="shared" si="66"/>
        <v>0</v>
      </c>
    </row>
    <row r="595" spans="1:28">
      <c r="A595" s="35">
        <v>584</v>
      </c>
      <c r="B595" s="35">
        <v>3.9455738340381003E-4</v>
      </c>
      <c r="C595" s="232">
        <v>48.28</v>
      </c>
      <c r="D595" s="35">
        <v>5.0579370093159719</v>
      </c>
      <c r="E595" s="232">
        <v>28.85</v>
      </c>
      <c r="F595" s="35">
        <v>5.0483641183582249</v>
      </c>
      <c r="G595" s="232">
        <v>9797.58</v>
      </c>
      <c r="H595" s="35">
        <v>8.6510471558842568</v>
      </c>
      <c r="I595" s="232">
        <v>11779.8</v>
      </c>
      <c r="J595" s="35">
        <v>7.7250291959154413</v>
      </c>
      <c r="K595" s="232">
        <v>9518.93</v>
      </c>
      <c r="L595" s="35">
        <v>8.4672551935020639</v>
      </c>
      <c r="M595" s="232">
        <v>35298.85</v>
      </c>
      <c r="N595" s="35">
        <v>7.3666573230939916</v>
      </c>
      <c r="P595" s="232">
        <v>-19.43</v>
      </c>
      <c r="Q595" s="35">
        <v>9.5728909577470489E-3</v>
      </c>
      <c r="R595" s="232">
        <v>1982.22</v>
      </c>
      <c r="S595" s="35">
        <v>0.92601795996881542</v>
      </c>
      <c r="T595" s="232">
        <v>25779.919999999998</v>
      </c>
      <c r="U595" s="35">
        <v>1.1005978704080723</v>
      </c>
      <c r="W595" s="35">
        <f t="shared" si="61"/>
        <v>498.07454788735248</v>
      </c>
      <c r="X595" s="35">
        <f t="shared" si="62"/>
        <v>44318.677998440769</v>
      </c>
      <c r="Y595" s="35">
        <f t="shared" si="63"/>
        <v>29249.973520403619</v>
      </c>
      <c r="Z595" s="35">
        <f t="shared" si="64"/>
        <v>0</v>
      </c>
      <c r="AA595" s="35">
        <f t="shared" si="65"/>
        <v>1</v>
      </c>
      <c r="AB595" s="35">
        <f t="shared" si="66"/>
        <v>0</v>
      </c>
    </row>
    <row r="596" spans="1:28">
      <c r="A596" s="35">
        <v>585</v>
      </c>
      <c r="B596" s="35">
        <v>4.7991088100063362E-4</v>
      </c>
      <c r="C596" s="232">
        <v>50.68</v>
      </c>
      <c r="D596" s="35">
        <v>5.0628048205786058</v>
      </c>
      <c r="E596" s="232">
        <v>33.46</v>
      </c>
      <c r="F596" s="35">
        <v>5.0525498307328984</v>
      </c>
      <c r="G596" s="232">
        <v>8119.27</v>
      </c>
      <c r="H596" s="35">
        <v>8.7163410732583326</v>
      </c>
      <c r="I596" s="232">
        <v>9755.09</v>
      </c>
      <c r="J596" s="35">
        <v>7.0927113686559178</v>
      </c>
      <c r="K596" s="232">
        <v>7794.34</v>
      </c>
      <c r="L596" s="35">
        <v>8.4755887025499277</v>
      </c>
      <c r="M596" s="232">
        <v>33482.29</v>
      </c>
      <c r="N596" s="35">
        <v>7.3593061475429682</v>
      </c>
      <c r="P596" s="232">
        <v>-17.22</v>
      </c>
      <c r="Q596" s="35">
        <v>1.0254989845707385E-2</v>
      </c>
      <c r="R596" s="232">
        <v>1635.82</v>
      </c>
      <c r="S596" s="35">
        <v>1.6236297046024148</v>
      </c>
      <c r="T596" s="232">
        <v>25687.95</v>
      </c>
      <c r="U596" s="35">
        <v>1.1162825550069595</v>
      </c>
      <c r="W596" s="35">
        <f t="shared" si="61"/>
        <v>529.96949228536926</v>
      </c>
      <c r="X596" s="35">
        <f t="shared" si="62"/>
        <v>79545.665230120736</v>
      </c>
      <c r="Y596" s="35">
        <f t="shared" si="63"/>
        <v>30126.177750347972</v>
      </c>
      <c r="Z596" s="35">
        <f t="shared" si="64"/>
        <v>0</v>
      </c>
      <c r="AA596" s="35">
        <f t="shared" si="65"/>
        <v>1</v>
      </c>
      <c r="AB596" s="35">
        <f t="shared" si="66"/>
        <v>0</v>
      </c>
    </row>
    <row r="597" spans="1:28">
      <c r="A597" s="35">
        <v>586</v>
      </c>
      <c r="B597" s="35">
        <v>4.0231826783899646E-4</v>
      </c>
      <c r="C597" s="232">
        <v>49.91</v>
      </c>
      <c r="D597" s="35">
        <v>5.0585759661927865</v>
      </c>
      <c r="E597" s="232">
        <v>32.42</v>
      </c>
      <c r="F597" s="35">
        <v>5.0498244442887401</v>
      </c>
      <c r="G597" s="232">
        <v>10185.040000000001</v>
      </c>
      <c r="H597" s="35">
        <v>8.7736334366234185</v>
      </c>
      <c r="I597" s="232">
        <v>12223.13</v>
      </c>
      <c r="J597" s="35">
        <v>7.1379565460912842</v>
      </c>
      <c r="K597" s="232">
        <v>10127.469999999999</v>
      </c>
      <c r="L597" s="35">
        <v>8.3484619681584409</v>
      </c>
      <c r="M597" s="232">
        <v>36071.269999999997</v>
      </c>
      <c r="N597" s="35">
        <v>7.2054212139123166</v>
      </c>
      <c r="P597" s="232">
        <v>-17.48</v>
      </c>
      <c r="Q597" s="35">
        <v>8.7515219040463776E-3</v>
      </c>
      <c r="R597" s="232">
        <v>2038.09</v>
      </c>
      <c r="S597" s="35">
        <v>1.6356768905321344</v>
      </c>
      <c r="T597" s="232">
        <v>25943.8</v>
      </c>
      <c r="U597" s="35">
        <v>1.1430407542461243</v>
      </c>
      <c r="W597" s="35">
        <f t="shared" si="61"/>
        <v>455.05609520231889</v>
      </c>
      <c r="X597" s="35">
        <f t="shared" si="62"/>
        <v>79745.754526606717</v>
      </c>
      <c r="Y597" s="35">
        <f t="shared" si="63"/>
        <v>31208.237712306214</v>
      </c>
      <c r="Z597" s="35">
        <f t="shared" si="64"/>
        <v>0</v>
      </c>
      <c r="AA597" s="35">
        <f t="shared" si="65"/>
        <v>1</v>
      </c>
      <c r="AB597" s="35">
        <f t="shared" si="66"/>
        <v>0</v>
      </c>
    </row>
    <row r="598" spans="1:28">
      <c r="A598" s="35">
        <v>587</v>
      </c>
      <c r="B598" s="35">
        <v>5.4092489837387348E-4</v>
      </c>
      <c r="C598" s="232">
        <v>76.87</v>
      </c>
      <c r="D598" s="35">
        <v>5.0669753159243465</v>
      </c>
      <c r="E598" s="232">
        <v>48.96</v>
      </c>
      <c r="F598" s="35">
        <v>5.0550421458202619</v>
      </c>
      <c r="G598" s="232">
        <v>10398.52</v>
      </c>
      <c r="H598" s="35">
        <v>9.0419083184887921</v>
      </c>
      <c r="I598" s="232">
        <v>11610.41</v>
      </c>
      <c r="J598" s="35">
        <v>8.0031930393379511</v>
      </c>
      <c r="K598" s="232">
        <v>10818.85</v>
      </c>
      <c r="L598" s="35">
        <v>8.5377359034975076</v>
      </c>
      <c r="M598" s="232">
        <v>36731.39</v>
      </c>
      <c r="N598" s="35">
        <v>7.5044118716536854</v>
      </c>
      <c r="P598" s="232">
        <v>-27.91</v>
      </c>
      <c r="Q598" s="35">
        <v>1.1933170104084567E-2</v>
      </c>
      <c r="R598" s="232">
        <v>1211.8900000000001</v>
      </c>
      <c r="S598" s="35">
        <v>1.0387152791508409</v>
      </c>
      <c r="T598" s="232">
        <v>25912.54</v>
      </c>
      <c r="U598" s="35">
        <v>1.0333240318438222</v>
      </c>
      <c r="W598" s="35">
        <f t="shared" si="61"/>
        <v>624.56850520422836</v>
      </c>
      <c r="X598" s="35">
        <f t="shared" si="62"/>
        <v>50723.873957542048</v>
      </c>
      <c r="Y598" s="35">
        <f t="shared" si="63"/>
        <v>25753.661592191107</v>
      </c>
      <c r="Z598" s="35">
        <f t="shared" si="64"/>
        <v>0</v>
      </c>
      <c r="AA598" s="35">
        <f t="shared" si="65"/>
        <v>1</v>
      </c>
      <c r="AB598" s="35">
        <f t="shared" si="66"/>
        <v>0</v>
      </c>
    </row>
    <row r="599" spans="1:28">
      <c r="A599" s="35">
        <v>588</v>
      </c>
      <c r="B599" s="35">
        <v>4.4291120625720732E-4</v>
      </c>
      <c r="C599" s="232">
        <v>56.89</v>
      </c>
      <c r="D599" s="35">
        <v>5.0618062887557977</v>
      </c>
      <c r="E599" s="232">
        <v>34.76</v>
      </c>
      <c r="F599" s="35">
        <v>5.0509766184889306</v>
      </c>
      <c r="G599" s="232">
        <v>10556.33</v>
      </c>
      <c r="H599" s="35">
        <v>8.9584263312540493</v>
      </c>
      <c r="I599" s="232">
        <v>12139.52</v>
      </c>
      <c r="J599" s="35">
        <v>7.2806710742456531</v>
      </c>
      <c r="K599" s="232">
        <v>12031.5</v>
      </c>
      <c r="L599" s="35">
        <v>8.8295284592051004</v>
      </c>
      <c r="M599" s="232">
        <v>38024.22</v>
      </c>
      <c r="N599" s="35">
        <v>7.7763603659900378</v>
      </c>
      <c r="P599" s="232">
        <v>-22.13</v>
      </c>
      <c r="Q599" s="35">
        <v>1.0829670266867097E-2</v>
      </c>
      <c r="R599" s="232">
        <v>1583.19</v>
      </c>
      <c r="S599" s="35">
        <v>1.6777552570083962</v>
      </c>
      <c r="T599" s="232">
        <v>25992.73</v>
      </c>
      <c r="U599" s="35">
        <v>1.0531680932150627</v>
      </c>
      <c r="W599" s="35">
        <f t="shared" si="61"/>
        <v>563.61351334335484</v>
      </c>
      <c r="X599" s="35">
        <f t="shared" si="62"/>
        <v>82304.572850419805</v>
      </c>
      <c r="Y599" s="35">
        <f t="shared" si="63"/>
        <v>26665.674660753135</v>
      </c>
      <c r="Z599" s="35">
        <f t="shared" si="64"/>
        <v>0</v>
      </c>
      <c r="AA599" s="35">
        <f t="shared" si="65"/>
        <v>1</v>
      </c>
      <c r="AB599" s="35">
        <f t="shared" si="66"/>
        <v>0</v>
      </c>
    </row>
    <row r="600" spans="1:28">
      <c r="A600" s="35">
        <v>589</v>
      </c>
      <c r="B600" s="35">
        <v>6.0108968341521241E-4</v>
      </c>
      <c r="C600" s="232">
        <v>77.69</v>
      </c>
      <c r="D600" s="35">
        <v>5.0672898034681033</v>
      </c>
      <c r="E600" s="232">
        <v>46.87</v>
      </c>
      <c r="F600" s="35">
        <v>5.0542518114627759</v>
      </c>
      <c r="G600" s="232">
        <v>9943.1299999999992</v>
      </c>
      <c r="H600" s="35">
        <v>8.2534566522012049</v>
      </c>
      <c r="I600" s="232">
        <v>11567.65</v>
      </c>
      <c r="J600" s="35">
        <v>7.3430497591807198</v>
      </c>
      <c r="K600" s="232">
        <v>11595.9</v>
      </c>
      <c r="L600" s="35">
        <v>8.5628697875582418</v>
      </c>
      <c r="M600" s="232">
        <v>37654.32</v>
      </c>
      <c r="N600" s="35">
        <v>7.3879259226360867</v>
      </c>
      <c r="P600" s="232">
        <v>-30.82</v>
      </c>
      <c r="Q600" s="35">
        <v>1.3037992005327403E-2</v>
      </c>
      <c r="R600" s="232">
        <v>1624.52</v>
      </c>
      <c r="S600" s="35">
        <v>0.91040689302048516</v>
      </c>
      <c r="T600" s="232">
        <v>26058.42</v>
      </c>
      <c r="U600" s="35">
        <v>1.1749438649221551</v>
      </c>
      <c r="W600" s="35">
        <f t="shared" si="61"/>
        <v>682.71960026637021</v>
      </c>
      <c r="X600" s="35">
        <f t="shared" si="62"/>
        <v>43895.824651024261</v>
      </c>
      <c r="Y600" s="35">
        <f t="shared" si="63"/>
        <v>32688.773246107754</v>
      </c>
      <c r="Z600" s="35">
        <f t="shared" si="64"/>
        <v>0</v>
      </c>
      <c r="AA600" s="35">
        <f t="shared" si="65"/>
        <v>1</v>
      </c>
      <c r="AB600" s="35">
        <f t="shared" si="66"/>
        <v>0</v>
      </c>
    </row>
    <row r="601" spans="1:28">
      <c r="A601" s="35">
        <v>590</v>
      </c>
      <c r="B601" s="35">
        <v>4.1090054500063925E-4</v>
      </c>
      <c r="C601" s="232">
        <v>52.35</v>
      </c>
      <c r="D601" s="35">
        <v>5.0576982065947194</v>
      </c>
      <c r="E601" s="232">
        <v>28.39</v>
      </c>
      <c r="F601" s="35">
        <v>5.047261594363456</v>
      </c>
      <c r="G601" s="232">
        <v>9516.16</v>
      </c>
      <c r="H601" s="35">
        <v>8.4051326266362754</v>
      </c>
      <c r="I601" s="232">
        <v>12046.61</v>
      </c>
      <c r="J601" s="35">
        <v>8.6753943505135513</v>
      </c>
      <c r="K601" s="232">
        <v>12587</v>
      </c>
      <c r="L601" s="35">
        <v>8.3542009198800038</v>
      </c>
      <c r="M601" s="232">
        <v>38543.71</v>
      </c>
      <c r="N601" s="35">
        <v>7.2535113831464608</v>
      </c>
      <c r="P601" s="232">
        <v>-23.96</v>
      </c>
      <c r="Q601" s="35">
        <v>1.0436612231263354E-2</v>
      </c>
      <c r="R601" s="232">
        <v>2530.4499999999998</v>
      </c>
      <c r="S601" s="35">
        <v>-0.27026172387727598</v>
      </c>
      <c r="T601" s="232">
        <v>25956.71</v>
      </c>
      <c r="U601" s="35">
        <v>1.100689536733543</v>
      </c>
      <c r="W601" s="35">
        <f t="shared" si="61"/>
        <v>545.79061156316766</v>
      </c>
      <c r="X601" s="35">
        <f t="shared" si="62"/>
        <v>-16043.536193863798</v>
      </c>
      <c r="Y601" s="35">
        <f t="shared" si="63"/>
        <v>29077.766836677147</v>
      </c>
      <c r="Z601" s="35">
        <f t="shared" si="64"/>
        <v>0</v>
      </c>
      <c r="AA601" s="35">
        <f t="shared" si="65"/>
        <v>0</v>
      </c>
      <c r="AB601" s="35">
        <f t="shared" si="66"/>
        <v>1</v>
      </c>
    </row>
    <row r="602" spans="1:28">
      <c r="A602" s="35">
        <v>591</v>
      </c>
      <c r="B602" s="35">
        <v>4.5775983929075004E-4</v>
      </c>
      <c r="C602" s="232">
        <v>75.010000000000005</v>
      </c>
      <c r="D602" s="35">
        <v>5.0609474026074714</v>
      </c>
      <c r="E602" s="232">
        <v>42.32</v>
      </c>
      <c r="F602" s="35">
        <v>5.0497855031940331</v>
      </c>
      <c r="G602" s="232">
        <v>11851.56</v>
      </c>
      <c r="H602" s="35">
        <v>8.2970740995255259</v>
      </c>
      <c r="I602" s="232">
        <v>13731.71</v>
      </c>
      <c r="J602" s="35">
        <v>8.0851200019963745</v>
      </c>
      <c r="K602" s="232">
        <v>18405.84</v>
      </c>
      <c r="L602" s="35">
        <v>9.1127683873238396</v>
      </c>
      <c r="M602" s="232">
        <v>44751.08</v>
      </c>
      <c r="N602" s="35">
        <v>8.046363192562044</v>
      </c>
      <c r="P602" s="232">
        <v>-32.700000000000003</v>
      </c>
      <c r="Q602" s="35">
        <v>1.116189941343837E-2</v>
      </c>
      <c r="R602" s="232">
        <v>1880.15</v>
      </c>
      <c r="S602" s="35">
        <v>0.2119540975291514</v>
      </c>
      <c r="T602" s="232">
        <v>26345.24</v>
      </c>
      <c r="U602" s="35">
        <v>1.0664051947617956</v>
      </c>
      <c r="W602" s="35">
        <f t="shared" si="61"/>
        <v>590.79497067191858</v>
      </c>
      <c r="X602" s="35">
        <f t="shared" si="62"/>
        <v>8717.5548764575706</v>
      </c>
      <c r="Y602" s="35">
        <f t="shared" si="63"/>
        <v>26975.019738089777</v>
      </c>
      <c r="Z602" s="35">
        <f t="shared" si="64"/>
        <v>0</v>
      </c>
      <c r="AA602" s="35">
        <f t="shared" si="65"/>
        <v>0</v>
      </c>
      <c r="AB602" s="35">
        <f t="shared" si="66"/>
        <v>1</v>
      </c>
    </row>
    <row r="603" spans="1:28">
      <c r="A603" s="35">
        <v>592</v>
      </c>
      <c r="B603" s="35">
        <v>6.072968533197276E-4</v>
      </c>
      <c r="C603" s="232">
        <v>65.48</v>
      </c>
      <c r="D603" s="35">
        <v>5.0710056158990806</v>
      </c>
      <c r="E603" s="232">
        <v>39.18</v>
      </c>
      <c r="F603" s="35">
        <v>5.0558678897480593</v>
      </c>
      <c r="G603" s="232">
        <v>8736.02</v>
      </c>
      <c r="H603" s="35">
        <v>9.1732334648332028</v>
      </c>
      <c r="I603" s="232">
        <v>10841.03</v>
      </c>
      <c r="J603" s="35">
        <v>8.8544031044175426</v>
      </c>
      <c r="K603" s="232">
        <v>9450.61</v>
      </c>
      <c r="L603" s="35">
        <v>8.5339022573890357</v>
      </c>
      <c r="M603" s="232">
        <v>35107.699999999997</v>
      </c>
      <c r="N603" s="35">
        <v>7.4695919493066993</v>
      </c>
      <c r="P603" s="232">
        <v>-26.29</v>
      </c>
      <c r="Q603" s="35">
        <v>1.5137726151021269E-2</v>
      </c>
      <c r="R603" s="232">
        <v>2105.0100000000002</v>
      </c>
      <c r="S603" s="35">
        <v>0.31883036041566015</v>
      </c>
      <c r="T603" s="232">
        <v>25657.09</v>
      </c>
      <c r="U603" s="35">
        <v>1.0643103080823364</v>
      </c>
      <c r="W603" s="35">
        <f t="shared" si="61"/>
        <v>783.17630755106347</v>
      </c>
      <c r="X603" s="35">
        <f t="shared" si="62"/>
        <v>13836.508020783007</v>
      </c>
      <c r="Y603" s="35">
        <f t="shared" si="63"/>
        <v>27558.425404116821</v>
      </c>
      <c r="Z603" s="35">
        <f t="shared" si="64"/>
        <v>0</v>
      </c>
      <c r="AA603" s="35">
        <f t="shared" si="65"/>
        <v>0</v>
      </c>
      <c r="AB603" s="35">
        <f t="shared" si="66"/>
        <v>1</v>
      </c>
    </row>
    <row r="604" spans="1:28">
      <c r="A604" s="35">
        <v>593</v>
      </c>
      <c r="B604" s="35">
        <v>4.4186079149606474E-4</v>
      </c>
      <c r="C604" s="232">
        <v>72.150000000000006</v>
      </c>
      <c r="D604" s="35">
        <v>5.0630596120249214</v>
      </c>
      <c r="E604" s="232">
        <v>48.21</v>
      </c>
      <c r="F604" s="35">
        <v>5.0534404860010564</v>
      </c>
      <c r="G604" s="232">
        <v>12861.96</v>
      </c>
      <c r="H604" s="35">
        <v>9.171082943322288</v>
      </c>
      <c r="I604" s="232">
        <v>13221.61</v>
      </c>
      <c r="J604" s="35">
        <v>7.3001435155935699</v>
      </c>
      <c r="K604" s="232">
        <v>16691.13</v>
      </c>
      <c r="L604" s="35">
        <v>8.9861722960393724</v>
      </c>
      <c r="M604" s="232">
        <v>42962.59</v>
      </c>
      <c r="N604" s="35">
        <v>7.9389159272850085</v>
      </c>
      <c r="P604" s="232">
        <v>-23.95</v>
      </c>
      <c r="Q604" s="35">
        <v>9.6191260238649434E-3</v>
      </c>
      <c r="R604" s="232">
        <v>359.65</v>
      </c>
      <c r="S604" s="35">
        <v>1.8709394277287181</v>
      </c>
      <c r="T604" s="232">
        <v>26271.45</v>
      </c>
      <c r="U604" s="35">
        <v>1.0472563687543639</v>
      </c>
      <c r="W604" s="35">
        <f t="shared" si="61"/>
        <v>504.90630119324715</v>
      </c>
      <c r="X604" s="35">
        <f t="shared" si="62"/>
        <v>93187.321386435913</v>
      </c>
      <c r="Y604" s="35">
        <f t="shared" si="63"/>
        <v>26091.368437718196</v>
      </c>
      <c r="Z604" s="35">
        <f t="shared" si="64"/>
        <v>0</v>
      </c>
      <c r="AA604" s="35">
        <f t="shared" si="65"/>
        <v>1</v>
      </c>
      <c r="AB604" s="35">
        <f t="shared" si="66"/>
        <v>0</v>
      </c>
    </row>
    <row r="605" spans="1:28">
      <c r="A605" s="35">
        <v>594</v>
      </c>
      <c r="B605" s="35">
        <v>3.9788747250798747E-4</v>
      </c>
      <c r="C605" s="232">
        <v>48.93</v>
      </c>
      <c r="D605" s="35">
        <v>5.0584236171840899</v>
      </c>
      <c r="E605" s="232">
        <v>33.229999999999997</v>
      </c>
      <c r="F605" s="35">
        <v>5.0503111659848514</v>
      </c>
      <c r="G605" s="232">
        <v>10472.299999999999</v>
      </c>
      <c r="H605" s="35">
        <v>8.5825723127556675</v>
      </c>
      <c r="I605" s="232">
        <v>12790.31</v>
      </c>
      <c r="J605" s="35">
        <v>7.2814663959589661</v>
      </c>
      <c r="K605" s="232">
        <v>10418.75</v>
      </c>
      <c r="L605" s="35">
        <v>8.8852686018956604</v>
      </c>
      <c r="M605" s="232">
        <v>36175.54</v>
      </c>
      <c r="N605" s="35">
        <v>7.914007732155997</v>
      </c>
      <c r="P605" s="232">
        <v>-15.7</v>
      </c>
      <c r="Q605" s="35">
        <v>8.1124511992385351E-3</v>
      </c>
      <c r="R605" s="232">
        <v>2318.0100000000002</v>
      </c>
      <c r="S605" s="35">
        <v>1.3011059167967014</v>
      </c>
      <c r="T605" s="232">
        <v>25756.79</v>
      </c>
      <c r="U605" s="35">
        <v>0.97126086973966341</v>
      </c>
      <c r="W605" s="35">
        <f t="shared" si="61"/>
        <v>421.32255996192674</v>
      </c>
      <c r="X605" s="35">
        <f t="shared" si="62"/>
        <v>62737.285839835065</v>
      </c>
      <c r="Y605" s="35">
        <f t="shared" si="63"/>
        <v>22806.253486983172</v>
      </c>
      <c r="Z605" s="35">
        <f t="shared" si="64"/>
        <v>0</v>
      </c>
      <c r="AA605" s="35">
        <f t="shared" si="65"/>
        <v>1</v>
      </c>
      <c r="AB605" s="35">
        <f t="shared" si="66"/>
        <v>0</v>
      </c>
    </row>
    <row r="606" spans="1:28">
      <c r="A606" s="35">
        <v>595</v>
      </c>
      <c r="B606" s="35">
        <v>4.2776762684046719E-4</v>
      </c>
      <c r="C606" s="232">
        <v>62.13</v>
      </c>
      <c r="D606" s="35">
        <v>5.0591593215555477</v>
      </c>
      <c r="E606" s="232">
        <v>42.42</v>
      </c>
      <c r="F606" s="35">
        <v>5.0511721073992142</v>
      </c>
      <c r="G606" s="232">
        <v>10351.469999999999</v>
      </c>
      <c r="H606" s="35">
        <v>8.4632811965889054</v>
      </c>
      <c r="I606" s="232">
        <v>10128.459999999999</v>
      </c>
      <c r="J606" s="35">
        <v>6.5290303245492707</v>
      </c>
      <c r="K606" s="232">
        <v>12385.19</v>
      </c>
      <c r="L606" s="35">
        <v>8.3827428540173123</v>
      </c>
      <c r="M606" s="232">
        <v>38276.879999999997</v>
      </c>
      <c r="N606" s="35">
        <v>7.3561520899027357</v>
      </c>
      <c r="P606" s="232">
        <v>-19.7</v>
      </c>
      <c r="Q606" s="35">
        <v>7.9872141563335219E-3</v>
      </c>
      <c r="R606" s="232">
        <v>-223.01</v>
      </c>
      <c r="S606" s="35">
        <v>1.9342508720396347</v>
      </c>
      <c r="T606" s="232">
        <v>25891.68</v>
      </c>
      <c r="U606" s="35">
        <v>1.0265907641145766</v>
      </c>
      <c r="W606" s="35">
        <f t="shared" si="61"/>
        <v>419.06070781667609</v>
      </c>
      <c r="X606" s="35">
        <f t="shared" si="62"/>
        <v>96935.553601981737</v>
      </c>
      <c r="Y606" s="35">
        <f t="shared" si="63"/>
        <v>25437.858205728829</v>
      </c>
      <c r="Z606" s="35">
        <f t="shared" si="64"/>
        <v>0</v>
      </c>
      <c r="AA606" s="35">
        <f t="shared" si="65"/>
        <v>1</v>
      </c>
      <c r="AB606" s="35">
        <f t="shared" si="66"/>
        <v>0</v>
      </c>
    </row>
    <row r="607" spans="1:28">
      <c r="A607" s="35">
        <v>596</v>
      </c>
      <c r="B607" s="35">
        <v>4.278359969911962E-4</v>
      </c>
      <c r="C607" s="232">
        <v>77.95</v>
      </c>
      <c r="D607" s="35">
        <v>5.0592121682663018</v>
      </c>
      <c r="E607" s="232">
        <v>44.17</v>
      </c>
      <c r="F607" s="35">
        <v>5.0489858721551286</v>
      </c>
      <c r="G607" s="232">
        <v>14585.12</v>
      </c>
      <c r="H607" s="35">
        <v>8.5598896867004832</v>
      </c>
      <c r="I607" s="232">
        <v>15213.48</v>
      </c>
      <c r="J607" s="35">
        <v>6.7440168405783618</v>
      </c>
      <c r="K607" s="232">
        <v>17277.73</v>
      </c>
      <c r="L607" s="35">
        <v>8.4185570244961738</v>
      </c>
      <c r="M607" s="232">
        <v>43507.55</v>
      </c>
      <c r="N607" s="35">
        <v>7.3032536079962762</v>
      </c>
      <c r="P607" s="232">
        <v>-33.770000000000003</v>
      </c>
      <c r="Q607" s="35">
        <v>1.0226296111173205E-2</v>
      </c>
      <c r="R607" s="232">
        <v>628.36</v>
      </c>
      <c r="S607" s="35">
        <v>1.8158728461221214</v>
      </c>
      <c r="T607" s="232">
        <v>26229.82</v>
      </c>
      <c r="U607" s="35">
        <v>1.1153034164998976</v>
      </c>
      <c r="W607" s="35">
        <f t="shared" si="61"/>
        <v>545.08480555866026</v>
      </c>
      <c r="X607" s="35">
        <f t="shared" si="62"/>
        <v>90165.282306106063</v>
      </c>
      <c r="Y607" s="35">
        <f t="shared" si="63"/>
        <v>29535.350824994879</v>
      </c>
      <c r="Z607" s="35">
        <f t="shared" si="64"/>
        <v>0</v>
      </c>
      <c r="AA607" s="35">
        <f t="shared" si="65"/>
        <v>1</v>
      </c>
      <c r="AB607" s="35">
        <f t="shared" si="66"/>
        <v>0</v>
      </c>
    </row>
    <row r="608" spans="1:28">
      <c r="A608" s="35">
        <v>597</v>
      </c>
      <c r="B608" s="35">
        <v>5.0168765231273227E-4</v>
      </c>
      <c r="C608" s="232">
        <v>90.62</v>
      </c>
      <c r="D608" s="35">
        <v>5.0636042044673051</v>
      </c>
      <c r="E608" s="232">
        <v>60.44</v>
      </c>
      <c r="F608" s="35">
        <v>5.054013465699799</v>
      </c>
      <c r="G608" s="232">
        <v>12902.18</v>
      </c>
      <c r="H608" s="35">
        <v>8.6042265311294397</v>
      </c>
      <c r="I608" s="232">
        <v>11698.99</v>
      </c>
      <c r="J608" s="35">
        <v>6.7614681529567946</v>
      </c>
      <c r="K608" s="232">
        <v>17665.96</v>
      </c>
      <c r="L608" s="35">
        <v>8.5395905712042612</v>
      </c>
      <c r="M608" s="232">
        <v>43964.21</v>
      </c>
      <c r="N608" s="35">
        <v>7.4346573297330183</v>
      </c>
      <c r="P608" s="232">
        <v>-30.17</v>
      </c>
      <c r="Q608" s="35">
        <v>9.5907387675060463E-3</v>
      </c>
      <c r="R608" s="232">
        <v>-1203.19</v>
      </c>
      <c r="S608" s="35">
        <v>1.8427583781726451</v>
      </c>
      <c r="T608" s="232">
        <v>26298.25</v>
      </c>
      <c r="U608" s="35">
        <v>1.1049332414712429</v>
      </c>
      <c r="W608" s="35">
        <f t="shared" si="61"/>
        <v>509.70693837530234</v>
      </c>
      <c r="X608" s="35">
        <f t="shared" si="62"/>
        <v>93341.108908632261</v>
      </c>
      <c r="Y608" s="35">
        <f t="shared" si="63"/>
        <v>28948.412073562147</v>
      </c>
      <c r="Z608" s="35">
        <f t="shared" si="64"/>
        <v>0</v>
      </c>
      <c r="AA608" s="35">
        <f t="shared" si="65"/>
        <v>1</v>
      </c>
      <c r="AB608" s="35">
        <f t="shared" si="66"/>
        <v>0</v>
      </c>
    </row>
    <row r="609" spans="1:28">
      <c r="A609" s="35">
        <v>598</v>
      </c>
      <c r="B609" s="35">
        <v>5.8424501313736332E-4</v>
      </c>
      <c r="C609" s="232">
        <v>96.71</v>
      </c>
      <c r="D609" s="35">
        <v>5.0688009268579926</v>
      </c>
      <c r="E609" s="232">
        <v>67.569999999999993</v>
      </c>
      <c r="F609" s="35">
        <v>5.0583270072738689</v>
      </c>
      <c r="G609" s="232">
        <v>12148.38</v>
      </c>
      <c r="H609" s="35">
        <v>8.7096494248874663</v>
      </c>
      <c r="I609" s="232">
        <v>13321.47</v>
      </c>
      <c r="J609" s="35">
        <v>8.0515363274570824</v>
      </c>
      <c r="K609" s="232">
        <v>17203.37</v>
      </c>
      <c r="L609" s="35">
        <v>8.730843112885303</v>
      </c>
      <c r="M609" s="232">
        <v>43322.82</v>
      </c>
      <c r="N609" s="35">
        <v>7.6254247533064277</v>
      </c>
      <c r="P609" s="232">
        <v>-29.14</v>
      </c>
      <c r="Q609" s="35">
        <v>1.0473919584123692E-2</v>
      </c>
      <c r="R609" s="232">
        <v>1173.0999999999999</v>
      </c>
      <c r="S609" s="35">
        <v>0.65811309743038393</v>
      </c>
      <c r="T609" s="232">
        <v>26119.45</v>
      </c>
      <c r="U609" s="35">
        <v>1.1054183595788754</v>
      </c>
      <c r="W609" s="35">
        <f t="shared" si="61"/>
        <v>552.83597920618456</v>
      </c>
      <c r="X609" s="35">
        <f t="shared" si="62"/>
        <v>31732.554871519198</v>
      </c>
      <c r="Y609" s="35">
        <f t="shared" si="63"/>
        <v>29151.467978943769</v>
      </c>
      <c r="Z609" s="35">
        <f t="shared" si="64"/>
        <v>0</v>
      </c>
      <c r="AA609" s="35">
        <f t="shared" si="65"/>
        <v>1</v>
      </c>
      <c r="AB609" s="35">
        <f t="shared" si="66"/>
        <v>0</v>
      </c>
    </row>
    <row r="610" spans="1:28">
      <c r="A610" s="35">
        <v>599</v>
      </c>
      <c r="B610" s="35">
        <v>6.5646302198263395E-4</v>
      </c>
      <c r="C610" s="232">
        <v>90.7</v>
      </c>
      <c r="D610" s="35">
        <v>5.0734183280479233</v>
      </c>
      <c r="E610" s="232">
        <v>55.23</v>
      </c>
      <c r="F610" s="35">
        <v>5.0581026353017178</v>
      </c>
      <c r="G610" s="232">
        <v>10676.18</v>
      </c>
      <c r="H610" s="35">
        <v>9.0036137752282936</v>
      </c>
      <c r="I610" s="232">
        <v>11101.99</v>
      </c>
      <c r="J610" s="35">
        <v>7.2278241081718608</v>
      </c>
      <c r="K610" s="232">
        <v>13477.55</v>
      </c>
      <c r="L610" s="35">
        <v>8.6736040596851467</v>
      </c>
      <c r="M610" s="232">
        <v>39445.06</v>
      </c>
      <c r="N610" s="35">
        <v>7.5670480706816861</v>
      </c>
      <c r="P610" s="232">
        <v>-35.46</v>
      </c>
      <c r="Q610" s="35">
        <v>1.5315692746205478E-2</v>
      </c>
      <c r="R610" s="232">
        <v>425.81</v>
      </c>
      <c r="S610" s="35">
        <v>1.7757896670564328</v>
      </c>
      <c r="T610" s="232">
        <v>25967.51</v>
      </c>
      <c r="U610" s="35">
        <v>1.1065559890034606</v>
      </c>
      <c r="W610" s="35">
        <f t="shared" si="61"/>
        <v>801.2446373102739</v>
      </c>
      <c r="X610" s="35">
        <f t="shared" si="62"/>
        <v>88363.673352821643</v>
      </c>
      <c r="Y610" s="35">
        <f t="shared" si="63"/>
        <v>29360.289450173037</v>
      </c>
      <c r="Z610" s="35">
        <f t="shared" si="64"/>
        <v>0</v>
      </c>
      <c r="AA610" s="35">
        <f t="shared" si="65"/>
        <v>1</v>
      </c>
      <c r="AB610" s="35">
        <f t="shared" si="66"/>
        <v>0</v>
      </c>
    </row>
    <row r="611" spans="1:28">
      <c r="A611" s="35">
        <v>600</v>
      </c>
      <c r="B611" s="35">
        <v>4.5017398624291882E-4</v>
      </c>
      <c r="C611" s="232">
        <v>71.73</v>
      </c>
      <c r="D611" s="35">
        <v>5.0626498572012864</v>
      </c>
      <c r="E611" s="232">
        <v>49.18</v>
      </c>
      <c r="F611" s="35">
        <v>5.0536130372964871</v>
      </c>
      <c r="G611" s="232">
        <v>12135.64</v>
      </c>
      <c r="H611" s="35">
        <v>8.9873497554838213</v>
      </c>
      <c r="I611" s="232">
        <v>12548.89</v>
      </c>
      <c r="J611" s="35">
        <v>7.3416396988475094</v>
      </c>
      <c r="K611" s="232">
        <v>15089.9</v>
      </c>
      <c r="L611" s="35">
        <v>8.8175790423005314</v>
      </c>
      <c r="M611" s="232">
        <v>41161.56</v>
      </c>
      <c r="N611" s="35">
        <v>7.7758533021885645</v>
      </c>
      <c r="P611" s="232">
        <v>-22.55</v>
      </c>
      <c r="Q611" s="35">
        <v>9.0368199047992093E-3</v>
      </c>
      <c r="R611" s="232">
        <v>413.25</v>
      </c>
      <c r="S611" s="35">
        <v>1.6457100566363119</v>
      </c>
      <c r="T611" s="232">
        <v>26071.66</v>
      </c>
      <c r="U611" s="35">
        <v>1.0417257401119668</v>
      </c>
      <c r="W611" s="35">
        <f t="shared" si="61"/>
        <v>474.39099523996049</v>
      </c>
      <c r="X611" s="35">
        <f t="shared" si="62"/>
        <v>81872.252831815596</v>
      </c>
      <c r="Y611" s="35">
        <f t="shared" si="63"/>
        <v>26014.627005598344</v>
      </c>
      <c r="Z611" s="35">
        <f t="shared" si="64"/>
        <v>0</v>
      </c>
      <c r="AA611" s="35">
        <f t="shared" si="65"/>
        <v>1</v>
      </c>
      <c r="AB611" s="35">
        <f t="shared" si="66"/>
        <v>0</v>
      </c>
    </row>
    <row r="612" spans="1:28">
      <c r="A612" s="35">
        <v>601</v>
      </c>
      <c r="B612" s="35">
        <v>5.0842623845437362E-4</v>
      </c>
      <c r="C612" s="232">
        <v>65.95</v>
      </c>
      <c r="D612" s="35">
        <v>5.06488745122354</v>
      </c>
      <c r="E612" s="232">
        <v>41.71</v>
      </c>
      <c r="F612" s="35">
        <v>5.0534775444976239</v>
      </c>
      <c r="G612" s="232">
        <v>10756.09</v>
      </c>
      <c r="H612" s="35">
        <v>9.0176308596544654</v>
      </c>
      <c r="I612" s="232">
        <v>12716.75</v>
      </c>
      <c r="J612" s="35">
        <v>8.3107588338950276</v>
      </c>
      <c r="K612" s="232">
        <v>12399.11</v>
      </c>
      <c r="L612" s="35">
        <v>8.3701720926680476</v>
      </c>
      <c r="M612" s="232">
        <v>38458.230000000003</v>
      </c>
      <c r="N612" s="35">
        <v>7.2438752493982035</v>
      </c>
      <c r="P612" s="232">
        <v>-24.24</v>
      </c>
      <c r="Q612" s="35">
        <v>1.140990672591613E-2</v>
      </c>
      <c r="R612" s="232">
        <v>1960.65</v>
      </c>
      <c r="S612" s="35">
        <v>0.70687202575943786</v>
      </c>
      <c r="T612" s="232">
        <v>26059.13</v>
      </c>
      <c r="U612" s="35">
        <v>1.1262968432698441</v>
      </c>
      <c r="W612" s="35">
        <f t="shared" si="61"/>
        <v>594.73533629580652</v>
      </c>
      <c r="X612" s="35">
        <f t="shared" si="62"/>
        <v>33382.95128797189</v>
      </c>
      <c r="Y612" s="35">
        <f t="shared" si="63"/>
        <v>30255.712163492204</v>
      </c>
      <c r="Z612" s="35">
        <f t="shared" si="64"/>
        <v>0</v>
      </c>
      <c r="AA612" s="35">
        <f t="shared" si="65"/>
        <v>1</v>
      </c>
      <c r="AB612" s="35">
        <f t="shared" si="66"/>
        <v>0</v>
      </c>
    </row>
    <row r="613" spans="1:28">
      <c r="A613" s="35">
        <v>602</v>
      </c>
      <c r="B613" s="35">
        <v>4.3543705012771578E-4</v>
      </c>
      <c r="C613" s="232">
        <v>78.62</v>
      </c>
      <c r="D613" s="35">
        <v>5.0592064302725301</v>
      </c>
      <c r="E613" s="232">
        <v>54.28</v>
      </c>
      <c r="F613" s="35">
        <v>5.0516249104598652</v>
      </c>
      <c r="G613" s="232">
        <v>13655.01</v>
      </c>
      <c r="H613" s="35">
        <v>8.20378678082308</v>
      </c>
      <c r="I613" s="232">
        <v>15457.18</v>
      </c>
      <c r="J613" s="35">
        <v>7.8940347526103638</v>
      </c>
      <c r="K613" s="232">
        <v>19322.2</v>
      </c>
      <c r="L613" s="35">
        <v>8.739789841382537</v>
      </c>
      <c r="M613" s="232">
        <v>45614.400000000001</v>
      </c>
      <c r="N613" s="35">
        <v>7.7136617457426322</v>
      </c>
      <c r="P613" s="232">
        <v>-24.34</v>
      </c>
      <c r="Q613" s="35">
        <v>7.5815198126649719E-3</v>
      </c>
      <c r="R613" s="232">
        <v>1802.17</v>
      </c>
      <c r="S613" s="35">
        <v>0.30975202821271619</v>
      </c>
      <c r="T613" s="232">
        <v>26292.2</v>
      </c>
      <c r="U613" s="35">
        <v>1.0261280956399048</v>
      </c>
      <c r="W613" s="35">
        <f t="shared" si="61"/>
        <v>403.41599063324855</v>
      </c>
      <c r="X613" s="35">
        <f t="shared" si="62"/>
        <v>13685.431410635809</v>
      </c>
      <c r="Y613" s="35">
        <f t="shared" si="63"/>
        <v>25014.204781995239</v>
      </c>
      <c r="Z613" s="35">
        <f t="shared" si="64"/>
        <v>0</v>
      </c>
      <c r="AA613" s="35">
        <f t="shared" si="65"/>
        <v>0</v>
      </c>
      <c r="AB613" s="35">
        <f t="shared" si="66"/>
        <v>1</v>
      </c>
    </row>
    <row r="614" spans="1:28">
      <c r="A614" s="35">
        <v>603</v>
      </c>
      <c r="B614" s="35">
        <v>3.5958715382630778E-4</v>
      </c>
      <c r="C614" s="232">
        <v>50.08</v>
      </c>
      <c r="D614" s="35">
        <v>5.0562025566657818</v>
      </c>
      <c r="E614" s="232">
        <v>35.69</v>
      </c>
      <c r="F614" s="35">
        <v>5.0496136878429354</v>
      </c>
      <c r="G614" s="232">
        <v>11472.27</v>
      </c>
      <c r="H614" s="35">
        <v>8.4252294866849251</v>
      </c>
      <c r="I614" s="232">
        <v>13508.38</v>
      </c>
      <c r="J614" s="35">
        <v>7.1421309103281327</v>
      </c>
      <c r="K614" s="232">
        <v>12220.06</v>
      </c>
      <c r="L614" s="35">
        <v>8.680320468056717</v>
      </c>
      <c r="M614" s="232">
        <v>38303.43</v>
      </c>
      <c r="N614" s="35">
        <v>7.5917820439782471</v>
      </c>
      <c r="P614" s="232">
        <v>-14.39</v>
      </c>
      <c r="Q614" s="35">
        <v>6.5888688228463721E-3</v>
      </c>
      <c r="R614" s="232">
        <v>2036.11</v>
      </c>
      <c r="S614" s="35">
        <v>1.2830985763567924</v>
      </c>
      <c r="T614" s="232">
        <v>26083.37</v>
      </c>
      <c r="U614" s="35">
        <v>1.0885384240784699</v>
      </c>
      <c r="W614" s="35">
        <f t="shared" si="61"/>
        <v>343.83344114231858</v>
      </c>
      <c r="X614" s="35">
        <f t="shared" si="62"/>
        <v>62118.818817839616</v>
      </c>
      <c r="Y614" s="35">
        <f t="shared" si="63"/>
        <v>28343.551203923493</v>
      </c>
      <c r="Z614" s="35">
        <f t="shared" si="64"/>
        <v>0</v>
      </c>
      <c r="AA614" s="35">
        <f t="shared" si="65"/>
        <v>1</v>
      </c>
      <c r="AB614" s="35">
        <f t="shared" si="66"/>
        <v>0</v>
      </c>
    </row>
    <row r="615" spans="1:28">
      <c r="A615" s="35">
        <v>604</v>
      </c>
      <c r="B615" s="35">
        <v>4.4333665231747094E-4</v>
      </c>
      <c r="C615" s="232">
        <v>58.89</v>
      </c>
      <c r="D615" s="35">
        <v>5.0611059499156488</v>
      </c>
      <c r="E615" s="232">
        <v>37.35</v>
      </c>
      <c r="F615" s="35">
        <v>5.0511841410430796</v>
      </c>
      <c r="G615" s="232">
        <v>10267.5</v>
      </c>
      <c r="H615" s="35">
        <v>9.0374062980653331</v>
      </c>
      <c r="I615" s="232">
        <v>10654.69</v>
      </c>
      <c r="J615" s="35">
        <v>7.5107250084002386</v>
      </c>
      <c r="K615" s="232">
        <v>13272.77</v>
      </c>
      <c r="L615" s="35">
        <v>8.1798282030366245</v>
      </c>
      <c r="M615" s="232">
        <v>39225.03</v>
      </c>
      <c r="N615" s="35">
        <v>7.0613771896167883</v>
      </c>
      <c r="P615" s="232">
        <v>-21.54</v>
      </c>
      <c r="Q615" s="35">
        <v>9.9218088725692155E-3</v>
      </c>
      <c r="R615" s="232">
        <v>387.19</v>
      </c>
      <c r="S615" s="35">
        <v>1.5266812896650945</v>
      </c>
      <c r="T615" s="232">
        <v>25952.27</v>
      </c>
      <c r="U615" s="35">
        <v>1.1184510134198362</v>
      </c>
      <c r="W615" s="35">
        <f t="shared" si="61"/>
        <v>517.63044362846074</v>
      </c>
      <c r="X615" s="35">
        <f t="shared" si="62"/>
        <v>75946.874483254724</v>
      </c>
      <c r="Y615" s="35">
        <f t="shared" si="63"/>
        <v>29970.280670991811</v>
      </c>
      <c r="Z615" s="35">
        <f t="shared" si="64"/>
        <v>0</v>
      </c>
      <c r="AA615" s="35">
        <f t="shared" si="65"/>
        <v>1</v>
      </c>
      <c r="AB615" s="35">
        <f t="shared" si="66"/>
        <v>0</v>
      </c>
    </row>
    <row r="616" spans="1:28">
      <c r="A616" s="35">
        <v>605</v>
      </c>
      <c r="B616" s="35">
        <v>3.7582868142419803E-4</v>
      </c>
      <c r="C616" s="232">
        <v>48.58</v>
      </c>
      <c r="D616" s="35">
        <v>5.058007456554912</v>
      </c>
      <c r="E616" s="232">
        <v>29.52</v>
      </c>
      <c r="F616" s="35">
        <v>5.0486132161957737</v>
      </c>
      <c r="G616" s="232">
        <v>9697.73</v>
      </c>
      <c r="H616" s="35">
        <v>8.8285792421505356</v>
      </c>
      <c r="I616" s="232">
        <v>9615.58</v>
      </c>
      <c r="J616" s="35">
        <v>6.7961913635833842</v>
      </c>
      <c r="K616" s="232">
        <v>12912.56</v>
      </c>
      <c r="L616" s="35">
        <v>8.8186049619718574</v>
      </c>
      <c r="M616" s="232">
        <v>38806.81</v>
      </c>
      <c r="N616" s="35">
        <v>7.7262147777892896</v>
      </c>
      <c r="P616" s="232">
        <v>-19.059999999999999</v>
      </c>
      <c r="Q616" s="35">
        <v>9.3942403591382728E-3</v>
      </c>
      <c r="R616" s="232">
        <v>-82.15</v>
      </c>
      <c r="S616" s="35">
        <v>2.0323878785671514</v>
      </c>
      <c r="T616" s="232">
        <v>25894.26</v>
      </c>
      <c r="U616" s="35">
        <v>1.0923901841825678</v>
      </c>
      <c r="W616" s="35">
        <f t="shared" si="61"/>
        <v>488.77201795691366</v>
      </c>
      <c r="X616" s="35">
        <f t="shared" si="62"/>
        <v>101701.54392835757</v>
      </c>
      <c r="Y616" s="35">
        <f t="shared" si="63"/>
        <v>28725.249209128397</v>
      </c>
      <c r="Z616" s="35">
        <f t="shared" si="64"/>
        <v>0</v>
      </c>
      <c r="AA616" s="35">
        <f t="shared" si="65"/>
        <v>1</v>
      </c>
      <c r="AB616" s="35">
        <f t="shared" si="66"/>
        <v>0</v>
      </c>
    </row>
    <row r="617" spans="1:28">
      <c r="A617" s="35">
        <v>606</v>
      </c>
      <c r="B617" s="35">
        <v>4.298017998445201E-4</v>
      </c>
      <c r="C617" s="232">
        <v>50.32</v>
      </c>
      <c r="D617" s="35">
        <v>5.0593302293330176</v>
      </c>
      <c r="E617" s="232">
        <v>29.31</v>
      </c>
      <c r="F617" s="35">
        <v>5.0488323973302762</v>
      </c>
      <c r="G617" s="232">
        <v>8723.82</v>
      </c>
      <c r="H617" s="35">
        <v>8.3826350548740347</v>
      </c>
      <c r="I617" s="232">
        <v>9984.48</v>
      </c>
      <c r="J617" s="35">
        <v>7.1691921496588282</v>
      </c>
      <c r="K617" s="232">
        <v>10280.07</v>
      </c>
      <c r="L617" s="35">
        <v>8.8573328967612941</v>
      </c>
      <c r="M617" s="232">
        <v>36202.15</v>
      </c>
      <c r="N617" s="35">
        <v>7.8312179932205312</v>
      </c>
      <c r="P617" s="232">
        <v>-21.01</v>
      </c>
      <c r="Q617" s="35">
        <v>1.0497832002741347E-2</v>
      </c>
      <c r="R617" s="232">
        <v>1260.6600000000001</v>
      </c>
      <c r="S617" s="35">
        <v>1.2134429052152065</v>
      </c>
      <c r="T617" s="232">
        <v>25922.07</v>
      </c>
      <c r="U617" s="35">
        <v>1.0261149035407628</v>
      </c>
      <c r="W617" s="35">
        <f t="shared" si="61"/>
        <v>545.90160013706736</v>
      </c>
      <c r="X617" s="35">
        <f t="shared" si="62"/>
        <v>59411.485260760317</v>
      </c>
      <c r="Y617" s="35">
        <f t="shared" si="63"/>
        <v>25383.675177038145</v>
      </c>
      <c r="Z617" s="35">
        <f t="shared" si="64"/>
        <v>0</v>
      </c>
      <c r="AA617" s="35">
        <f t="shared" si="65"/>
        <v>1</v>
      </c>
      <c r="AB617" s="35">
        <f t="shared" si="66"/>
        <v>0</v>
      </c>
    </row>
    <row r="618" spans="1:28">
      <c r="A618" s="35">
        <v>607</v>
      </c>
      <c r="B618" s="35">
        <v>4.2850867354726058E-4</v>
      </c>
      <c r="C618" s="232">
        <v>66.92</v>
      </c>
      <c r="D618" s="35">
        <v>5.0603783823075608</v>
      </c>
      <c r="E618" s="232">
        <v>36.909999999999997</v>
      </c>
      <c r="F618" s="35">
        <v>5.0490793690163764</v>
      </c>
      <c r="G618" s="232">
        <v>12328.21</v>
      </c>
      <c r="H618" s="35">
        <v>8.8656353651486484</v>
      </c>
      <c r="I618" s="232">
        <v>13641.29</v>
      </c>
      <c r="J618" s="35">
        <v>7.9912870072585047</v>
      </c>
      <c r="K618" s="232">
        <v>15428.48</v>
      </c>
      <c r="L618" s="35">
        <v>8.8978535759187078</v>
      </c>
      <c r="M618" s="232">
        <v>41492.04</v>
      </c>
      <c r="N618" s="35">
        <v>7.9663650502981129</v>
      </c>
      <c r="P618" s="232">
        <v>-30</v>
      </c>
      <c r="Q618" s="35">
        <v>1.1299013291184323E-2</v>
      </c>
      <c r="R618" s="232">
        <v>1313.08</v>
      </c>
      <c r="S618" s="35">
        <v>0.87434835789014365</v>
      </c>
      <c r="T618" s="232">
        <v>26063.56</v>
      </c>
      <c r="U618" s="35">
        <v>0.93148852562059492</v>
      </c>
      <c r="W618" s="35">
        <f t="shared" si="61"/>
        <v>594.95066455921619</v>
      </c>
      <c r="X618" s="35">
        <f t="shared" si="62"/>
        <v>42404.337894507182</v>
      </c>
      <c r="Y618" s="35">
        <f t="shared" si="63"/>
        <v>20510.866281029743</v>
      </c>
      <c r="Z618" s="35">
        <f t="shared" si="64"/>
        <v>0</v>
      </c>
      <c r="AA618" s="35">
        <f t="shared" si="65"/>
        <v>1</v>
      </c>
      <c r="AB618" s="35">
        <f t="shared" si="66"/>
        <v>0</v>
      </c>
    </row>
    <row r="619" spans="1:28">
      <c r="A619" s="35">
        <v>608</v>
      </c>
      <c r="B619" s="35">
        <v>4.805553591711309E-4</v>
      </c>
      <c r="C619" s="232">
        <v>71.260000000000005</v>
      </c>
      <c r="D619" s="35">
        <v>5.064475624581096</v>
      </c>
      <c r="E619" s="232">
        <v>50.29</v>
      </c>
      <c r="F619" s="35">
        <v>5.0552963240842343</v>
      </c>
      <c r="G619" s="232">
        <v>11283.64</v>
      </c>
      <c r="H619" s="35">
        <v>8.8113266352399187</v>
      </c>
      <c r="I619" s="232">
        <v>12385.44</v>
      </c>
      <c r="J619" s="35">
        <v>7.1633961781064217</v>
      </c>
      <c r="K619" s="232">
        <v>12753.32</v>
      </c>
      <c r="L619" s="35">
        <v>9.0041681540132679</v>
      </c>
      <c r="M619" s="232">
        <v>38833.550000000003</v>
      </c>
      <c r="N619" s="35">
        <v>7.8704973770008797</v>
      </c>
      <c r="P619" s="232">
        <v>-20.97</v>
      </c>
      <c r="Q619" s="35">
        <v>9.1793004968616643E-3</v>
      </c>
      <c r="R619" s="232">
        <v>1101.8</v>
      </c>
      <c r="S619" s="35">
        <v>1.647930457133497</v>
      </c>
      <c r="T619" s="232">
        <v>26080.22</v>
      </c>
      <c r="U619" s="35">
        <v>1.1336707770123882</v>
      </c>
      <c r="W619" s="35">
        <f t="shared" si="61"/>
        <v>479.93502484308317</v>
      </c>
      <c r="X619" s="35">
        <f t="shared" si="62"/>
        <v>81294.722856674838</v>
      </c>
      <c r="Y619" s="35">
        <f t="shared" si="63"/>
        <v>30603.318850619406</v>
      </c>
      <c r="Z619" s="35">
        <f t="shared" si="64"/>
        <v>0</v>
      </c>
      <c r="AA619" s="35">
        <f t="shared" si="65"/>
        <v>1</v>
      </c>
      <c r="AB619" s="35">
        <f t="shared" si="66"/>
        <v>0</v>
      </c>
    </row>
    <row r="620" spans="1:28">
      <c r="A620" s="35">
        <v>609</v>
      </c>
      <c r="B620" s="35">
        <v>3.7626495159011418E-4</v>
      </c>
      <c r="C620" s="232">
        <v>63.1</v>
      </c>
      <c r="D620" s="35">
        <v>5.057056843582493</v>
      </c>
      <c r="E620" s="232">
        <v>39.200000000000003</v>
      </c>
      <c r="F620" s="35">
        <v>5.0486986377701264</v>
      </c>
      <c r="G620" s="232">
        <v>12798.99</v>
      </c>
      <c r="H620" s="35">
        <v>8.4789244481564339</v>
      </c>
      <c r="I620" s="232">
        <v>13488.01</v>
      </c>
      <c r="J620" s="35">
        <v>7.2180885468990947</v>
      </c>
      <c r="K620" s="232">
        <v>17086.57</v>
      </c>
      <c r="L620" s="35">
        <v>8.8255919248135974</v>
      </c>
      <c r="M620" s="232">
        <v>43337.96</v>
      </c>
      <c r="N620" s="35">
        <v>7.7613837212852443</v>
      </c>
      <c r="P620" s="232">
        <v>-23.9</v>
      </c>
      <c r="Q620" s="35">
        <v>8.3582058123665703E-3</v>
      </c>
      <c r="R620" s="232">
        <v>689.02</v>
      </c>
      <c r="S620" s="35">
        <v>1.2608359012573391</v>
      </c>
      <c r="T620" s="232">
        <v>26251.39</v>
      </c>
      <c r="U620" s="35">
        <v>1.0642082035283531</v>
      </c>
      <c r="W620" s="35">
        <f t="shared" si="61"/>
        <v>441.81029061832851</v>
      </c>
      <c r="X620" s="35">
        <f t="shared" si="62"/>
        <v>62352.77506286696</v>
      </c>
      <c r="Y620" s="35">
        <f t="shared" si="63"/>
        <v>26959.020176417653</v>
      </c>
      <c r="Z620" s="35">
        <f t="shared" si="64"/>
        <v>0</v>
      </c>
      <c r="AA620" s="35">
        <f t="shared" si="65"/>
        <v>1</v>
      </c>
      <c r="AB620" s="35">
        <f t="shared" si="66"/>
        <v>0</v>
      </c>
    </row>
    <row r="621" spans="1:28">
      <c r="A621" s="35">
        <v>610</v>
      </c>
      <c r="B621" s="35">
        <v>5.3319722869871189E-4</v>
      </c>
      <c r="C621" s="232">
        <v>95.62</v>
      </c>
      <c r="D621" s="35">
        <v>5.065101412164851</v>
      </c>
      <c r="E621" s="232">
        <v>57.75</v>
      </c>
      <c r="F621" s="35">
        <v>5.0532936212275725</v>
      </c>
      <c r="G621" s="232">
        <v>13620.41</v>
      </c>
      <c r="H621" s="35">
        <v>8.6625834861971729</v>
      </c>
      <c r="I621" s="232">
        <v>14313.73</v>
      </c>
      <c r="J621" s="35">
        <v>7.6505716280120097</v>
      </c>
      <c r="K621" s="232">
        <v>18397.84</v>
      </c>
      <c r="L621" s="35">
        <v>8.387488421875112</v>
      </c>
      <c r="M621" s="232">
        <v>44637.77</v>
      </c>
      <c r="N621" s="35">
        <v>7.3104947041757633</v>
      </c>
      <c r="P621" s="232">
        <v>-37.869999999999997</v>
      </c>
      <c r="Q621" s="35">
        <v>1.1807790937278462E-2</v>
      </c>
      <c r="R621" s="232">
        <v>693.32</v>
      </c>
      <c r="S621" s="35">
        <v>1.0120118581851631</v>
      </c>
      <c r="T621" s="232">
        <v>26239.93</v>
      </c>
      <c r="U621" s="35">
        <v>1.0769937176993487</v>
      </c>
      <c r="W621" s="35">
        <f t="shared" si="61"/>
        <v>628.25954686392311</v>
      </c>
      <c r="X621" s="35">
        <f t="shared" si="62"/>
        <v>49907.272909258158</v>
      </c>
      <c r="Y621" s="35">
        <f t="shared" si="63"/>
        <v>27609.755884967431</v>
      </c>
      <c r="Z621" s="35">
        <f t="shared" si="64"/>
        <v>0</v>
      </c>
      <c r="AA621" s="35">
        <f t="shared" si="65"/>
        <v>1</v>
      </c>
      <c r="AB621" s="35">
        <f t="shared" si="66"/>
        <v>0</v>
      </c>
    </row>
    <row r="622" spans="1:28">
      <c r="A622" s="35">
        <v>611</v>
      </c>
      <c r="B622" s="35">
        <v>4.8608725124532626E-4</v>
      </c>
      <c r="C622" s="232">
        <v>86.16</v>
      </c>
      <c r="D622" s="35">
        <v>5.0659686333495069</v>
      </c>
      <c r="E622" s="232">
        <v>51.92</v>
      </c>
      <c r="F622" s="35">
        <v>5.0536281899879487</v>
      </c>
      <c r="G622" s="232">
        <v>14686.54</v>
      </c>
      <c r="H622" s="35">
        <v>9.2783663660271198</v>
      </c>
      <c r="I622" s="232">
        <v>16184.63</v>
      </c>
      <c r="J622" s="35">
        <v>7.863421387806226</v>
      </c>
      <c r="K622" s="232">
        <v>17360.23</v>
      </c>
      <c r="L622" s="35">
        <v>9.0557916157841429</v>
      </c>
      <c r="M622" s="232">
        <v>43603.46</v>
      </c>
      <c r="N622" s="35">
        <v>8.0085862707737476</v>
      </c>
      <c r="P622" s="232">
        <v>-34.24</v>
      </c>
      <c r="Q622" s="35">
        <v>1.2340443361558151E-2</v>
      </c>
      <c r="R622" s="232">
        <v>1498.09</v>
      </c>
      <c r="S622" s="35">
        <v>1.4149449782208938</v>
      </c>
      <c r="T622" s="232">
        <v>26243.23</v>
      </c>
      <c r="U622" s="35">
        <v>1.0472053450103953</v>
      </c>
      <c r="W622" s="35">
        <f t="shared" si="61"/>
        <v>651.26216807790752</v>
      </c>
      <c r="X622" s="35">
        <f t="shared" si="62"/>
        <v>69249.158911044695</v>
      </c>
      <c r="Y622" s="35">
        <f t="shared" si="63"/>
        <v>26117.037250519763</v>
      </c>
      <c r="Z622" s="35">
        <f t="shared" si="64"/>
        <v>0</v>
      </c>
      <c r="AA622" s="35">
        <f t="shared" si="65"/>
        <v>1</v>
      </c>
      <c r="AB622" s="35">
        <f t="shared" si="66"/>
        <v>0</v>
      </c>
    </row>
    <row r="623" spans="1:28">
      <c r="A623" s="35">
        <v>612</v>
      </c>
      <c r="B623" s="35">
        <v>5.8911994573607185E-4</v>
      </c>
      <c r="C623" s="232">
        <v>94.87</v>
      </c>
      <c r="D623" s="35">
        <v>5.0673174788975102</v>
      </c>
      <c r="E623" s="232">
        <v>62.89</v>
      </c>
      <c r="F623" s="35">
        <v>5.05627227709072</v>
      </c>
      <c r="G623" s="232">
        <v>12318.68</v>
      </c>
      <c r="H623" s="35">
        <v>8.6249497582368164</v>
      </c>
      <c r="I623" s="232">
        <v>12407.6</v>
      </c>
      <c r="J623" s="35">
        <v>6.8908300854809781</v>
      </c>
      <c r="K623" s="232">
        <v>15442.42</v>
      </c>
      <c r="L623" s="35">
        <v>8.4055477320831908</v>
      </c>
      <c r="M623" s="232">
        <v>41593.120000000003</v>
      </c>
      <c r="N623" s="35">
        <v>7.3851950181681616</v>
      </c>
      <c r="P623" s="232">
        <v>-31.98</v>
      </c>
      <c r="Q623" s="35">
        <v>1.1045201806790139E-2</v>
      </c>
      <c r="R623" s="232">
        <v>88.92</v>
      </c>
      <c r="S623" s="35">
        <v>1.7341196727558383</v>
      </c>
      <c r="T623" s="232">
        <v>26150.7</v>
      </c>
      <c r="U623" s="35">
        <v>1.0203527139150292</v>
      </c>
      <c r="W623" s="35">
        <f t="shared" si="61"/>
        <v>584.24009033950699</v>
      </c>
      <c r="X623" s="35">
        <f t="shared" si="62"/>
        <v>86617.063637791915</v>
      </c>
      <c r="Y623" s="35">
        <f t="shared" si="63"/>
        <v>24866.935695751465</v>
      </c>
      <c r="Z623" s="35">
        <f t="shared" si="64"/>
        <v>0</v>
      </c>
      <c r="AA623" s="35">
        <f t="shared" si="65"/>
        <v>1</v>
      </c>
      <c r="AB623" s="35">
        <f t="shared" si="66"/>
        <v>0</v>
      </c>
    </row>
    <row r="624" spans="1:28">
      <c r="A624" s="35">
        <v>613</v>
      </c>
      <c r="B624" s="35">
        <v>4.786390549792463E-4</v>
      </c>
      <c r="C624" s="232">
        <v>91.39</v>
      </c>
      <c r="D624" s="35">
        <v>5.0626933819079474</v>
      </c>
      <c r="E624" s="232">
        <v>53.73</v>
      </c>
      <c r="F624" s="35">
        <v>5.0514906469326926</v>
      </c>
      <c r="G624" s="232">
        <v>13690.99</v>
      </c>
      <c r="H624" s="35">
        <v>8.4744799743872505</v>
      </c>
      <c r="I624" s="232">
        <v>12091.99</v>
      </c>
      <c r="J624" s="35">
        <v>6.5532979401823725</v>
      </c>
      <c r="K624" s="232">
        <v>20494.28</v>
      </c>
      <c r="L624" s="35">
        <v>9.1122435612917325</v>
      </c>
      <c r="M624" s="232">
        <v>46751.82</v>
      </c>
      <c r="N624" s="35">
        <v>8.098979846999141</v>
      </c>
      <c r="P624" s="232">
        <v>-37.659999999999997</v>
      </c>
      <c r="Q624" s="35">
        <v>1.1202734975254813E-2</v>
      </c>
      <c r="R624" s="232">
        <v>-1598.99</v>
      </c>
      <c r="S624" s="35">
        <v>1.921182034204878</v>
      </c>
      <c r="T624" s="232">
        <v>26257.54</v>
      </c>
      <c r="U624" s="35">
        <v>1.0132637142925915</v>
      </c>
      <c r="W624" s="35">
        <f t="shared" si="61"/>
        <v>597.79674876274066</v>
      </c>
      <c r="X624" s="35">
        <f t="shared" si="62"/>
        <v>97658.091710243898</v>
      </c>
      <c r="Y624" s="35">
        <f t="shared" si="63"/>
        <v>24405.64571462958</v>
      </c>
      <c r="Z624" s="35">
        <f t="shared" si="64"/>
        <v>0</v>
      </c>
      <c r="AA624" s="35">
        <f t="shared" si="65"/>
        <v>1</v>
      </c>
      <c r="AB624" s="35">
        <f t="shared" si="66"/>
        <v>0</v>
      </c>
    </row>
    <row r="625" spans="1:28">
      <c r="A625" s="35">
        <v>614</v>
      </c>
      <c r="B625" s="35">
        <v>3.9370699029014515E-4</v>
      </c>
      <c r="C625" s="232">
        <v>53.63</v>
      </c>
      <c r="D625" s="35">
        <v>5.0581634223358005</v>
      </c>
      <c r="E625" s="232">
        <v>32.04</v>
      </c>
      <c r="F625" s="35">
        <v>5.0486308183879745</v>
      </c>
      <c r="G625" s="232">
        <v>10129.030000000001</v>
      </c>
      <c r="H625" s="35">
        <v>8.6659043958628974</v>
      </c>
      <c r="I625" s="232">
        <v>11056.63</v>
      </c>
      <c r="J625" s="35">
        <v>7.7898690315535681</v>
      </c>
      <c r="K625" s="232">
        <v>15179.85</v>
      </c>
      <c r="L625" s="35">
        <v>8.6751924931475592</v>
      </c>
      <c r="M625" s="232">
        <v>41267.449999999997</v>
      </c>
      <c r="N625" s="35">
        <v>7.5346722026680428</v>
      </c>
      <c r="P625" s="232">
        <v>-21.59</v>
      </c>
      <c r="Q625" s="35">
        <v>9.5326039478260682E-3</v>
      </c>
      <c r="R625" s="232">
        <v>927.59</v>
      </c>
      <c r="S625" s="35">
        <v>0.87603536430932927</v>
      </c>
      <c r="T625" s="232">
        <v>26087.599999999999</v>
      </c>
      <c r="U625" s="35">
        <v>1.1405202904795164</v>
      </c>
      <c r="W625" s="35">
        <f t="shared" si="61"/>
        <v>498.22019739130337</v>
      </c>
      <c r="X625" s="35">
        <f t="shared" si="62"/>
        <v>42874.178215466469</v>
      </c>
      <c r="Y625" s="35">
        <f t="shared" si="63"/>
        <v>30938.414523975822</v>
      </c>
      <c r="Z625" s="35">
        <f t="shared" si="64"/>
        <v>0</v>
      </c>
      <c r="AA625" s="35">
        <f t="shared" si="65"/>
        <v>1</v>
      </c>
      <c r="AB625" s="35">
        <f t="shared" si="66"/>
        <v>0</v>
      </c>
    </row>
    <row r="626" spans="1:28">
      <c r="A626" s="35">
        <v>615</v>
      </c>
      <c r="B626" s="35">
        <v>4.305868773510984E-4</v>
      </c>
      <c r="C626" s="232">
        <v>56.97</v>
      </c>
      <c r="D626" s="35">
        <v>5.0596293357771165</v>
      </c>
      <c r="E626" s="232">
        <v>35.21</v>
      </c>
      <c r="F626" s="35">
        <v>5.049941805255961</v>
      </c>
      <c r="G626" s="232">
        <v>9665.59</v>
      </c>
      <c r="H626" s="35">
        <v>8.2342254982085645</v>
      </c>
      <c r="I626" s="232">
        <v>9824.69</v>
      </c>
      <c r="J626" s="35">
        <v>6.4979861363355678</v>
      </c>
      <c r="K626" s="232">
        <v>14337.78</v>
      </c>
      <c r="L626" s="35">
        <v>8.9933269065759376</v>
      </c>
      <c r="M626" s="232">
        <v>40367.54</v>
      </c>
      <c r="N626" s="35">
        <v>7.908132672630023</v>
      </c>
      <c r="P626" s="232">
        <v>-21.76</v>
      </c>
      <c r="Q626" s="35">
        <v>9.6875305211554519E-3</v>
      </c>
      <c r="R626" s="232">
        <v>159.1</v>
      </c>
      <c r="S626" s="35">
        <v>1.7362393618729968</v>
      </c>
      <c r="T626" s="232">
        <v>26029.759999999998</v>
      </c>
      <c r="U626" s="35">
        <v>1.0851942339459146</v>
      </c>
      <c r="W626" s="35">
        <f t="shared" si="61"/>
        <v>506.13652605777258</v>
      </c>
      <c r="X626" s="35">
        <f t="shared" si="62"/>
        <v>86652.868093649828</v>
      </c>
      <c r="Y626" s="35">
        <f t="shared" si="63"/>
        <v>28229.951697295732</v>
      </c>
      <c r="Z626" s="35">
        <f t="shared" si="64"/>
        <v>0</v>
      </c>
      <c r="AA626" s="35">
        <f t="shared" si="65"/>
        <v>1</v>
      </c>
      <c r="AB626" s="35">
        <f t="shared" si="66"/>
        <v>0</v>
      </c>
    </row>
    <row r="627" spans="1:28">
      <c r="A627" s="35">
        <v>616</v>
      </c>
      <c r="B627" s="35">
        <v>4.0745571061933316E-4</v>
      </c>
      <c r="C627" s="232">
        <v>81.44</v>
      </c>
      <c r="D627" s="35">
        <v>5.0599515676449816</v>
      </c>
      <c r="E627" s="232">
        <v>44.71</v>
      </c>
      <c r="F627" s="35">
        <v>5.0490244874680625</v>
      </c>
      <c r="G627" s="232">
        <v>15726.04</v>
      </c>
      <c r="H627" s="35">
        <v>9.0056686885407355</v>
      </c>
      <c r="I627" s="232">
        <v>16227.77</v>
      </c>
      <c r="J627" s="35">
        <v>7.7273318617193665</v>
      </c>
      <c r="K627" s="232">
        <v>20231.599999999999</v>
      </c>
      <c r="L627" s="35">
        <v>8.7263652009510508</v>
      </c>
      <c r="M627" s="232">
        <v>46703.94</v>
      </c>
      <c r="N627" s="35">
        <v>7.5265038954729837</v>
      </c>
      <c r="P627" s="232">
        <v>-36.729999999999997</v>
      </c>
      <c r="Q627" s="35">
        <v>1.0927080176919013E-2</v>
      </c>
      <c r="R627" s="232">
        <v>501.73</v>
      </c>
      <c r="S627" s="35">
        <v>1.2783368268213691</v>
      </c>
      <c r="T627" s="232">
        <v>26472.35</v>
      </c>
      <c r="U627" s="35">
        <v>1.1998613054780671</v>
      </c>
      <c r="W627" s="35">
        <f t="shared" si="61"/>
        <v>583.08400884595062</v>
      </c>
      <c r="X627" s="35">
        <f t="shared" si="62"/>
        <v>63415.111341068448</v>
      </c>
      <c r="Y627" s="35">
        <f t="shared" si="63"/>
        <v>33520.715273903355</v>
      </c>
      <c r="Z627" s="35">
        <f t="shared" si="64"/>
        <v>0</v>
      </c>
      <c r="AA627" s="35">
        <f t="shared" si="65"/>
        <v>1</v>
      </c>
      <c r="AB627" s="35">
        <f t="shared" si="66"/>
        <v>0</v>
      </c>
    </row>
    <row r="628" spans="1:28">
      <c r="A628" s="35">
        <v>617</v>
      </c>
      <c r="B628" s="35">
        <v>4.7197016263489378E-4</v>
      </c>
      <c r="C628" s="232">
        <v>60.97</v>
      </c>
      <c r="D628" s="35">
        <v>5.0621733316586726</v>
      </c>
      <c r="E628" s="232">
        <v>38.03</v>
      </c>
      <c r="F628" s="35">
        <v>5.0515915282832724</v>
      </c>
      <c r="G628" s="232">
        <v>10179.41</v>
      </c>
      <c r="H628" s="35">
        <v>8.5319345696757178</v>
      </c>
      <c r="I628" s="232">
        <v>12120.86</v>
      </c>
      <c r="J628" s="35">
        <v>8.1362462353895602</v>
      </c>
      <c r="K628" s="232">
        <v>13186.35</v>
      </c>
      <c r="L628" s="35">
        <v>8.7532983355512037</v>
      </c>
      <c r="M628" s="232">
        <v>39313.06</v>
      </c>
      <c r="N628" s="35">
        <v>7.6729006415939125</v>
      </c>
      <c r="P628" s="232">
        <v>-22.94</v>
      </c>
      <c r="Q628" s="35">
        <v>1.0581803375400156E-2</v>
      </c>
      <c r="R628" s="232">
        <v>1941.46</v>
      </c>
      <c r="S628" s="35">
        <v>0.39568833428615768</v>
      </c>
      <c r="T628" s="232">
        <v>26126.720000000001</v>
      </c>
      <c r="U628" s="35">
        <v>1.0803976939572912</v>
      </c>
      <c r="W628" s="35">
        <f t="shared" si="61"/>
        <v>552.03016877000789</v>
      </c>
      <c r="X628" s="35">
        <f t="shared" si="62"/>
        <v>17842.956714307886</v>
      </c>
      <c r="Y628" s="35">
        <f t="shared" si="63"/>
        <v>27893.164697864559</v>
      </c>
      <c r="Z628" s="35">
        <f t="shared" si="64"/>
        <v>0</v>
      </c>
      <c r="AA628" s="35">
        <f t="shared" si="65"/>
        <v>0</v>
      </c>
      <c r="AB628" s="35">
        <f t="shared" si="66"/>
        <v>1</v>
      </c>
    </row>
    <row r="629" spans="1:28">
      <c r="A629" s="35">
        <v>618</v>
      </c>
      <c r="B629" s="35">
        <v>4.3515106613881491E-4</v>
      </c>
      <c r="C629" s="232">
        <v>56.18</v>
      </c>
      <c r="D629" s="35">
        <v>5.0602943329019947</v>
      </c>
      <c r="E629" s="232">
        <v>34.11</v>
      </c>
      <c r="F629" s="35">
        <v>5.0500444725350446</v>
      </c>
      <c r="G629" s="232">
        <v>10340.86</v>
      </c>
      <c r="H629" s="35">
        <v>8.6626596685427586</v>
      </c>
      <c r="I629" s="232">
        <v>12032.58</v>
      </c>
      <c r="J629" s="35">
        <v>7.7295447735251024</v>
      </c>
      <c r="K629" s="232">
        <v>12220.24</v>
      </c>
      <c r="L629" s="35">
        <v>8.6509471123597823</v>
      </c>
      <c r="M629" s="232">
        <v>38190.79</v>
      </c>
      <c r="N629" s="35">
        <v>7.6208274272955201</v>
      </c>
      <c r="P629" s="232">
        <v>-22.08</v>
      </c>
      <c r="Q629" s="35">
        <v>1.0249860366950081E-2</v>
      </c>
      <c r="R629" s="232">
        <v>1691.73</v>
      </c>
      <c r="S629" s="35">
        <v>0.93311489501765621</v>
      </c>
      <c r="T629" s="232">
        <v>25970.55</v>
      </c>
      <c r="U629" s="35">
        <v>1.0301196850642622</v>
      </c>
      <c r="W629" s="35">
        <f t="shared" si="61"/>
        <v>534.5730183475041</v>
      </c>
      <c r="X629" s="35">
        <f t="shared" si="62"/>
        <v>44964.014750882809</v>
      </c>
      <c r="Y629" s="35">
        <f t="shared" si="63"/>
        <v>25535.434253213109</v>
      </c>
      <c r="Z629" s="35">
        <f t="shared" si="64"/>
        <v>0</v>
      </c>
      <c r="AA629" s="35">
        <f t="shared" si="65"/>
        <v>1</v>
      </c>
      <c r="AB629" s="35">
        <f t="shared" si="66"/>
        <v>0</v>
      </c>
    </row>
    <row r="630" spans="1:28">
      <c r="A630" s="35">
        <v>619</v>
      </c>
      <c r="B630" s="35">
        <v>4.6800230990784453E-4</v>
      </c>
      <c r="C630" s="232">
        <v>64.41</v>
      </c>
      <c r="D630" s="35">
        <v>5.0615904551315358</v>
      </c>
      <c r="E630" s="232">
        <v>40.909999999999997</v>
      </c>
      <c r="F630" s="35">
        <v>5.0516075661761306</v>
      </c>
      <c r="G630" s="232">
        <v>11346.58</v>
      </c>
      <c r="H630" s="35">
        <v>8.6231503147202027</v>
      </c>
      <c r="I630" s="232">
        <v>13026.86</v>
      </c>
      <c r="J630" s="35">
        <v>7.0526089282472881</v>
      </c>
      <c r="K630" s="232">
        <v>12738.25</v>
      </c>
      <c r="L630" s="35">
        <v>8.3627197374696962</v>
      </c>
      <c r="M630" s="232">
        <v>38800.239999999998</v>
      </c>
      <c r="N630" s="35">
        <v>7.2345256620173517</v>
      </c>
      <c r="P630" s="232">
        <v>-23.5</v>
      </c>
      <c r="Q630" s="35">
        <v>9.9828889554052225E-3</v>
      </c>
      <c r="R630" s="232">
        <v>1680.29</v>
      </c>
      <c r="S630" s="35">
        <v>1.5705413864729145</v>
      </c>
      <c r="T630" s="232">
        <v>26061.99</v>
      </c>
      <c r="U630" s="35">
        <v>1.1281940754523445</v>
      </c>
      <c r="W630" s="35">
        <f t="shared" si="61"/>
        <v>522.64444777026119</v>
      </c>
      <c r="X630" s="35">
        <f t="shared" si="62"/>
        <v>76846.779323645736</v>
      </c>
      <c r="Y630" s="35">
        <f t="shared" si="63"/>
        <v>30347.713772617226</v>
      </c>
      <c r="Z630" s="35">
        <f t="shared" si="64"/>
        <v>0</v>
      </c>
      <c r="AA630" s="35">
        <f t="shared" si="65"/>
        <v>1</v>
      </c>
      <c r="AB630" s="35">
        <f t="shared" si="66"/>
        <v>0</v>
      </c>
    </row>
    <row r="631" spans="1:28">
      <c r="A631" s="35">
        <v>620</v>
      </c>
      <c r="B631" s="35">
        <v>4.6143787576091722E-4</v>
      </c>
      <c r="C631" s="232">
        <v>84.21</v>
      </c>
      <c r="D631" s="35">
        <v>5.064216517889804</v>
      </c>
      <c r="E631" s="232">
        <v>55.17</v>
      </c>
      <c r="F631" s="35">
        <v>5.0540033765675227</v>
      </c>
      <c r="G631" s="232">
        <v>14429</v>
      </c>
      <c r="H631" s="35">
        <v>9.4128355574046942</v>
      </c>
      <c r="I631" s="232">
        <v>14955.83</v>
      </c>
      <c r="J631" s="35">
        <v>7.7701881654496257</v>
      </c>
      <c r="K631" s="232">
        <v>17047.93</v>
      </c>
      <c r="L631" s="35">
        <v>8.5428094748616434</v>
      </c>
      <c r="M631" s="232">
        <v>43167.34</v>
      </c>
      <c r="N631" s="35">
        <v>7.3679329314843294</v>
      </c>
      <c r="P631" s="232">
        <v>-29.04</v>
      </c>
      <c r="Q631" s="35">
        <v>1.0213141322281238E-2</v>
      </c>
      <c r="R631" s="232">
        <v>526.83000000000004</v>
      </c>
      <c r="S631" s="35">
        <v>1.6426473919550686</v>
      </c>
      <c r="T631" s="232">
        <v>26119.41</v>
      </c>
      <c r="U631" s="35">
        <v>1.1748765433773141</v>
      </c>
      <c r="W631" s="35">
        <f t="shared" si="61"/>
        <v>539.69706611406195</v>
      </c>
      <c r="X631" s="35">
        <f t="shared" si="62"/>
        <v>81605.539597753421</v>
      </c>
      <c r="Y631" s="35">
        <f t="shared" si="63"/>
        <v>32624.417168865704</v>
      </c>
      <c r="Z631" s="35">
        <f t="shared" si="64"/>
        <v>0</v>
      </c>
      <c r="AA631" s="35">
        <f t="shared" si="65"/>
        <v>1</v>
      </c>
      <c r="AB631" s="35">
        <f t="shared" si="66"/>
        <v>0</v>
      </c>
    </row>
    <row r="632" spans="1:28">
      <c r="A632" s="35">
        <v>621</v>
      </c>
      <c r="B632" s="35">
        <v>3.9059575128268551E-4</v>
      </c>
      <c r="C632" s="232">
        <v>70.44</v>
      </c>
      <c r="D632" s="35">
        <v>5.0597512930150703</v>
      </c>
      <c r="E632" s="232">
        <v>43.35</v>
      </c>
      <c r="F632" s="35">
        <v>5.0502219627214471</v>
      </c>
      <c r="G632" s="232">
        <v>13762.12</v>
      </c>
      <c r="H632" s="35">
        <v>9.2044532298047894</v>
      </c>
      <c r="I632" s="232">
        <v>13168.62</v>
      </c>
      <c r="J632" s="35">
        <v>7.3661245910122402</v>
      </c>
      <c r="K632" s="232">
        <v>18026.66</v>
      </c>
      <c r="L632" s="35">
        <v>8.6715940556496811</v>
      </c>
      <c r="M632" s="232">
        <v>44281.760000000002</v>
      </c>
      <c r="N632" s="35">
        <v>7.5011681434265132</v>
      </c>
      <c r="P632" s="232">
        <v>-27.08</v>
      </c>
      <c r="Q632" s="35">
        <v>9.5293302936232394E-3</v>
      </c>
      <c r="R632" s="232">
        <v>-593.49</v>
      </c>
      <c r="S632" s="35">
        <v>1.8383286387925493</v>
      </c>
      <c r="T632" s="232">
        <v>26255.1</v>
      </c>
      <c r="U632" s="35">
        <v>1.1704259122231679</v>
      </c>
      <c r="W632" s="35">
        <f t="shared" si="61"/>
        <v>503.54651468116197</v>
      </c>
      <c r="X632" s="35">
        <f t="shared" si="62"/>
        <v>92509.921939627471</v>
      </c>
      <c r="Y632" s="35">
        <f t="shared" si="63"/>
        <v>32266.1956111584</v>
      </c>
      <c r="Z632" s="35">
        <f t="shared" si="64"/>
        <v>0</v>
      </c>
      <c r="AA632" s="35">
        <f t="shared" si="65"/>
        <v>1</v>
      </c>
      <c r="AB632" s="35">
        <f t="shared" si="66"/>
        <v>0</v>
      </c>
    </row>
    <row r="633" spans="1:28">
      <c r="A633" s="35">
        <v>622</v>
      </c>
      <c r="B633" s="35">
        <v>4.9852821609008835E-4</v>
      </c>
      <c r="C633" s="232">
        <v>77.900000000000006</v>
      </c>
      <c r="D633" s="35">
        <v>5.0659431201945635</v>
      </c>
      <c r="E633" s="232">
        <v>55.32</v>
      </c>
      <c r="F633" s="35">
        <v>5.0565016529239868</v>
      </c>
      <c r="G633" s="232">
        <v>11173.81</v>
      </c>
      <c r="H633" s="35">
        <v>8.858050801230501</v>
      </c>
      <c r="I633" s="232">
        <v>10777.34</v>
      </c>
      <c r="J633" s="35">
        <v>7.2623490353262232</v>
      </c>
      <c r="K633" s="232">
        <v>17121.509999999998</v>
      </c>
      <c r="L633" s="35">
        <v>9.2374870435522158</v>
      </c>
      <c r="M633" s="232">
        <v>43359.07</v>
      </c>
      <c r="N633" s="35">
        <v>8.2086251474514089</v>
      </c>
      <c r="P633" s="232">
        <v>-22.59</v>
      </c>
      <c r="Q633" s="35">
        <v>9.4414672705767089E-3</v>
      </c>
      <c r="R633" s="232">
        <v>-396.46</v>
      </c>
      <c r="S633" s="35">
        <v>1.5957017659042778</v>
      </c>
      <c r="T633" s="232">
        <v>26237.56</v>
      </c>
      <c r="U633" s="35">
        <v>1.0288618961008069</v>
      </c>
      <c r="W633" s="35">
        <f t="shared" si="61"/>
        <v>494.66336352883542</v>
      </c>
      <c r="X633" s="35">
        <f t="shared" si="62"/>
        <v>80181.548295213899</v>
      </c>
      <c r="Y633" s="35">
        <f t="shared" si="63"/>
        <v>25205.534805040345</v>
      </c>
      <c r="Z633" s="35">
        <f t="shared" si="64"/>
        <v>0</v>
      </c>
      <c r="AA633" s="35">
        <f t="shared" si="65"/>
        <v>1</v>
      </c>
      <c r="AB633" s="35">
        <f t="shared" si="66"/>
        <v>0</v>
      </c>
    </row>
    <row r="634" spans="1:28">
      <c r="A634" s="35">
        <v>623</v>
      </c>
      <c r="B634" s="35">
        <v>5.4704107450309625E-4</v>
      </c>
      <c r="C634" s="232">
        <v>70</v>
      </c>
      <c r="D634" s="35">
        <v>5.0657956116168013</v>
      </c>
      <c r="E634" s="232">
        <v>42.81</v>
      </c>
      <c r="F634" s="35">
        <v>5.0535096798640353</v>
      </c>
      <c r="G634" s="232">
        <v>9426.2800000000007</v>
      </c>
      <c r="H634" s="35">
        <v>8.5762238340949448</v>
      </c>
      <c r="I634" s="232">
        <v>10176.379999999999</v>
      </c>
      <c r="J634" s="35">
        <v>7.2433685259150309</v>
      </c>
      <c r="K634" s="232">
        <v>12157.72</v>
      </c>
      <c r="L634" s="35">
        <v>8.6022948078758041</v>
      </c>
      <c r="M634" s="232">
        <v>38190.379999999997</v>
      </c>
      <c r="N634" s="35">
        <v>7.5065895742143427</v>
      </c>
      <c r="P634" s="232">
        <v>-27.19</v>
      </c>
      <c r="Q634" s="35">
        <v>1.2285931752765933E-2</v>
      </c>
      <c r="R634" s="232">
        <v>750.1</v>
      </c>
      <c r="S634" s="35">
        <v>1.3328553081799139</v>
      </c>
      <c r="T634" s="232">
        <v>26032.67</v>
      </c>
      <c r="U634" s="35">
        <v>1.0957052336614614</v>
      </c>
      <c r="W634" s="35">
        <f t="shared" si="61"/>
        <v>641.48658763829667</v>
      </c>
      <c r="X634" s="35">
        <f t="shared" si="62"/>
        <v>65892.665408995686</v>
      </c>
      <c r="Y634" s="35">
        <f t="shared" si="63"/>
        <v>28752.591683073071</v>
      </c>
      <c r="Z634" s="35">
        <f t="shared" si="64"/>
        <v>0</v>
      </c>
      <c r="AA634" s="35">
        <f t="shared" si="65"/>
        <v>1</v>
      </c>
      <c r="AB634" s="35">
        <f t="shared" si="66"/>
        <v>0</v>
      </c>
    </row>
    <row r="635" spans="1:28">
      <c r="A635" s="35">
        <v>624</v>
      </c>
      <c r="B635" s="35">
        <v>5.9929728044760822E-4</v>
      </c>
      <c r="C635" s="232">
        <v>76.2</v>
      </c>
      <c r="D635" s="35">
        <v>5.0664776985893889</v>
      </c>
      <c r="E635" s="232">
        <v>55.28</v>
      </c>
      <c r="F635" s="35">
        <v>5.0572643042760177</v>
      </c>
      <c r="G635" s="232">
        <v>9769.35</v>
      </c>
      <c r="H635" s="35">
        <v>8.1191456043453574</v>
      </c>
      <c r="I635" s="232">
        <v>11271.67</v>
      </c>
      <c r="J635" s="35">
        <v>6.7495670551657074</v>
      </c>
      <c r="K635" s="232">
        <v>10805.79</v>
      </c>
      <c r="L635" s="35">
        <v>8.3866082125904597</v>
      </c>
      <c r="M635" s="232">
        <v>36682.1</v>
      </c>
      <c r="N635" s="35">
        <v>7.3236250573521788</v>
      </c>
      <c r="P635" s="232">
        <v>-20.92</v>
      </c>
      <c r="Q635" s="35">
        <v>9.2133943133712037E-3</v>
      </c>
      <c r="R635" s="232">
        <v>1502.32</v>
      </c>
      <c r="S635" s="35">
        <v>1.3695785491796499</v>
      </c>
      <c r="T635" s="232">
        <v>25876.32</v>
      </c>
      <c r="U635" s="35">
        <v>1.0629831552382809</v>
      </c>
      <c r="W635" s="35">
        <f t="shared" si="61"/>
        <v>481.58971566856019</v>
      </c>
      <c r="X635" s="35">
        <f t="shared" si="62"/>
        <v>66976.607458982486</v>
      </c>
      <c r="Y635" s="35">
        <f t="shared" si="63"/>
        <v>27272.837761914045</v>
      </c>
      <c r="Z635" s="35">
        <f t="shared" si="64"/>
        <v>0</v>
      </c>
      <c r="AA635" s="35">
        <f t="shared" si="65"/>
        <v>1</v>
      </c>
      <c r="AB635" s="35">
        <f t="shared" si="66"/>
        <v>0</v>
      </c>
    </row>
    <row r="636" spans="1:28">
      <c r="A636" s="35">
        <v>625</v>
      </c>
      <c r="B636" s="35">
        <v>4.2047843789900905E-4</v>
      </c>
      <c r="C636" s="232">
        <v>54.14</v>
      </c>
      <c r="D636" s="35">
        <v>5.0590726788582421</v>
      </c>
      <c r="E636" s="232">
        <v>29.79</v>
      </c>
      <c r="F636" s="35">
        <v>5.0481267884925405</v>
      </c>
      <c r="G636" s="232">
        <v>9216.56</v>
      </c>
      <c r="H636" s="35">
        <v>8.4411748707702152</v>
      </c>
      <c r="I636" s="232">
        <v>9994.18</v>
      </c>
      <c r="J636" s="35">
        <v>7.3548458248700532</v>
      </c>
      <c r="K636" s="232">
        <v>12900.18</v>
      </c>
      <c r="L636" s="35">
        <v>8.8884077258197252</v>
      </c>
      <c r="M636" s="232">
        <v>38826.85</v>
      </c>
      <c r="N636" s="35">
        <v>7.8242541975367113</v>
      </c>
      <c r="P636" s="232">
        <v>-24.36</v>
      </c>
      <c r="Q636" s="35">
        <v>1.0945890365701594E-2</v>
      </c>
      <c r="R636" s="232">
        <v>777.62</v>
      </c>
      <c r="S636" s="35">
        <v>1.086329045900162</v>
      </c>
      <c r="T636" s="232">
        <v>25926.68</v>
      </c>
      <c r="U636" s="35">
        <v>1.0641535282830139</v>
      </c>
      <c r="W636" s="35">
        <f t="shared" si="61"/>
        <v>571.65451828507969</v>
      </c>
      <c r="X636" s="35">
        <f t="shared" si="62"/>
        <v>53538.832295008098</v>
      </c>
      <c r="Y636" s="35">
        <f t="shared" si="63"/>
        <v>27280.996414150693</v>
      </c>
      <c r="Z636" s="35">
        <f t="shared" si="64"/>
        <v>0</v>
      </c>
      <c r="AA636" s="35">
        <f t="shared" si="65"/>
        <v>1</v>
      </c>
      <c r="AB636" s="35">
        <f t="shared" si="66"/>
        <v>0</v>
      </c>
    </row>
    <row r="637" spans="1:28">
      <c r="A637" s="35">
        <v>626</v>
      </c>
      <c r="B637" s="35">
        <v>4.5698498880608618E-4</v>
      </c>
      <c r="C637" s="232">
        <v>76.13</v>
      </c>
      <c r="D637" s="35">
        <v>5.0611269312103735</v>
      </c>
      <c r="E637" s="232">
        <v>48.26</v>
      </c>
      <c r="F637" s="35">
        <v>5.0515151937161136</v>
      </c>
      <c r="G637" s="232">
        <v>12312.37</v>
      </c>
      <c r="H637" s="35">
        <v>8.4911969387764472</v>
      </c>
      <c r="I637" s="232">
        <v>13406.76</v>
      </c>
      <c r="J637" s="35">
        <v>7.7005842660823465</v>
      </c>
      <c r="K637" s="232">
        <v>16710.36</v>
      </c>
      <c r="L637" s="35">
        <v>8.5887549362744764</v>
      </c>
      <c r="M637" s="232">
        <v>42802.68</v>
      </c>
      <c r="N637" s="35">
        <v>7.4954231935302928</v>
      </c>
      <c r="P637" s="232">
        <v>-27.87</v>
      </c>
      <c r="Q637" s="35">
        <v>9.6117374942599199E-3</v>
      </c>
      <c r="R637" s="232">
        <v>1094.3900000000001</v>
      </c>
      <c r="S637" s="35">
        <v>0.79061267269410074</v>
      </c>
      <c r="T637" s="232">
        <v>26092.32</v>
      </c>
      <c r="U637" s="35">
        <v>1.0933317427441835</v>
      </c>
      <c r="W637" s="35">
        <f t="shared" si="61"/>
        <v>508.45687471299601</v>
      </c>
      <c r="X637" s="35">
        <f t="shared" si="62"/>
        <v>38436.243634705039</v>
      </c>
      <c r="Y637" s="35">
        <f t="shared" si="63"/>
        <v>28574.267137209179</v>
      </c>
      <c r="Z637" s="35">
        <f t="shared" si="64"/>
        <v>0</v>
      </c>
      <c r="AA637" s="35">
        <f t="shared" si="65"/>
        <v>1</v>
      </c>
      <c r="AB637" s="35">
        <f t="shared" si="66"/>
        <v>0</v>
      </c>
    </row>
    <row r="638" spans="1:28">
      <c r="A638" s="35">
        <v>627</v>
      </c>
      <c r="B638" s="35">
        <v>6.4168892569216318E-4</v>
      </c>
      <c r="C638" s="232">
        <v>99.96</v>
      </c>
      <c r="D638" s="35">
        <v>5.0708762691810625</v>
      </c>
      <c r="E638" s="232">
        <v>54.29</v>
      </c>
      <c r="F638" s="35">
        <v>5.0546121194714484</v>
      </c>
      <c r="G638" s="232">
        <v>11610.61</v>
      </c>
      <c r="H638" s="35">
        <v>8.7725690063442769</v>
      </c>
      <c r="I638" s="232">
        <v>12119.7</v>
      </c>
      <c r="J638" s="35">
        <v>7.6234277125527168</v>
      </c>
      <c r="K638" s="232">
        <v>15288.05</v>
      </c>
      <c r="L638" s="35">
        <v>8.4936906745561611</v>
      </c>
      <c r="M638" s="232">
        <v>41392.5</v>
      </c>
      <c r="N638" s="35">
        <v>7.3677245948432493</v>
      </c>
      <c r="P638" s="232">
        <v>-45.66</v>
      </c>
      <c r="Q638" s="35">
        <v>1.6264149709614095E-2</v>
      </c>
      <c r="R638" s="232">
        <v>509.08</v>
      </c>
      <c r="S638" s="35">
        <v>1.1491412937915602</v>
      </c>
      <c r="T638" s="232">
        <v>26104.45</v>
      </c>
      <c r="U638" s="35">
        <v>1.1259660797129118</v>
      </c>
      <c r="W638" s="35">
        <f t="shared" si="61"/>
        <v>858.86748548070477</v>
      </c>
      <c r="X638" s="35">
        <f t="shared" si="62"/>
        <v>56947.984689578007</v>
      </c>
      <c r="Y638" s="35">
        <f t="shared" si="63"/>
        <v>30193.853985645594</v>
      </c>
      <c r="Z638" s="35">
        <f t="shared" si="64"/>
        <v>0</v>
      </c>
      <c r="AA638" s="35">
        <f t="shared" si="65"/>
        <v>1</v>
      </c>
      <c r="AB638" s="35">
        <f t="shared" si="66"/>
        <v>0</v>
      </c>
    </row>
    <row r="639" spans="1:28">
      <c r="A639" s="35">
        <v>628</v>
      </c>
      <c r="B639" s="35">
        <v>4.8923064099992697E-4</v>
      </c>
      <c r="C639" s="232">
        <v>76.25</v>
      </c>
      <c r="D639" s="35">
        <v>5.0632013895634653</v>
      </c>
      <c r="E639" s="232">
        <v>47.7</v>
      </c>
      <c r="F639" s="35">
        <v>5.0525181489440856</v>
      </c>
      <c r="G639" s="232">
        <v>12305.69</v>
      </c>
      <c r="H639" s="35">
        <v>8.7509907250736454</v>
      </c>
      <c r="I639" s="232">
        <v>13412.43</v>
      </c>
      <c r="J639" s="35">
        <v>7.405875721670979</v>
      </c>
      <c r="K639" s="232">
        <v>14735.99</v>
      </c>
      <c r="L639" s="35">
        <v>8.5083589904748962</v>
      </c>
      <c r="M639" s="232">
        <v>40872.79</v>
      </c>
      <c r="N639" s="35">
        <v>7.4104602215786803</v>
      </c>
      <c r="P639" s="232">
        <v>-28.56</v>
      </c>
      <c r="Q639" s="35">
        <v>1.0683240619379752E-2</v>
      </c>
      <c r="R639" s="232">
        <v>1106.74</v>
      </c>
      <c r="S639" s="35">
        <v>1.3451150034026664</v>
      </c>
      <c r="T639" s="232">
        <v>26136.799999999999</v>
      </c>
      <c r="U639" s="35">
        <v>1.0978987688962158</v>
      </c>
      <c r="W639" s="35">
        <f t="shared" si="61"/>
        <v>562.72203096898761</v>
      </c>
      <c r="X639" s="35">
        <f t="shared" si="62"/>
        <v>66149.010170133319</v>
      </c>
      <c r="Y639" s="35">
        <f t="shared" si="63"/>
        <v>28758.138444810796</v>
      </c>
      <c r="Z639" s="35">
        <f t="shared" si="64"/>
        <v>0</v>
      </c>
      <c r="AA639" s="35">
        <f t="shared" si="65"/>
        <v>1</v>
      </c>
      <c r="AB639" s="35">
        <f t="shared" si="66"/>
        <v>0</v>
      </c>
    </row>
    <row r="640" spans="1:28">
      <c r="A640" s="35">
        <v>629</v>
      </c>
      <c r="B640" s="35">
        <v>4.4775537096719553E-4</v>
      </c>
      <c r="C640" s="232">
        <v>76.84</v>
      </c>
      <c r="D640" s="35">
        <v>5.0615640512288893</v>
      </c>
      <c r="E640" s="232">
        <v>50.41</v>
      </c>
      <c r="F640" s="35">
        <v>5.0523057719430744</v>
      </c>
      <c r="G640" s="232">
        <v>13155.51</v>
      </c>
      <c r="H640" s="35">
        <v>8.7737122178693969</v>
      </c>
      <c r="I640" s="232">
        <v>13768.17</v>
      </c>
      <c r="J640" s="35">
        <v>6.9820777335477864</v>
      </c>
      <c r="K640" s="232">
        <v>14881.09</v>
      </c>
      <c r="L640" s="35">
        <v>8.7966921244235152</v>
      </c>
      <c r="M640" s="232">
        <v>40930.559999999998</v>
      </c>
      <c r="N640" s="35">
        <v>7.8046711791843757</v>
      </c>
      <c r="P640" s="232">
        <v>-26.42</v>
      </c>
      <c r="Q640" s="35">
        <v>9.2582792858149077E-3</v>
      </c>
      <c r="R640" s="232">
        <v>612.66</v>
      </c>
      <c r="S640" s="35">
        <v>1.7916344843216105</v>
      </c>
      <c r="T640" s="232">
        <v>26049.46</v>
      </c>
      <c r="U640" s="35">
        <v>0.99202094523913953</v>
      </c>
      <c r="W640" s="35">
        <f t="shared" si="61"/>
        <v>489.33396429074543</v>
      </c>
      <c r="X640" s="35">
        <f t="shared" si="62"/>
        <v>88969.064216080529</v>
      </c>
      <c r="Y640" s="35">
        <f t="shared" si="63"/>
        <v>23551.587261956978</v>
      </c>
      <c r="Z640" s="35">
        <f t="shared" si="64"/>
        <v>0</v>
      </c>
      <c r="AA640" s="35">
        <f t="shared" si="65"/>
        <v>1</v>
      </c>
      <c r="AB640" s="35">
        <f t="shared" si="66"/>
        <v>0</v>
      </c>
    </row>
    <row r="641" spans="1:28">
      <c r="A641" s="35">
        <v>630</v>
      </c>
      <c r="B641" s="35">
        <v>5.8787649789859842E-4</v>
      </c>
      <c r="C641" s="232">
        <v>119.45</v>
      </c>
      <c r="D641" s="35">
        <v>5.0676465537488236</v>
      </c>
      <c r="E641" s="232">
        <v>59.79</v>
      </c>
      <c r="F641" s="35">
        <v>5.0518861708308611</v>
      </c>
      <c r="G641" s="232">
        <v>15557.69</v>
      </c>
      <c r="H641" s="35">
        <v>8.702679083880076</v>
      </c>
      <c r="I641" s="232">
        <v>16144.56</v>
      </c>
      <c r="J641" s="35">
        <v>7.9781653813608822</v>
      </c>
      <c r="K641" s="232">
        <v>23576.46</v>
      </c>
      <c r="L641" s="35">
        <v>8.5446205102587314</v>
      </c>
      <c r="M641" s="232">
        <v>49939.93</v>
      </c>
      <c r="N641" s="35">
        <v>7.4050754552789408</v>
      </c>
      <c r="P641" s="232">
        <v>-59.66</v>
      </c>
      <c r="Q641" s="35">
        <v>1.5760382917962446E-2</v>
      </c>
      <c r="R641" s="232">
        <v>586.88</v>
      </c>
      <c r="S641" s="35">
        <v>0.72451370251919389</v>
      </c>
      <c r="T641" s="232">
        <v>26363.47</v>
      </c>
      <c r="U641" s="35">
        <v>1.1395450549797905</v>
      </c>
      <c r="W641" s="35">
        <f t="shared" si="61"/>
        <v>847.67914589812221</v>
      </c>
      <c r="X641" s="35">
        <f t="shared" si="62"/>
        <v>35638.805125959698</v>
      </c>
      <c r="Y641" s="35">
        <f t="shared" si="63"/>
        <v>30613.782748989528</v>
      </c>
      <c r="Z641" s="35">
        <f t="shared" si="64"/>
        <v>0</v>
      </c>
      <c r="AA641" s="35">
        <f t="shared" si="65"/>
        <v>1</v>
      </c>
      <c r="AB641" s="35">
        <f t="shared" si="66"/>
        <v>0</v>
      </c>
    </row>
    <row r="642" spans="1:28">
      <c r="A642" s="35">
        <v>631</v>
      </c>
      <c r="B642" s="35">
        <v>3.3356886433951534E-4</v>
      </c>
      <c r="C642" s="232">
        <v>48</v>
      </c>
      <c r="D642" s="35">
        <v>5.0576486680779968</v>
      </c>
      <c r="E642" s="232">
        <v>31.75</v>
      </c>
      <c r="F642" s="35">
        <v>5.0494678626767806</v>
      </c>
      <c r="G642" s="232">
        <v>11489.13</v>
      </c>
      <c r="H642" s="35">
        <v>9.4565696967030313</v>
      </c>
      <c r="I642" s="232">
        <v>13087.07</v>
      </c>
      <c r="J642" s="35">
        <v>7.8740151431128247</v>
      </c>
      <c r="K642" s="232">
        <v>11958.17</v>
      </c>
      <c r="L642" s="35">
        <v>9.0400696402268945</v>
      </c>
      <c r="M642" s="232">
        <v>37870.019999999997</v>
      </c>
      <c r="N642" s="35">
        <v>7.9169457237242176</v>
      </c>
      <c r="P642" s="232">
        <v>-16.239999999999998</v>
      </c>
      <c r="Q642" s="35">
        <v>8.1808054012162401E-3</v>
      </c>
      <c r="R642" s="232">
        <v>1597.94</v>
      </c>
      <c r="S642" s="35">
        <v>1.5825545535902066</v>
      </c>
      <c r="T642" s="232">
        <v>25911.84</v>
      </c>
      <c r="U642" s="35">
        <v>1.123123916502677</v>
      </c>
      <c r="W642" s="35">
        <f t="shared" si="61"/>
        <v>425.28027006081203</v>
      </c>
      <c r="X642" s="35">
        <f t="shared" si="62"/>
        <v>77529.787679510322</v>
      </c>
      <c r="Y642" s="35">
        <f t="shared" si="63"/>
        <v>30244.355825133851</v>
      </c>
      <c r="Z642" s="35">
        <f t="shared" si="64"/>
        <v>0</v>
      </c>
      <c r="AA642" s="35">
        <f t="shared" si="65"/>
        <v>1</v>
      </c>
      <c r="AB642" s="35">
        <f t="shared" si="66"/>
        <v>0</v>
      </c>
    </row>
    <row r="643" spans="1:28">
      <c r="A643" s="35">
        <v>632</v>
      </c>
      <c r="B643" s="35">
        <v>4.442765720949508E-4</v>
      </c>
      <c r="C643" s="232">
        <v>73.209999999999994</v>
      </c>
      <c r="D643" s="35">
        <v>5.0613833385512681</v>
      </c>
      <c r="E643" s="232">
        <v>52.75</v>
      </c>
      <c r="F643" s="35">
        <v>5.0536526170669616</v>
      </c>
      <c r="G643" s="232">
        <v>12328.99</v>
      </c>
      <c r="H643" s="35">
        <v>8.7795798045470796</v>
      </c>
      <c r="I643" s="232">
        <v>12982.46</v>
      </c>
      <c r="J643" s="35">
        <v>7.6421228105854118</v>
      </c>
      <c r="K643" s="232">
        <v>16475.439999999999</v>
      </c>
      <c r="L643" s="35">
        <v>8.5608790357082292</v>
      </c>
      <c r="M643" s="232">
        <v>42618</v>
      </c>
      <c r="N643" s="35">
        <v>7.4780891058805414</v>
      </c>
      <c r="P643" s="232">
        <v>-20.46</v>
      </c>
      <c r="Q643" s="35">
        <v>7.7307214843065353E-3</v>
      </c>
      <c r="R643" s="232">
        <v>653.48</v>
      </c>
      <c r="S643" s="35">
        <v>1.1374569939616679</v>
      </c>
      <c r="T643" s="232">
        <v>26142.560000000001</v>
      </c>
      <c r="U643" s="35">
        <v>1.0827899298276877</v>
      </c>
      <c r="W643" s="35">
        <f t="shared" si="61"/>
        <v>406.99607421532676</v>
      </c>
      <c r="X643" s="35">
        <f t="shared" si="62"/>
        <v>56219.369698083392</v>
      </c>
      <c r="Y643" s="35">
        <f t="shared" si="63"/>
        <v>27996.936491384386</v>
      </c>
      <c r="Z643" s="35">
        <f t="shared" si="64"/>
        <v>0</v>
      </c>
      <c r="AA643" s="35">
        <f t="shared" si="65"/>
        <v>1</v>
      </c>
      <c r="AB643" s="35">
        <f t="shared" si="66"/>
        <v>0</v>
      </c>
    </row>
    <row r="644" spans="1:28">
      <c r="A644" s="35">
        <v>633</v>
      </c>
      <c r="B644" s="35">
        <v>5.2742068203170955E-4</v>
      </c>
      <c r="C644" s="232">
        <v>93.74</v>
      </c>
      <c r="D644" s="35">
        <v>5.0658553345133974</v>
      </c>
      <c r="E644" s="232">
        <v>54.01</v>
      </c>
      <c r="F644" s="35">
        <v>5.0529240447251782</v>
      </c>
      <c r="G644" s="232">
        <v>12865.5</v>
      </c>
      <c r="H644" s="35">
        <v>8.7020128437054538</v>
      </c>
      <c r="I644" s="232">
        <v>13177.78</v>
      </c>
      <c r="J644" s="35">
        <v>7.6892937100979015</v>
      </c>
      <c r="K644" s="232">
        <v>19117.419999999998</v>
      </c>
      <c r="L644" s="35">
        <v>9.0248574708550802</v>
      </c>
      <c r="M644" s="232">
        <v>45434.18</v>
      </c>
      <c r="N644" s="35">
        <v>7.9155868250776154</v>
      </c>
      <c r="P644" s="232">
        <v>-39.729999999999997</v>
      </c>
      <c r="Q644" s="35">
        <v>1.2931289788219225E-2</v>
      </c>
      <c r="R644" s="232">
        <v>312.27999999999997</v>
      </c>
      <c r="S644" s="35">
        <v>1.0127191336075523</v>
      </c>
      <c r="T644" s="232">
        <v>26316.76</v>
      </c>
      <c r="U644" s="35">
        <v>1.1092706457774648</v>
      </c>
      <c r="W644" s="35">
        <f t="shared" si="61"/>
        <v>686.29448941096121</v>
      </c>
      <c r="X644" s="35">
        <f t="shared" si="62"/>
        <v>50323.676680377612</v>
      </c>
      <c r="Y644" s="35">
        <f t="shared" si="63"/>
        <v>29146.772288873242</v>
      </c>
      <c r="Z644" s="35">
        <f t="shared" si="64"/>
        <v>0</v>
      </c>
      <c r="AA644" s="35">
        <f t="shared" si="65"/>
        <v>1</v>
      </c>
      <c r="AB644" s="35">
        <f t="shared" si="66"/>
        <v>0</v>
      </c>
    </row>
    <row r="645" spans="1:28">
      <c r="A645" s="35">
        <v>634</v>
      </c>
      <c r="B645" s="35">
        <v>4.4612238669283766E-4</v>
      </c>
      <c r="C645" s="232">
        <v>51.75</v>
      </c>
      <c r="D645" s="35">
        <v>5.0596606260987844</v>
      </c>
      <c r="E645" s="232">
        <v>33.6</v>
      </c>
      <c r="F645" s="35">
        <v>5.050496716430029</v>
      </c>
      <c r="G645" s="232">
        <v>8875.92</v>
      </c>
      <c r="H645" s="35">
        <v>8.4497493354715303</v>
      </c>
      <c r="I645" s="232">
        <v>9788.2199999999993</v>
      </c>
      <c r="J645" s="35">
        <v>6.7615731560354426</v>
      </c>
      <c r="K645" s="232">
        <v>10650.57</v>
      </c>
      <c r="L645" s="35">
        <v>8.335450448122625</v>
      </c>
      <c r="M645" s="232">
        <v>36561.879999999997</v>
      </c>
      <c r="N645" s="35">
        <v>7.2343903542097623</v>
      </c>
      <c r="P645" s="232">
        <v>-18.149999999999999</v>
      </c>
      <c r="Q645" s="35">
        <v>9.1639096687554655E-3</v>
      </c>
      <c r="R645" s="232">
        <v>912.3</v>
      </c>
      <c r="S645" s="35">
        <v>1.6881761794360877</v>
      </c>
      <c r="T645" s="232">
        <v>25911.31</v>
      </c>
      <c r="U645" s="35">
        <v>1.1010600939128627</v>
      </c>
      <c r="W645" s="35">
        <f t="shared" si="61"/>
        <v>476.34548343777328</v>
      </c>
      <c r="X645" s="35">
        <f t="shared" si="62"/>
        <v>83496.508971804375</v>
      </c>
      <c r="Y645" s="35">
        <f t="shared" si="63"/>
        <v>29141.694695643138</v>
      </c>
      <c r="Z645" s="35">
        <f t="shared" si="64"/>
        <v>0</v>
      </c>
      <c r="AA645" s="35">
        <f t="shared" si="65"/>
        <v>1</v>
      </c>
      <c r="AB645" s="35">
        <f t="shared" si="66"/>
        <v>0</v>
      </c>
    </row>
    <row r="646" spans="1:28">
      <c r="A646" s="35">
        <v>635</v>
      </c>
      <c r="B646" s="35">
        <v>4.072727762376374E-4</v>
      </c>
      <c r="C646" s="232">
        <v>51.96</v>
      </c>
      <c r="D646" s="35">
        <v>5.0578147866347924</v>
      </c>
      <c r="E646" s="232">
        <v>36.159999999999997</v>
      </c>
      <c r="F646" s="35">
        <v>5.0503629432918249</v>
      </c>
      <c r="G646" s="232">
        <v>9270.18</v>
      </c>
      <c r="H646" s="35">
        <v>8.2637216415514523</v>
      </c>
      <c r="I646" s="232">
        <v>10079.18</v>
      </c>
      <c r="J646" s="35">
        <v>6.9544928359809113</v>
      </c>
      <c r="K646" s="232">
        <v>12243.3</v>
      </c>
      <c r="L646" s="35">
        <v>8.5441563895100145</v>
      </c>
      <c r="M646" s="232">
        <v>38160.31</v>
      </c>
      <c r="N646" s="35">
        <v>7.4609980450061197</v>
      </c>
      <c r="P646" s="232">
        <v>-15.8</v>
      </c>
      <c r="Q646" s="35">
        <v>7.4518433429675568E-3</v>
      </c>
      <c r="R646" s="232">
        <v>809</v>
      </c>
      <c r="S646" s="35">
        <v>1.309228805570541</v>
      </c>
      <c r="T646" s="232">
        <v>25917.02</v>
      </c>
      <c r="U646" s="35">
        <v>1.0831583445038948</v>
      </c>
      <c r="W646" s="35">
        <f t="shared" si="61"/>
        <v>388.39216714837784</v>
      </c>
      <c r="X646" s="35">
        <f t="shared" si="62"/>
        <v>64652.44027852705</v>
      </c>
      <c r="Y646" s="35">
        <f t="shared" si="63"/>
        <v>28240.897225194738</v>
      </c>
      <c r="Z646" s="35">
        <f t="shared" si="64"/>
        <v>0</v>
      </c>
      <c r="AA646" s="35">
        <f t="shared" si="65"/>
        <v>1</v>
      </c>
      <c r="AB646" s="35">
        <f t="shared" si="66"/>
        <v>0</v>
      </c>
    </row>
    <row r="647" spans="1:28">
      <c r="A647" s="35">
        <v>636</v>
      </c>
      <c r="B647" s="35">
        <v>4.3903158134984965E-4</v>
      </c>
      <c r="C647" s="232">
        <v>77.19</v>
      </c>
      <c r="D647" s="35">
        <v>5.0610982726754896</v>
      </c>
      <c r="E647" s="232">
        <v>46.33</v>
      </c>
      <c r="F647" s="35">
        <v>5.0507331900903694</v>
      </c>
      <c r="G647" s="232">
        <v>13699.69</v>
      </c>
      <c r="H647" s="35">
        <v>8.8116558470153894</v>
      </c>
      <c r="I647" s="232">
        <v>14129.88</v>
      </c>
      <c r="J647" s="35">
        <v>7.5288847837312645</v>
      </c>
      <c r="K647" s="232">
        <v>18795.78</v>
      </c>
      <c r="L647" s="35">
        <v>8.7139261037442193</v>
      </c>
      <c r="M647" s="232">
        <v>45111.13</v>
      </c>
      <c r="N647" s="35">
        <v>7.601416799104582</v>
      </c>
      <c r="P647" s="232">
        <v>-30.85</v>
      </c>
      <c r="Q647" s="35">
        <v>1.0365082585120255E-2</v>
      </c>
      <c r="R647" s="232">
        <v>430.19</v>
      </c>
      <c r="S647" s="35">
        <v>1.2827710632841249</v>
      </c>
      <c r="T647" s="232">
        <v>26315.34</v>
      </c>
      <c r="U647" s="35">
        <v>1.1125093046396373</v>
      </c>
      <c r="W647" s="35">
        <f t="shared" si="61"/>
        <v>549.10412925601281</v>
      </c>
      <c r="X647" s="35">
        <f t="shared" si="62"/>
        <v>63708.363164206246</v>
      </c>
      <c r="Y647" s="35">
        <f t="shared" si="63"/>
        <v>29310.125231981863</v>
      </c>
      <c r="Z647" s="35">
        <f t="shared" si="64"/>
        <v>0</v>
      </c>
      <c r="AA647" s="35">
        <f t="shared" si="65"/>
        <v>1</v>
      </c>
      <c r="AB647" s="35">
        <f t="shared" si="66"/>
        <v>0</v>
      </c>
    </row>
    <row r="648" spans="1:28">
      <c r="A648" s="35">
        <v>637</v>
      </c>
      <c r="B648" s="35">
        <v>4.7904407145749062E-4</v>
      </c>
      <c r="C648" s="232">
        <v>64.08</v>
      </c>
      <c r="D648" s="35">
        <v>5.0626130110048049</v>
      </c>
      <c r="E648" s="232">
        <v>42.32</v>
      </c>
      <c r="F648" s="35">
        <v>5.0528170558699568</v>
      </c>
      <c r="G648" s="232">
        <v>10802.2</v>
      </c>
      <c r="H648" s="35">
        <v>8.6437891831793259</v>
      </c>
      <c r="I648" s="232">
        <v>12426.97</v>
      </c>
      <c r="J648" s="35">
        <v>6.902853820072905</v>
      </c>
      <c r="K648" s="232">
        <v>11631.02</v>
      </c>
      <c r="L648" s="35">
        <v>8.5896729899419846</v>
      </c>
      <c r="M648" s="232">
        <v>37488.01</v>
      </c>
      <c r="N648" s="35">
        <v>7.5509042044772379</v>
      </c>
      <c r="P648" s="232">
        <v>-21.76</v>
      </c>
      <c r="Q648" s="35">
        <v>9.7959551348481E-3</v>
      </c>
      <c r="R648" s="232">
        <v>1624.77</v>
      </c>
      <c r="S648" s="35">
        <v>1.7409353631064208</v>
      </c>
      <c r="T648" s="232">
        <v>25856.99</v>
      </c>
      <c r="U648" s="35">
        <v>1.0387687854647467</v>
      </c>
      <c r="W648" s="35">
        <f t="shared" si="61"/>
        <v>511.55775674240499</v>
      </c>
      <c r="X648" s="35">
        <f t="shared" si="62"/>
        <v>85421.998155321038</v>
      </c>
      <c r="Y648" s="35">
        <f t="shared" si="63"/>
        <v>26081.449273237336</v>
      </c>
      <c r="Z648" s="35">
        <f t="shared" si="64"/>
        <v>0</v>
      </c>
      <c r="AA648" s="35">
        <f t="shared" si="65"/>
        <v>1</v>
      </c>
      <c r="AB648" s="35">
        <f t="shared" si="66"/>
        <v>0</v>
      </c>
    </row>
    <row r="649" spans="1:28">
      <c r="A649" s="35">
        <v>638</v>
      </c>
      <c r="B649" s="35">
        <v>4.5460014579123964E-4</v>
      </c>
      <c r="C649" s="232">
        <v>64.62</v>
      </c>
      <c r="D649" s="35">
        <v>5.0618558006161285</v>
      </c>
      <c r="E649" s="232">
        <v>42.81</v>
      </c>
      <c r="F649" s="35">
        <v>5.0524198025421292</v>
      </c>
      <c r="G649" s="232">
        <v>10879.28</v>
      </c>
      <c r="H649" s="35">
        <v>8.9138456884980588</v>
      </c>
      <c r="I649" s="232">
        <v>11275.4</v>
      </c>
      <c r="J649" s="35">
        <v>7.3198133969221839</v>
      </c>
      <c r="K649" s="232">
        <v>14114.53</v>
      </c>
      <c r="L649" s="35">
        <v>8.5084364994320509</v>
      </c>
      <c r="M649" s="232">
        <v>40300.15</v>
      </c>
      <c r="N649" s="35">
        <v>7.4778143453916464</v>
      </c>
      <c r="P649" s="232">
        <v>-21.81</v>
      </c>
      <c r="Q649" s="35">
        <v>9.4359980739993077E-3</v>
      </c>
      <c r="R649" s="232">
        <v>396.12</v>
      </c>
      <c r="S649" s="35">
        <v>1.5940322915758749</v>
      </c>
      <c r="T649" s="232">
        <v>26185.62</v>
      </c>
      <c r="U649" s="35">
        <v>1.0306221540404046</v>
      </c>
      <c r="W649" s="35">
        <f t="shared" si="61"/>
        <v>493.6099036999654</v>
      </c>
      <c r="X649" s="35">
        <f t="shared" si="62"/>
        <v>79305.494578793747</v>
      </c>
      <c r="Y649" s="35">
        <f t="shared" si="63"/>
        <v>25345.487702020229</v>
      </c>
      <c r="Z649" s="35">
        <f t="shared" si="64"/>
        <v>0</v>
      </c>
      <c r="AA649" s="35">
        <f t="shared" si="65"/>
        <v>1</v>
      </c>
      <c r="AB649" s="35">
        <f t="shared" si="66"/>
        <v>0</v>
      </c>
    </row>
    <row r="650" spans="1:28">
      <c r="A650" s="35">
        <v>639</v>
      </c>
      <c r="B650" s="35">
        <v>4.9345785275856091E-4</v>
      </c>
      <c r="C650" s="232">
        <v>86.15</v>
      </c>
      <c r="D650" s="35">
        <v>5.0635266068754294</v>
      </c>
      <c r="E650" s="232">
        <v>52.88</v>
      </c>
      <c r="F650" s="35">
        <v>5.0525490454862121</v>
      </c>
      <c r="G650" s="232">
        <v>13146.7</v>
      </c>
      <c r="H650" s="35">
        <v>8.7388427340873278</v>
      </c>
      <c r="I650" s="232">
        <v>13605.73</v>
      </c>
      <c r="J650" s="35">
        <v>7.7081178196207745</v>
      </c>
      <c r="K650" s="232">
        <v>18851</v>
      </c>
      <c r="L650" s="35">
        <v>8.5003777002680536</v>
      </c>
      <c r="M650" s="232">
        <v>45083.25</v>
      </c>
      <c r="N650" s="35">
        <v>7.4786398087611605</v>
      </c>
      <c r="P650" s="232">
        <v>-33.270000000000003</v>
      </c>
      <c r="Q650" s="35">
        <v>1.097756138921735E-2</v>
      </c>
      <c r="R650" s="232">
        <v>459.03</v>
      </c>
      <c r="S650" s="35">
        <v>1.0307249144665533</v>
      </c>
      <c r="T650" s="232">
        <v>26232.26</v>
      </c>
      <c r="U650" s="35">
        <v>1.0217378915068931</v>
      </c>
      <c r="W650" s="35">
        <f t="shared" si="61"/>
        <v>582.14806946086742</v>
      </c>
      <c r="X650" s="35">
        <f t="shared" si="62"/>
        <v>51077.215723327667</v>
      </c>
      <c r="Y650" s="35">
        <f t="shared" si="63"/>
        <v>24854.634575344655</v>
      </c>
      <c r="Z650" s="35">
        <f t="shared" si="64"/>
        <v>0</v>
      </c>
      <c r="AA650" s="35">
        <f t="shared" si="65"/>
        <v>1</v>
      </c>
      <c r="AB650" s="35">
        <f t="shared" si="66"/>
        <v>0</v>
      </c>
    </row>
    <row r="651" spans="1:28">
      <c r="A651" s="35">
        <v>640</v>
      </c>
      <c r="B651" s="35">
        <v>5.0176336766494245E-4</v>
      </c>
      <c r="C651" s="232">
        <v>60.63</v>
      </c>
      <c r="D651" s="35">
        <v>5.0647411753487308</v>
      </c>
      <c r="E651" s="232">
        <v>32.69</v>
      </c>
      <c r="F651" s="35">
        <v>5.0507623816385312</v>
      </c>
      <c r="G651" s="232">
        <v>9838.5</v>
      </c>
      <c r="H651" s="35">
        <v>9.0331952007885796</v>
      </c>
      <c r="I651" s="232">
        <v>12055.28</v>
      </c>
      <c r="J651" s="35">
        <v>9.0157927734880694</v>
      </c>
      <c r="K651" s="232">
        <v>11873.21</v>
      </c>
      <c r="L651" s="35">
        <v>8.6833514311401991</v>
      </c>
      <c r="M651" s="232">
        <v>37856.959999999999</v>
      </c>
      <c r="N651" s="35">
        <v>7.57451447608622</v>
      </c>
      <c r="P651" s="232">
        <v>-27.93</v>
      </c>
      <c r="Q651" s="35">
        <v>1.3978793710199611E-2</v>
      </c>
      <c r="R651" s="232">
        <v>2216.7800000000002</v>
      </c>
      <c r="S651" s="35">
        <v>1.7402427300510226E-2</v>
      </c>
      <c r="T651" s="232">
        <v>25983.75</v>
      </c>
      <c r="U651" s="35">
        <v>1.1088369550539792</v>
      </c>
      <c r="W651" s="35">
        <f t="shared" si="61"/>
        <v>726.86968550998051</v>
      </c>
      <c r="X651" s="35">
        <f t="shared" si="62"/>
        <v>-1346.6586349744889</v>
      </c>
      <c r="Y651" s="35">
        <f t="shared" si="63"/>
        <v>29458.097752698959</v>
      </c>
      <c r="Z651" s="35">
        <f t="shared" si="64"/>
        <v>0</v>
      </c>
      <c r="AA651" s="35">
        <f t="shared" si="65"/>
        <v>0</v>
      </c>
      <c r="AB651" s="35">
        <f t="shared" si="66"/>
        <v>1</v>
      </c>
    </row>
    <row r="652" spans="1:28">
      <c r="A652" s="35">
        <v>641</v>
      </c>
      <c r="B652" s="35">
        <v>5.3065926129047813E-4</v>
      </c>
      <c r="C652" s="232">
        <v>58.2</v>
      </c>
      <c r="D652" s="35">
        <v>5.064714809709856</v>
      </c>
      <c r="E652" s="232">
        <v>32.19</v>
      </c>
      <c r="F652" s="35">
        <v>5.0510555841209941</v>
      </c>
      <c r="G652" s="232">
        <v>8762.1299999999992</v>
      </c>
      <c r="H652" s="35">
        <v>8.6177640285557704</v>
      </c>
      <c r="I652" s="232">
        <v>10252.65</v>
      </c>
      <c r="J652" s="35">
        <v>7.3423015212537415</v>
      </c>
      <c r="K652" s="232">
        <v>10475.049999999999</v>
      </c>
      <c r="L652" s="35">
        <v>8.6344132769639366</v>
      </c>
      <c r="M652" s="232">
        <v>36339.58</v>
      </c>
      <c r="N652" s="35">
        <v>7.5184263961746574</v>
      </c>
      <c r="P652" s="232">
        <v>-26.01</v>
      </c>
      <c r="Q652" s="35">
        <v>1.3659225588861901E-2</v>
      </c>
      <c r="R652" s="232">
        <v>1490.52</v>
      </c>
      <c r="S652" s="35">
        <v>1.2754625073020289</v>
      </c>
      <c r="T652" s="232">
        <v>25864.53</v>
      </c>
      <c r="U652" s="35">
        <v>1.1159868807892792</v>
      </c>
      <c r="W652" s="35">
        <f t="shared" ref="W652:W715" si="67">$X$2*Q652-P652</f>
        <v>708.971279443095</v>
      </c>
      <c r="X652" s="35">
        <f t="shared" ref="X652:X715" si="68">$X$2*S652-R652</f>
        <v>62282.605365101452</v>
      </c>
      <c r="Y652" s="35">
        <f t="shared" ref="Y652:Y715" si="69">$X$2*U652-T652</f>
        <v>29934.814039463963</v>
      </c>
      <c r="Z652" s="35">
        <f t="shared" ref="Z652:Z715" si="70">IF(W652=MAX($W652:$Y652), 1, 0)</f>
        <v>0</v>
      </c>
      <c r="AA652" s="35">
        <f t="shared" ref="AA652:AA715" si="71">IF(X652=MAX($W652:$Y652), 1, 0)</f>
        <v>1</v>
      </c>
      <c r="AB652" s="35">
        <f t="shared" ref="AB652:AB715" si="72">IF(Y652=MAX($W652:$Y652), 1, 0)</f>
        <v>0</v>
      </c>
    </row>
    <row r="653" spans="1:28">
      <c r="A653" s="35">
        <v>642</v>
      </c>
      <c r="B653" s="35">
        <v>4.8702968911817912E-4</v>
      </c>
      <c r="C653" s="232">
        <v>82.76</v>
      </c>
      <c r="D653" s="35">
        <v>5.0618051476935584</v>
      </c>
      <c r="E653" s="232">
        <v>50.11</v>
      </c>
      <c r="F653" s="35">
        <v>5.0513242262900775</v>
      </c>
      <c r="G653" s="232">
        <v>13066.34</v>
      </c>
      <c r="H653" s="35">
        <v>8.4897586129806566</v>
      </c>
      <c r="I653" s="232">
        <v>14364.7</v>
      </c>
      <c r="J653" s="35">
        <v>7.6059254181745812</v>
      </c>
      <c r="K653" s="232">
        <v>15476.59</v>
      </c>
      <c r="L653" s="35">
        <v>8.3584396404278714</v>
      </c>
      <c r="M653" s="232">
        <v>41606.589999999997</v>
      </c>
      <c r="N653" s="35">
        <v>7.3241138028777328</v>
      </c>
      <c r="P653" s="232">
        <v>-32.65</v>
      </c>
      <c r="Q653" s="35">
        <v>1.0480921403480892E-2</v>
      </c>
      <c r="R653" s="232">
        <v>1298.3499999999999</v>
      </c>
      <c r="S653" s="35">
        <v>0.88383319480607536</v>
      </c>
      <c r="T653" s="232">
        <v>26130</v>
      </c>
      <c r="U653" s="35">
        <v>1.0343258375501385</v>
      </c>
      <c r="W653" s="35">
        <f t="shared" si="67"/>
        <v>556.69607017404462</v>
      </c>
      <c r="X653" s="35">
        <f t="shared" si="68"/>
        <v>42893.309740303768</v>
      </c>
      <c r="Y653" s="35">
        <f t="shared" si="69"/>
        <v>25586.291877506927</v>
      </c>
      <c r="Z653" s="35">
        <f t="shared" si="70"/>
        <v>0</v>
      </c>
      <c r="AA653" s="35">
        <f t="shared" si="71"/>
        <v>1</v>
      </c>
      <c r="AB653" s="35">
        <f t="shared" si="72"/>
        <v>0</v>
      </c>
    </row>
    <row r="654" spans="1:28">
      <c r="A654" s="35">
        <v>643</v>
      </c>
      <c r="B654" s="35">
        <v>4.1871514086812251E-4</v>
      </c>
      <c r="C654" s="232">
        <v>64.650000000000006</v>
      </c>
      <c r="D654" s="35">
        <v>5.0599283130128878</v>
      </c>
      <c r="E654" s="232">
        <v>32.92</v>
      </c>
      <c r="F654" s="35">
        <v>5.0478819756715216</v>
      </c>
      <c r="G654" s="232">
        <v>11716.51</v>
      </c>
      <c r="H654" s="35">
        <v>8.8156368268140373</v>
      </c>
      <c r="I654" s="232">
        <v>12367.77</v>
      </c>
      <c r="J654" s="35">
        <v>7.8260252989358454</v>
      </c>
      <c r="K654" s="232">
        <v>17165.3</v>
      </c>
      <c r="L654" s="35">
        <v>8.7559221262762268</v>
      </c>
      <c r="M654" s="232">
        <v>43288.74</v>
      </c>
      <c r="N654" s="35">
        <v>7.6162735353796815</v>
      </c>
      <c r="P654" s="232">
        <v>-31.72</v>
      </c>
      <c r="Q654" s="35">
        <v>1.2046337341366176E-2</v>
      </c>
      <c r="R654" s="232">
        <v>651.27</v>
      </c>
      <c r="S654" s="35">
        <v>0.98961152787819184</v>
      </c>
      <c r="T654" s="232">
        <v>26123.439999999999</v>
      </c>
      <c r="U654" s="35">
        <v>1.1396485908965452</v>
      </c>
      <c r="W654" s="35">
        <f t="shared" si="67"/>
        <v>634.03686706830877</v>
      </c>
      <c r="X654" s="35">
        <f t="shared" si="68"/>
        <v>48829.306393909595</v>
      </c>
      <c r="Y654" s="35">
        <f t="shared" si="69"/>
        <v>30858.989544827262</v>
      </c>
      <c r="Z654" s="35">
        <f t="shared" si="70"/>
        <v>0</v>
      </c>
      <c r="AA654" s="35">
        <f t="shared" si="71"/>
        <v>1</v>
      </c>
      <c r="AB654" s="35">
        <f t="shared" si="72"/>
        <v>0</v>
      </c>
    </row>
    <row r="655" spans="1:28">
      <c r="A655" s="35">
        <v>644</v>
      </c>
      <c r="B655" s="35">
        <v>3.8697930897662198E-4</v>
      </c>
      <c r="C655" s="232">
        <v>67.459999999999994</v>
      </c>
      <c r="D655" s="35">
        <v>5.0552779539812676</v>
      </c>
      <c r="E655" s="232">
        <v>41.58</v>
      </c>
      <c r="F655" s="35">
        <v>5.0476766642083861</v>
      </c>
      <c r="G655" s="232">
        <v>13193.84</v>
      </c>
      <c r="H655" s="35">
        <v>7.9159352453329195</v>
      </c>
      <c r="I655" s="232">
        <v>13594.98</v>
      </c>
      <c r="J655" s="35">
        <v>6.7118624819733999</v>
      </c>
      <c r="K655" s="232">
        <v>18396.330000000002</v>
      </c>
      <c r="L655" s="35">
        <v>8.2911281161270676</v>
      </c>
      <c r="M655" s="232">
        <v>44560.05</v>
      </c>
      <c r="N655" s="35">
        <v>7.2505833995853699</v>
      </c>
      <c r="P655" s="232">
        <v>-25.88</v>
      </c>
      <c r="Q655" s="35">
        <v>7.6012897728814366E-3</v>
      </c>
      <c r="R655" s="232">
        <v>401.13</v>
      </c>
      <c r="S655" s="35">
        <v>1.2040727633595196</v>
      </c>
      <c r="T655" s="232">
        <v>26163.72</v>
      </c>
      <c r="U655" s="35">
        <v>1.0405447165416977</v>
      </c>
      <c r="W655" s="35">
        <f t="shared" si="67"/>
        <v>405.94448864407184</v>
      </c>
      <c r="X655" s="35">
        <f t="shared" si="68"/>
        <v>59802.508167975982</v>
      </c>
      <c r="Y655" s="35">
        <f t="shared" si="69"/>
        <v>25863.515827084884</v>
      </c>
      <c r="Z655" s="35">
        <f t="shared" si="70"/>
        <v>0</v>
      </c>
      <c r="AA655" s="35">
        <f t="shared" si="71"/>
        <v>1</v>
      </c>
      <c r="AB655" s="35">
        <f t="shared" si="72"/>
        <v>0</v>
      </c>
    </row>
    <row r="656" spans="1:28">
      <c r="A656" s="35">
        <v>645</v>
      </c>
      <c r="B656" s="35">
        <v>3.556048788418697E-4</v>
      </c>
      <c r="C656" s="232">
        <v>66.78</v>
      </c>
      <c r="D656" s="35">
        <v>5.0568060337183933</v>
      </c>
      <c r="E656" s="232">
        <v>44.17</v>
      </c>
      <c r="F656" s="35">
        <v>5.0493757387993004</v>
      </c>
      <c r="G656" s="232">
        <v>14140.25</v>
      </c>
      <c r="H656" s="35">
        <v>9.0347362962856241</v>
      </c>
      <c r="I656" s="232">
        <v>14364.94</v>
      </c>
      <c r="J656" s="35">
        <v>7.9873978712349905</v>
      </c>
      <c r="K656" s="232">
        <v>19278.349999999999</v>
      </c>
      <c r="L656" s="35">
        <v>8.4115164407843661</v>
      </c>
      <c r="M656" s="232">
        <v>45643.09</v>
      </c>
      <c r="N656" s="35">
        <v>7.396773436539525</v>
      </c>
      <c r="P656" s="232">
        <v>-22.61</v>
      </c>
      <c r="Q656" s="35">
        <v>7.4302949190929723E-3</v>
      </c>
      <c r="R656" s="232">
        <v>224.69</v>
      </c>
      <c r="S656" s="35">
        <v>1.0473384250506337</v>
      </c>
      <c r="T656" s="232">
        <v>26364.74</v>
      </c>
      <c r="U656" s="35">
        <v>1.0147430042448411</v>
      </c>
      <c r="W656" s="35">
        <f t="shared" si="67"/>
        <v>394.12474595464863</v>
      </c>
      <c r="X656" s="35">
        <f t="shared" si="68"/>
        <v>52142.231252531681</v>
      </c>
      <c r="Y656" s="35">
        <f t="shared" si="69"/>
        <v>24372.410212242055</v>
      </c>
      <c r="Z656" s="35">
        <f t="shared" si="70"/>
        <v>0</v>
      </c>
      <c r="AA656" s="35">
        <f t="shared" si="71"/>
        <v>1</v>
      </c>
      <c r="AB656" s="35">
        <f t="shared" si="72"/>
        <v>0</v>
      </c>
    </row>
    <row r="657" spans="1:28">
      <c r="A657" s="35">
        <v>646</v>
      </c>
      <c r="B657" s="35">
        <v>5.2142034702495899E-4</v>
      </c>
      <c r="C657" s="232">
        <v>72.959999999999994</v>
      </c>
      <c r="D657" s="35">
        <v>5.0639871975860631</v>
      </c>
      <c r="E657" s="232">
        <v>45.76</v>
      </c>
      <c r="F657" s="35">
        <v>5.0529586593845215</v>
      </c>
      <c r="G657" s="232">
        <v>10654</v>
      </c>
      <c r="H657" s="35">
        <v>8.6785252816649816</v>
      </c>
      <c r="I657" s="232">
        <v>12591.27</v>
      </c>
      <c r="J657" s="35">
        <v>8.3764034272035541</v>
      </c>
      <c r="K657" s="232">
        <v>12615.2</v>
      </c>
      <c r="L657" s="35">
        <v>8.1627305418064431</v>
      </c>
      <c r="M657" s="232">
        <v>38697.120000000003</v>
      </c>
      <c r="N657" s="35">
        <v>7.0204200033975912</v>
      </c>
      <c r="P657" s="232">
        <v>-27.2</v>
      </c>
      <c r="Q657" s="35">
        <v>1.1028538201541593E-2</v>
      </c>
      <c r="R657" s="232">
        <v>1937.26</v>
      </c>
      <c r="S657" s="35">
        <v>0.30212185446142747</v>
      </c>
      <c r="T657" s="232">
        <v>26081.919999999998</v>
      </c>
      <c r="U657" s="35">
        <v>1.1423105384088519</v>
      </c>
      <c r="W657" s="35">
        <f t="shared" si="67"/>
        <v>578.62691007707974</v>
      </c>
      <c r="X657" s="35">
        <f t="shared" si="68"/>
        <v>13168.832723071373</v>
      </c>
      <c r="Y657" s="35">
        <f t="shared" si="69"/>
        <v>31033.606920442595</v>
      </c>
      <c r="Z657" s="35">
        <f t="shared" si="70"/>
        <v>0</v>
      </c>
      <c r="AA657" s="35">
        <f t="shared" si="71"/>
        <v>0</v>
      </c>
      <c r="AB657" s="35">
        <f t="shared" si="72"/>
        <v>1</v>
      </c>
    </row>
    <row r="658" spans="1:28">
      <c r="A658" s="35">
        <v>647</v>
      </c>
      <c r="B658" s="35">
        <v>4.9293568311803426E-4</v>
      </c>
      <c r="C658" s="232">
        <v>74.08</v>
      </c>
      <c r="D658" s="35">
        <v>5.0619412564239461</v>
      </c>
      <c r="E658" s="232">
        <v>47.5</v>
      </c>
      <c r="F658" s="35">
        <v>5.0521362404224623</v>
      </c>
      <c r="G658" s="232">
        <v>10606.86</v>
      </c>
      <c r="H658" s="35">
        <v>8.3426600475026405</v>
      </c>
      <c r="I658" s="232">
        <v>9894.9</v>
      </c>
      <c r="J658" s="35">
        <v>6.6091960143780124</v>
      </c>
      <c r="K658" s="232">
        <v>14800.88</v>
      </c>
      <c r="L658" s="35">
        <v>8.5118079714212005</v>
      </c>
      <c r="M658" s="232">
        <v>40872.589999999997</v>
      </c>
      <c r="N658" s="35">
        <v>7.5150018409382087</v>
      </c>
      <c r="P658" s="232">
        <v>-26.57</v>
      </c>
      <c r="Q658" s="35">
        <v>9.8050160014837573E-3</v>
      </c>
      <c r="R658" s="232">
        <v>-711.96</v>
      </c>
      <c r="S658" s="35">
        <v>1.733464033124628</v>
      </c>
      <c r="T658" s="232">
        <v>26071.71</v>
      </c>
      <c r="U658" s="35">
        <v>0.99680613048299183</v>
      </c>
      <c r="W658" s="35">
        <f t="shared" si="67"/>
        <v>516.8208000741879</v>
      </c>
      <c r="X658" s="35">
        <f t="shared" si="68"/>
        <v>87385.161656231416</v>
      </c>
      <c r="Y658" s="35">
        <f t="shared" si="69"/>
        <v>23768.596524149594</v>
      </c>
      <c r="Z658" s="35">
        <f t="shared" si="70"/>
        <v>0</v>
      </c>
      <c r="AA658" s="35">
        <f t="shared" si="71"/>
        <v>1</v>
      </c>
      <c r="AB658" s="35">
        <f t="shared" si="72"/>
        <v>0</v>
      </c>
    </row>
    <row r="659" spans="1:28">
      <c r="A659" s="35">
        <v>648</v>
      </c>
      <c r="B659" s="35">
        <v>4.5298547102168296E-4</v>
      </c>
      <c r="C659" s="232">
        <v>81.2</v>
      </c>
      <c r="D659" s="35">
        <v>5.0608465667702065</v>
      </c>
      <c r="E659" s="232">
        <v>47.26</v>
      </c>
      <c r="F659" s="35">
        <v>5.0502284535138955</v>
      </c>
      <c r="G659" s="232">
        <v>13181.77</v>
      </c>
      <c r="H659" s="35">
        <v>8.6718166550968263</v>
      </c>
      <c r="I659" s="232">
        <v>12930.36</v>
      </c>
      <c r="J659" s="35">
        <v>7.4857760796594626</v>
      </c>
      <c r="K659" s="232">
        <v>19119.490000000002</v>
      </c>
      <c r="L659" s="35">
        <v>8.3868799596449222</v>
      </c>
      <c r="M659" s="232">
        <v>45334.36</v>
      </c>
      <c r="N659" s="35">
        <v>7.1890037612216986</v>
      </c>
      <c r="P659" s="232">
        <v>-33.94</v>
      </c>
      <c r="Q659" s="35">
        <v>1.0618113256311013E-2</v>
      </c>
      <c r="R659" s="232">
        <v>-251.41</v>
      </c>
      <c r="S659" s="35">
        <v>1.1860405754373637</v>
      </c>
      <c r="T659" s="232">
        <v>26214.87</v>
      </c>
      <c r="U659" s="35">
        <v>1.1978761984232236</v>
      </c>
      <c r="W659" s="35">
        <f t="shared" si="67"/>
        <v>564.84566281555067</v>
      </c>
      <c r="X659" s="35">
        <f t="shared" si="68"/>
        <v>59553.43877186819</v>
      </c>
      <c r="Y659" s="35">
        <f t="shared" si="69"/>
        <v>33678.939921161174</v>
      </c>
      <c r="Z659" s="35">
        <f t="shared" si="70"/>
        <v>0</v>
      </c>
      <c r="AA659" s="35">
        <f t="shared" si="71"/>
        <v>1</v>
      </c>
      <c r="AB659" s="35">
        <f t="shared" si="72"/>
        <v>0</v>
      </c>
    </row>
    <row r="660" spans="1:28">
      <c r="A660" s="35">
        <v>649</v>
      </c>
      <c r="B660" s="35">
        <v>4.2631999712317546E-4</v>
      </c>
      <c r="C660" s="232">
        <v>60.57</v>
      </c>
      <c r="D660" s="35">
        <v>5.059878796456232</v>
      </c>
      <c r="E660" s="232">
        <v>40.72</v>
      </c>
      <c r="F660" s="35">
        <v>5.0513565841735542</v>
      </c>
      <c r="G660" s="232">
        <v>10320.379999999999</v>
      </c>
      <c r="H660" s="35">
        <v>8.6968484872870491</v>
      </c>
      <c r="I660" s="232">
        <v>11473.92</v>
      </c>
      <c r="J660" s="35">
        <v>7.738065104457446</v>
      </c>
      <c r="K660" s="232">
        <v>12089.23</v>
      </c>
      <c r="L660" s="35">
        <v>8.342665679600973</v>
      </c>
      <c r="M660" s="232">
        <v>37985.800000000003</v>
      </c>
      <c r="N660" s="35">
        <v>7.2488332629676711</v>
      </c>
      <c r="P660" s="232">
        <v>-19.850000000000001</v>
      </c>
      <c r="Q660" s="35">
        <v>8.5222122826777991E-3</v>
      </c>
      <c r="R660" s="232">
        <v>1153.54</v>
      </c>
      <c r="S660" s="35">
        <v>0.95878338282960307</v>
      </c>
      <c r="T660" s="232">
        <v>25896.57</v>
      </c>
      <c r="U660" s="35">
        <v>1.093832416633302</v>
      </c>
      <c r="W660" s="35">
        <f t="shared" si="67"/>
        <v>445.96061413388998</v>
      </c>
      <c r="X660" s="35">
        <f t="shared" si="68"/>
        <v>46785.629141480153</v>
      </c>
      <c r="Y660" s="35">
        <f t="shared" si="69"/>
        <v>28795.050831665103</v>
      </c>
      <c r="Z660" s="35">
        <f t="shared" si="70"/>
        <v>0</v>
      </c>
      <c r="AA660" s="35">
        <f t="shared" si="71"/>
        <v>1</v>
      </c>
      <c r="AB660" s="35">
        <f t="shared" si="72"/>
        <v>0</v>
      </c>
    </row>
    <row r="661" spans="1:28">
      <c r="A661" s="35">
        <v>650</v>
      </c>
      <c r="B661" s="35">
        <v>3.7622674813017534E-4</v>
      </c>
      <c r="C661" s="232">
        <v>76.98</v>
      </c>
      <c r="D661" s="35">
        <v>5.0600103605795805</v>
      </c>
      <c r="E661" s="232">
        <v>45.87</v>
      </c>
      <c r="F661" s="35">
        <v>5.0500307928773882</v>
      </c>
      <c r="G661" s="232">
        <v>16164.45</v>
      </c>
      <c r="H661" s="35">
        <v>9.5107556008205574</v>
      </c>
      <c r="I661" s="232">
        <v>17012.439999999999</v>
      </c>
      <c r="J661" s="35">
        <v>8.5350878355030684</v>
      </c>
      <c r="K661" s="232">
        <v>20882.11</v>
      </c>
      <c r="L661" s="35">
        <v>8.9538545934496216</v>
      </c>
      <c r="M661" s="232">
        <v>47288.75</v>
      </c>
      <c r="N661" s="35">
        <v>7.8642984156057167</v>
      </c>
      <c r="P661" s="232">
        <v>-31.12</v>
      </c>
      <c r="Q661" s="35">
        <v>9.9795677021923268E-3</v>
      </c>
      <c r="R661" s="232">
        <v>847.98</v>
      </c>
      <c r="S661" s="35">
        <v>0.975667765317489</v>
      </c>
      <c r="T661" s="232">
        <v>26406.639999999999</v>
      </c>
      <c r="U661" s="35">
        <v>1.0895561778439049</v>
      </c>
      <c r="W661" s="35">
        <f t="shared" si="67"/>
        <v>530.09838510961629</v>
      </c>
      <c r="X661" s="35">
        <f t="shared" si="68"/>
        <v>47935.408265874445</v>
      </c>
      <c r="Y661" s="35">
        <f t="shared" si="69"/>
        <v>28071.168892195245</v>
      </c>
      <c r="Z661" s="35">
        <f t="shared" si="70"/>
        <v>0</v>
      </c>
      <c r="AA661" s="35">
        <f t="shared" si="71"/>
        <v>1</v>
      </c>
      <c r="AB661" s="35">
        <f t="shared" si="72"/>
        <v>0</v>
      </c>
    </row>
    <row r="662" spans="1:28">
      <c r="A662" s="35">
        <v>651</v>
      </c>
      <c r="B662" s="35">
        <v>4.7903933839454904E-4</v>
      </c>
      <c r="C662" s="232">
        <v>88.11</v>
      </c>
      <c r="D662" s="35">
        <v>5.064099294723106</v>
      </c>
      <c r="E662" s="232">
        <v>52.48</v>
      </c>
      <c r="F662" s="35">
        <v>5.0524244466142694</v>
      </c>
      <c r="G662" s="232">
        <v>13658.54</v>
      </c>
      <c r="H662" s="35">
        <v>9.0923631968922045</v>
      </c>
      <c r="I662" s="232">
        <v>12324.04</v>
      </c>
      <c r="J662" s="35">
        <v>7.442002998117526</v>
      </c>
      <c r="K662" s="232">
        <v>20342.580000000002</v>
      </c>
      <c r="L662" s="35">
        <v>8.7431129010463859</v>
      </c>
      <c r="M662" s="232">
        <v>46730.1</v>
      </c>
      <c r="N662" s="35">
        <v>7.6829084272852981</v>
      </c>
      <c r="P662" s="232">
        <v>-35.630000000000003</v>
      </c>
      <c r="Q662" s="35">
        <v>1.1674848108836677E-2</v>
      </c>
      <c r="R662" s="232">
        <v>-1334.5</v>
      </c>
      <c r="S662" s="35">
        <v>1.6503601987746785</v>
      </c>
      <c r="T662" s="232">
        <v>26387.52</v>
      </c>
      <c r="U662" s="35">
        <v>1.0602044737610878</v>
      </c>
      <c r="W662" s="35">
        <f t="shared" si="67"/>
        <v>619.37240544183385</v>
      </c>
      <c r="X662" s="35">
        <f t="shared" si="68"/>
        <v>83852.509938733929</v>
      </c>
      <c r="Y662" s="35">
        <f t="shared" si="69"/>
        <v>26622.703688054393</v>
      </c>
      <c r="Z662" s="35">
        <f t="shared" si="70"/>
        <v>0</v>
      </c>
      <c r="AA662" s="35">
        <f t="shared" si="71"/>
        <v>1</v>
      </c>
      <c r="AB662" s="35">
        <f t="shared" si="72"/>
        <v>0</v>
      </c>
    </row>
    <row r="663" spans="1:28">
      <c r="A663" s="35">
        <v>652</v>
      </c>
      <c r="B663" s="35">
        <v>5.1268158386785778E-4</v>
      </c>
      <c r="C663" s="232">
        <v>74.03</v>
      </c>
      <c r="D663" s="35">
        <v>5.0644538361480098</v>
      </c>
      <c r="E663" s="232">
        <v>52.96</v>
      </c>
      <c r="F663" s="35">
        <v>5.0555902632719736</v>
      </c>
      <c r="G663" s="232">
        <v>11499.48</v>
      </c>
      <c r="H663" s="35">
        <v>8.5861766189489792</v>
      </c>
      <c r="I663" s="232">
        <v>12987.98</v>
      </c>
      <c r="J663" s="35">
        <v>6.9557543979193275</v>
      </c>
      <c r="K663" s="232">
        <v>12786.06</v>
      </c>
      <c r="L663" s="35">
        <v>8.5829038567414013</v>
      </c>
      <c r="M663" s="232">
        <v>38821.32</v>
      </c>
      <c r="N663" s="35">
        <v>7.3992176805914367</v>
      </c>
      <c r="P663" s="232">
        <v>-21.07</v>
      </c>
      <c r="Q663" s="35">
        <v>8.8635728760362298E-3</v>
      </c>
      <c r="R663" s="232">
        <v>1488.49</v>
      </c>
      <c r="S663" s="35">
        <v>1.6304222210296517</v>
      </c>
      <c r="T663" s="232">
        <v>26035.25</v>
      </c>
      <c r="U663" s="35">
        <v>1.1836861761499646</v>
      </c>
      <c r="W663" s="35">
        <f t="shared" si="67"/>
        <v>464.24864380181151</v>
      </c>
      <c r="X663" s="35">
        <f t="shared" si="68"/>
        <v>80032.62105148258</v>
      </c>
      <c r="Y663" s="35">
        <f t="shared" si="69"/>
        <v>33149.05880749823</v>
      </c>
      <c r="Z663" s="35">
        <f t="shared" si="70"/>
        <v>0</v>
      </c>
      <c r="AA663" s="35">
        <f t="shared" si="71"/>
        <v>1</v>
      </c>
      <c r="AB663" s="35">
        <f t="shared" si="72"/>
        <v>0</v>
      </c>
    </row>
    <row r="664" spans="1:28">
      <c r="A664" s="35">
        <v>653</v>
      </c>
      <c r="B664" s="35">
        <v>4.8252023222794538E-4</v>
      </c>
      <c r="C664" s="232">
        <v>67.13</v>
      </c>
      <c r="D664" s="35">
        <v>5.0625265105805379</v>
      </c>
      <c r="E664" s="232">
        <v>41.07</v>
      </c>
      <c r="F664" s="35">
        <v>5.0516318456804328</v>
      </c>
      <c r="G664" s="232">
        <v>11615.31</v>
      </c>
      <c r="H664" s="35">
        <v>8.8769084682684554</v>
      </c>
      <c r="I664" s="232">
        <v>13609.45</v>
      </c>
      <c r="J664" s="35">
        <v>7.7659317103481476</v>
      </c>
      <c r="K664" s="232">
        <v>12291.2</v>
      </c>
      <c r="L664" s="35">
        <v>8.2215755731703872</v>
      </c>
      <c r="M664" s="232">
        <v>38227.83</v>
      </c>
      <c r="N664" s="35">
        <v>7.1834925693944172</v>
      </c>
      <c r="P664" s="232">
        <v>-26.06</v>
      </c>
      <c r="Q664" s="35">
        <v>1.0894664900105155E-2</v>
      </c>
      <c r="R664" s="232">
        <v>1994.14</v>
      </c>
      <c r="S664" s="35">
        <v>1.1109767579203078</v>
      </c>
      <c r="T664" s="232">
        <v>25936.63</v>
      </c>
      <c r="U664" s="35">
        <v>1.0380830037759701</v>
      </c>
      <c r="W664" s="35">
        <f t="shared" si="67"/>
        <v>570.79324500525775</v>
      </c>
      <c r="X664" s="35">
        <f t="shared" si="68"/>
        <v>53554.697896015394</v>
      </c>
      <c r="Y664" s="35">
        <f t="shared" si="69"/>
        <v>25967.520188798506</v>
      </c>
      <c r="Z664" s="35">
        <f t="shared" si="70"/>
        <v>0</v>
      </c>
      <c r="AA664" s="35">
        <f t="shared" si="71"/>
        <v>1</v>
      </c>
      <c r="AB664" s="35">
        <f t="shared" si="72"/>
        <v>0</v>
      </c>
    </row>
    <row r="665" spans="1:28">
      <c r="A665" s="35">
        <v>654</v>
      </c>
      <c r="B665" s="35">
        <v>3.8835491658554069E-4</v>
      </c>
      <c r="C665" s="232">
        <v>60.01</v>
      </c>
      <c r="D665" s="35">
        <v>5.0576762977987633</v>
      </c>
      <c r="E665" s="232">
        <v>42.94</v>
      </c>
      <c r="F665" s="35">
        <v>5.0508515575487678</v>
      </c>
      <c r="G665" s="232">
        <v>11289</v>
      </c>
      <c r="H665" s="35">
        <v>8.4368567639468814</v>
      </c>
      <c r="I665" s="232">
        <v>10981.79</v>
      </c>
      <c r="J665" s="35">
        <v>6.8028871338894827</v>
      </c>
      <c r="K665" s="232">
        <v>16646.5</v>
      </c>
      <c r="L665" s="35">
        <v>8.750534546914885</v>
      </c>
      <c r="M665" s="232">
        <v>42721.66</v>
      </c>
      <c r="N665" s="35">
        <v>7.6791738289185405</v>
      </c>
      <c r="P665" s="232">
        <v>-17.07</v>
      </c>
      <c r="Q665" s="35">
        <v>6.8247402499954646E-3</v>
      </c>
      <c r="R665" s="232">
        <v>-307.20999999999998</v>
      </c>
      <c r="S665" s="35">
        <v>1.6339696300573987</v>
      </c>
      <c r="T665" s="232">
        <v>26075.16</v>
      </c>
      <c r="U665" s="35">
        <v>1.0713607179963445</v>
      </c>
      <c r="W665" s="35">
        <f t="shared" si="67"/>
        <v>358.30701249977324</v>
      </c>
      <c r="X665" s="35">
        <f t="shared" si="68"/>
        <v>82005.691502869944</v>
      </c>
      <c r="Y665" s="35">
        <f t="shared" si="69"/>
        <v>27492.875899817223</v>
      </c>
      <c r="Z665" s="35">
        <f t="shared" si="70"/>
        <v>0</v>
      </c>
      <c r="AA665" s="35">
        <f t="shared" si="71"/>
        <v>1</v>
      </c>
      <c r="AB665" s="35">
        <f t="shared" si="72"/>
        <v>0</v>
      </c>
    </row>
    <row r="666" spans="1:28">
      <c r="A666" s="35">
        <v>655</v>
      </c>
      <c r="B666" s="35">
        <v>5.2537796398688386E-4</v>
      </c>
      <c r="C666" s="232">
        <v>68.7</v>
      </c>
      <c r="D666" s="35">
        <v>5.0650733661006493</v>
      </c>
      <c r="E666" s="232">
        <v>37.130000000000003</v>
      </c>
      <c r="F666" s="35">
        <v>5.05114759124932</v>
      </c>
      <c r="G666" s="232">
        <v>10169.11</v>
      </c>
      <c r="H666" s="35">
        <v>8.777227433261686</v>
      </c>
      <c r="I666" s="232">
        <v>11480.16</v>
      </c>
      <c r="J666" s="35">
        <v>7.7518537805334118</v>
      </c>
      <c r="K666" s="232">
        <v>12527.77</v>
      </c>
      <c r="L666" s="35">
        <v>8.6127180102455476</v>
      </c>
      <c r="M666" s="232">
        <v>38524.400000000001</v>
      </c>
      <c r="N666" s="35">
        <v>7.5330466829181635</v>
      </c>
      <c r="P666" s="232">
        <v>-31.57</v>
      </c>
      <c r="Q666" s="35">
        <v>1.3925774851329287E-2</v>
      </c>
      <c r="R666" s="232">
        <v>1311.05</v>
      </c>
      <c r="S666" s="35">
        <v>1.0253736527282742</v>
      </c>
      <c r="T666" s="232">
        <v>25996.63</v>
      </c>
      <c r="U666" s="35">
        <v>1.0796713273273841</v>
      </c>
      <c r="W666" s="35">
        <f t="shared" si="67"/>
        <v>727.85874256646434</v>
      </c>
      <c r="X666" s="35">
        <f t="shared" si="68"/>
        <v>49957.632636413706</v>
      </c>
      <c r="Y666" s="35">
        <f t="shared" si="69"/>
        <v>27986.936366369209</v>
      </c>
      <c r="Z666" s="35">
        <f t="shared" si="70"/>
        <v>0</v>
      </c>
      <c r="AA666" s="35">
        <f t="shared" si="71"/>
        <v>1</v>
      </c>
      <c r="AB666" s="35">
        <f t="shared" si="72"/>
        <v>0</v>
      </c>
    </row>
    <row r="667" spans="1:28">
      <c r="A667" s="35">
        <v>656</v>
      </c>
      <c r="B667" s="35">
        <v>4.7205080500956065E-4</v>
      </c>
      <c r="C667" s="232">
        <v>93.64</v>
      </c>
      <c r="D667" s="35">
        <v>5.0646968236867318</v>
      </c>
      <c r="E667" s="232">
        <v>51.67</v>
      </c>
      <c r="F667" s="35">
        <v>5.0516474261836466</v>
      </c>
      <c r="G667" s="232">
        <v>15219.72</v>
      </c>
      <c r="H667" s="35">
        <v>9.1154854233134142</v>
      </c>
      <c r="I667" s="232">
        <v>14500.51</v>
      </c>
      <c r="J667" s="35">
        <v>7.0703650510230629</v>
      </c>
      <c r="K667" s="232">
        <v>19972.78</v>
      </c>
      <c r="L667" s="35">
        <v>9.1731294322069665</v>
      </c>
      <c r="M667" s="232">
        <v>46402.8</v>
      </c>
      <c r="N667" s="35">
        <v>8.0055894903088554</v>
      </c>
      <c r="P667" s="232">
        <v>-41.97</v>
      </c>
      <c r="Q667" s="35">
        <v>1.3049397503085203E-2</v>
      </c>
      <c r="R667" s="232">
        <v>-719.21</v>
      </c>
      <c r="S667" s="35">
        <v>2.0451203722903513</v>
      </c>
      <c r="T667" s="232">
        <v>26430.02</v>
      </c>
      <c r="U667" s="35">
        <v>1.1675399418981112</v>
      </c>
      <c r="W667" s="35">
        <f t="shared" si="67"/>
        <v>694.43987515426011</v>
      </c>
      <c r="X667" s="35">
        <f t="shared" si="68"/>
        <v>102975.22861451757</v>
      </c>
      <c r="Y667" s="35">
        <f t="shared" si="69"/>
        <v>31946.977094905556</v>
      </c>
      <c r="Z667" s="35">
        <f t="shared" si="70"/>
        <v>0</v>
      </c>
      <c r="AA667" s="35">
        <f t="shared" si="71"/>
        <v>1</v>
      </c>
      <c r="AB667" s="35">
        <f t="shared" si="72"/>
        <v>0</v>
      </c>
    </row>
    <row r="668" spans="1:28">
      <c r="A668" s="35">
        <v>657</v>
      </c>
      <c r="B668" s="35">
        <v>4.0601301306841749E-4</v>
      </c>
      <c r="C668" s="232">
        <v>60.17</v>
      </c>
      <c r="D668" s="35">
        <v>5.0578345534350255</v>
      </c>
      <c r="E668" s="232">
        <v>37.630000000000003</v>
      </c>
      <c r="F668" s="35">
        <v>5.0491619007944211</v>
      </c>
      <c r="G668" s="232">
        <v>11674.43</v>
      </c>
      <c r="H668" s="35">
        <v>8.4293101055728812</v>
      </c>
      <c r="I668" s="232">
        <v>12733.68</v>
      </c>
      <c r="J668" s="35">
        <v>7.1595201396450179</v>
      </c>
      <c r="K668" s="232">
        <v>14858.63</v>
      </c>
      <c r="L668" s="35">
        <v>8.5273977883945538</v>
      </c>
      <c r="M668" s="232">
        <v>41041.08</v>
      </c>
      <c r="N668" s="35">
        <v>7.4435728299914308</v>
      </c>
      <c r="P668" s="232">
        <v>-22.54</v>
      </c>
      <c r="Q668" s="35">
        <v>8.6726526406044613E-3</v>
      </c>
      <c r="R668" s="232">
        <v>1059.25</v>
      </c>
      <c r="S668" s="35">
        <v>1.2697899659278633</v>
      </c>
      <c r="T668" s="232">
        <v>26182.45</v>
      </c>
      <c r="U668" s="35">
        <v>1.083824958403123</v>
      </c>
      <c r="W668" s="35">
        <f t="shared" si="67"/>
        <v>456.1726320302231</v>
      </c>
      <c r="X668" s="35">
        <f t="shared" si="68"/>
        <v>62430.248296393169</v>
      </c>
      <c r="Y668" s="35">
        <f t="shared" si="69"/>
        <v>28008.79792015615</v>
      </c>
      <c r="Z668" s="35">
        <f t="shared" si="70"/>
        <v>0</v>
      </c>
      <c r="AA668" s="35">
        <f t="shared" si="71"/>
        <v>1</v>
      </c>
      <c r="AB668" s="35">
        <f t="shared" si="72"/>
        <v>0</v>
      </c>
    </row>
    <row r="669" spans="1:28">
      <c r="A669" s="35">
        <v>658</v>
      </c>
      <c r="B669" s="35">
        <v>5.5721371424843902E-4</v>
      </c>
      <c r="C669" s="232">
        <v>87.08</v>
      </c>
      <c r="D669" s="35">
        <v>5.0690850209170835</v>
      </c>
      <c r="E669" s="232">
        <v>50.47</v>
      </c>
      <c r="F669" s="35">
        <v>5.0546730813827834</v>
      </c>
      <c r="G669" s="232">
        <v>11829.93</v>
      </c>
      <c r="H669" s="35">
        <v>9.055464185490413</v>
      </c>
      <c r="I669" s="232">
        <v>12807.82</v>
      </c>
      <c r="J669" s="35">
        <v>8.0084638639374095</v>
      </c>
      <c r="K669" s="232">
        <v>15257.58</v>
      </c>
      <c r="L669" s="35">
        <v>9.0364014509356156</v>
      </c>
      <c r="M669" s="232">
        <v>41430.870000000003</v>
      </c>
      <c r="N669" s="35">
        <v>7.9318509799930208</v>
      </c>
      <c r="P669" s="232">
        <v>-36.6</v>
      </c>
      <c r="Q669" s="35">
        <v>1.4411939534300089E-2</v>
      </c>
      <c r="R669" s="232">
        <v>977.89</v>
      </c>
      <c r="S669" s="35">
        <v>1.0470003215530035</v>
      </c>
      <c r="T669" s="232">
        <v>26173.279999999999</v>
      </c>
      <c r="U669" s="35">
        <v>1.1045504709425948</v>
      </c>
      <c r="W669" s="35">
        <f t="shared" si="67"/>
        <v>757.19697671500444</v>
      </c>
      <c r="X669" s="35">
        <f t="shared" si="68"/>
        <v>51372.126077650173</v>
      </c>
      <c r="Y669" s="35">
        <f t="shared" si="69"/>
        <v>29054.243547129743</v>
      </c>
      <c r="Z669" s="35">
        <f t="shared" si="70"/>
        <v>0</v>
      </c>
      <c r="AA669" s="35">
        <f t="shared" si="71"/>
        <v>1</v>
      </c>
      <c r="AB669" s="35">
        <f t="shared" si="72"/>
        <v>0</v>
      </c>
    </row>
    <row r="670" spans="1:28">
      <c r="A670" s="35">
        <v>659</v>
      </c>
      <c r="B670" s="35">
        <v>4.2734963815239621E-4</v>
      </c>
      <c r="C670" s="232">
        <v>58.12</v>
      </c>
      <c r="D670" s="35">
        <v>5.060573542356658</v>
      </c>
      <c r="E670" s="232">
        <v>38.89</v>
      </c>
      <c r="F670" s="35">
        <v>5.0516527118830279</v>
      </c>
      <c r="G670" s="232">
        <v>10884.49</v>
      </c>
      <c r="H670" s="35">
        <v>8.8140642848542292</v>
      </c>
      <c r="I670" s="232">
        <v>12912.1</v>
      </c>
      <c r="J670" s="35">
        <v>7.1315085870799475</v>
      </c>
      <c r="K670" s="232">
        <v>10088.549999999999</v>
      </c>
      <c r="L670" s="35">
        <v>8.6936633010044613</v>
      </c>
      <c r="M670" s="232">
        <v>36015.86</v>
      </c>
      <c r="N670" s="35">
        <v>7.5526862805283868</v>
      </c>
      <c r="P670" s="232">
        <v>-19.22</v>
      </c>
      <c r="Q670" s="35">
        <v>8.9208304736301258E-3</v>
      </c>
      <c r="R670" s="232">
        <v>2027.61</v>
      </c>
      <c r="S670" s="35">
        <v>1.6825556977742817</v>
      </c>
      <c r="T670" s="232">
        <v>25927.31</v>
      </c>
      <c r="U670" s="35">
        <v>1.1409770204760745</v>
      </c>
      <c r="W670" s="35">
        <f t="shared" si="67"/>
        <v>465.26152368150633</v>
      </c>
      <c r="X670" s="35">
        <f t="shared" si="68"/>
        <v>82100.174888714086</v>
      </c>
      <c r="Y670" s="35">
        <f t="shared" si="69"/>
        <v>31121.541023803726</v>
      </c>
      <c r="Z670" s="35">
        <f t="shared" si="70"/>
        <v>0</v>
      </c>
      <c r="AA670" s="35">
        <f t="shared" si="71"/>
        <v>1</v>
      </c>
      <c r="AB670" s="35">
        <f t="shared" si="72"/>
        <v>0</v>
      </c>
    </row>
    <row r="671" spans="1:28">
      <c r="A671" s="35">
        <v>660</v>
      </c>
      <c r="B671" s="35">
        <v>4.2153215232551008E-4</v>
      </c>
      <c r="C671" s="232">
        <v>65.400000000000006</v>
      </c>
      <c r="D671" s="35">
        <v>5.059884108158867</v>
      </c>
      <c r="E671" s="232">
        <v>38.69</v>
      </c>
      <c r="F671" s="35">
        <v>5.0496818054110459</v>
      </c>
      <c r="G671" s="232">
        <v>11731.03</v>
      </c>
      <c r="H671" s="35">
        <v>8.7153860370938929</v>
      </c>
      <c r="I671" s="232">
        <v>12296.59</v>
      </c>
      <c r="J671" s="35">
        <v>7.3273590429969637</v>
      </c>
      <c r="K671" s="232">
        <v>15038.93</v>
      </c>
      <c r="L671" s="35">
        <v>8.6657945025074703</v>
      </c>
      <c r="M671" s="232">
        <v>41169.1</v>
      </c>
      <c r="N671" s="35">
        <v>7.5872155395306624</v>
      </c>
      <c r="P671" s="232">
        <v>-26.72</v>
      </c>
      <c r="Q671" s="35">
        <v>1.0202302747821079E-2</v>
      </c>
      <c r="R671" s="232">
        <v>565.55999999999995</v>
      </c>
      <c r="S671" s="35">
        <v>1.3880269940969292</v>
      </c>
      <c r="T671" s="232">
        <v>26130.17</v>
      </c>
      <c r="U671" s="35">
        <v>1.0785789629768079</v>
      </c>
      <c r="W671" s="35">
        <f t="shared" si="67"/>
        <v>536.83513739105399</v>
      </c>
      <c r="X671" s="35">
        <f t="shared" si="68"/>
        <v>68835.789704846466</v>
      </c>
      <c r="Y671" s="35">
        <f t="shared" si="69"/>
        <v>27798.778148840393</v>
      </c>
      <c r="Z671" s="35">
        <f t="shared" si="70"/>
        <v>0</v>
      </c>
      <c r="AA671" s="35">
        <f t="shared" si="71"/>
        <v>1</v>
      </c>
      <c r="AB671" s="35">
        <f t="shared" si="72"/>
        <v>0</v>
      </c>
    </row>
    <row r="672" spans="1:28">
      <c r="A672" s="35">
        <v>661</v>
      </c>
      <c r="B672" s="35">
        <v>5.3411587094109869E-4</v>
      </c>
      <c r="C672" s="232">
        <v>73.83</v>
      </c>
      <c r="D672" s="35">
        <v>5.0661178298638463</v>
      </c>
      <c r="E672" s="232">
        <v>57.78</v>
      </c>
      <c r="F672" s="35">
        <v>5.058588864168108</v>
      </c>
      <c r="G672" s="232">
        <v>10270.82</v>
      </c>
      <c r="H672" s="35">
        <v>8.9334301653662553</v>
      </c>
      <c r="I672" s="232">
        <v>10789.88</v>
      </c>
      <c r="J672" s="35">
        <v>7.487898660560993</v>
      </c>
      <c r="K672" s="232">
        <v>12771.72</v>
      </c>
      <c r="L672" s="35">
        <v>8.146318777454395</v>
      </c>
      <c r="M672" s="232">
        <v>38751.82</v>
      </c>
      <c r="N672" s="35">
        <v>7.0159883569514134</v>
      </c>
      <c r="P672" s="232">
        <v>-16.05</v>
      </c>
      <c r="Q672" s="35">
        <v>7.5289656957382434E-3</v>
      </c>
      <c r="R672" s="232">
        <v>519.04999999999995</v>
      </c>
      <c r="S672" s="35">
        <v>1.4455315048052624</v>
      </c>
      <c r="T672" s="232">
        <v>25980.1</v>
      </c>
      <c r="U672" s="35">
        <v>1.1303304205029816</v>
      </c>
      <c r="W672" s="35">
        <f t="shared" si="67"/>
        <v>392.49828478691217</v>
      </c>
      <c r="X672" s="35">
        <f t="shared" si="68"/>
        <v>71757.525240263116</v>
      </c>
      <c r="Y672" s="35">
        <f t="shared" si="69"/>
        <v>30536.42102514908</v>
      </c>
      <c r="Z672" s="35">
        <f t="shared" si="70"/>
        <v>0</v>
      </c>
      <c r="AA672" s="35">
        <f t="shared" si="71"/>
        <v>1</v>
      </c>
      <c r="AB672" s="35">
        <f t="shared" si="72"/>
        <v>0</v>
      </c>
    </row>
    <row r="673" spans="1:28">
      <c r="A673" s="35">
        <v>662</v>
      </c>
      <c r="B673" s="35">
        <v>4.0426342490552681E-4</v>
      </c>
      <c r="C673" s="232">
        <v>51.64</v>
      </c>
      <c r="D673" s="35">
        <v>5.0589499716447932</v>
      </c>
      <c r="E673" s="232">
        <v>30.57</v>
      </c>
      <c r="F673" s="35">
        <v>5.0488801537279953</v>
      </c>
      <c r="G673" s="232">
        <v>10285.93</v>
      </c>
      <c r="H673" s="35">
        <v>8.9268560412921634</v>
      </c>
      <c r="I673" s="232">
        <v>11810.83</v>
      </c>
      <c r="J673" s="35">
        <v>7.9658931256765797</v>
      </c>
      <c r="K673" s="232">
        <v>12452.42</v>
      </c>
      <c r="L673" s="35">
        <v>8.3799565585201279</v>
      </c>
      <c r="M673" s="232">
        <v>38375.019999999997</v>
      </c>
      <c r="N673" s="35">
        <v>7.2808068581600462</v>
      </c>
      <c r="P673" s="232">
        <v>-21.06</v>
      </c>
      <c r="Q673" s="35">
        <v>1.0069817916797952E-2</v>
      </c>
      <c r="R673" s="232">
        <v>1524.91</v>
      </c>
      <c r="S673" s="35">
        <v>0.96096291561558367</v>
      </c>
      <c r="T673" s="232">
        <v>25922.6</v>
      </c>
      <c r="U673" s="35">
        <v>1.0991497003600816</v>
      </c>
      <c r="W673" s="35">
        <f t="shared" si="67"/>
        <v>524.55089583989752</v>
      </c>
      <c r="X673" s="35">
        <f t="shared" si="68"/>
        <v>46523.235780779178</v>
      </c>
      <c r="Y673" s="35">
        <f t="shared" si="69"/>
        <v>29034.885018004083</v>
      </c>
      <c r="Z673" s="35">
        <f t="shared" si="70"/>
        <v>0</v>
      </c>
      <c r="AA673" s="35">
        <f t="shared" si="71"/>
        <v>1</v>
      </c>
      <c r="AB673" s="35">
        <f t="shared" si="72"/>
        <v>0</v>
      </c>
    </row>
    <row r="674" spans="1:28">
      <c r="A674" s="35">
        <v>663</v>
      </c>
      <c r="B674" s="35">
        <v>3.3461276948756967E-4</v>
      </c>
      <c r="C674" s="232">
        <v>52.24</v>
      </c>
      <c r="D674" s="35">
        <v>5.0572580350588376</v>
      </c>
      <c r="E674" s="232">
        <v>32.299999999999997</v>
      </c>
      <c r="F674" s="35">
        <v>5.0485226221040262</v>
      </c>
      <c r="G674" s="232">
        <v>12150.43</v>
      </c>
      <c r="H674" s="35">
        <v>9.4700636985091258</v>
      </c>
      <c r="I674" s="232">
        <v>11751.14</v>
      </c>
      <c r="J674" s="35">
        <v>7.1238783966759813</v>
      </c>
      <c r="K674" s="232">
        <v>14743.51</v>
      </c>
      <c r="L674" s="35">
        <v>8.770637050283737</v>
      </c>
      <c r="M674" s="232">
        <v>40741.440000000002</v>
      </c>
      <c r="N674" s="35">
        <v>7.6565250161015799</v>
      </c>
      <c r="P674" s="232">
        <v>-19.940000000000001</v>
      </c>
      <c r="Q674" s="35">
        <v>8.7354129548113946E-3</v>
      </c>
      <c r="R674" s="232">
        <v>-399.28</v>
      </c>
      <c r="S674" s="35">
        <v>2.3461853018331444</v>
      </c>
      <c r="T674" s="232">
        <v>25997.93</v>
      </c>
      <c r="U674" s="35">
        <v>1.1141120341821571</v>
      </c>
      <c r="W674" s="35">
        <f t="shared" si="67"/>
        <v>456.71064774056975</v>
      </c>
      <c r="X674" s="35">
        <f t="shared" si="68"/>
        <v>117708.54509165722</v>
      </c>
      <c r="Y674" s="35">
        <f t="shared" si="69"/>
        <v>29707.671709107854</v>
      </c>
      <c r="Z674" s="35">
        <f t="shared" si="70"/>
        <v>0</v>
      </c>
      <c r="AA674" s="35">
        <f t="shared" si="71"/>
        <v>1</v>
      </c>
      <c r="AB674" s="35">
        <f t="shared" si="72"/>
        <v>0</v>
      </c>
    </row>
    <row r="675" spans="1:28">
      <c r="A675" s="35">
        <v>664</v>
      </c>
      <c r="B675" s="35">
        <v>2.8618706288499748E-4</v>
      </c>
      <c r="C675" s="232">
        <v>37</v>
      </c>
      <c r="D675" s="35">
        <v>5.0534133960925542</v>
      </c>
      <c r="E675" s="232">
        <v>25.42</v>
      </c>
      <c r="F675" s="35">
        <v>5.0470297358598328</v>
      </c>
      <c r="G675" s="232">
        <v>10429.58</v>
      </c>
      <c r="H675" s="35">
        <v>8.8489352186110199</v>
      </c>
      <c r="I675" s="232">
        <v>12000.35</v>
      </c>
      <c r="J675" s="35">
        <v>7.0196839527319934</v>
      </c>
      <c r="K675" s="232">
        <v>11361.05</v>
      </c>
      <c r="L675" s="35">
        <v>8.8530061187475457</v>
      </c>
      <c r="M675" s="232">
        <v>37197.29</v>
      </c>
      <c r="N675" s="35">
        <v>7.7996693248168896</v>
      </c>
      <c r="P675" s="232">
        <v>-11.59</v>
      </c>
      <c r="Q675" s="35">
        <v>6.3836602327214109E-3</v>
      </c>
      <c r="R675" s="232">
        <v>1570.77</v>
      </c>
      <c r="S675" s="35">
        <v>1.8292512658790265</v>
      </c>
      <c r="T675" s="232">
        <v>25836.23</v>
      </c>
      <c r="U675" s="35">
        <v>1.0533367939306562</v>
      </c>
      <c r="W675" s="35">
        <f t="shared" si="67"/>
        <v>330.77301163607052</v>
      </c>
      <c r="X675" s="35">
        <f t="shared" si="68"/>
        <v>89891.793293951327</v>
      </c>
      <c r="Y675" s="35">
        <f t="shared" si="69"/>
        <v>26830.609696532807</v>
      </c>
      <c r="Z675" s="35">
        <f t="shared" si="70"/>
        <v>0</v>
      </c>
      <c r="AA675" s="35">
        <f t="shared" si="71"/>
        <v>1</v>
      </c>
      <c r="AB675" s="35">
        <f t="shared" si="72"/>
        <v>0</v>
      </c>
    </row>
    <row r="676" spans="1:28">
      <c r="A676" s="35">
        <v>665</v>
      </c>
      <c r="B676" s="35">
        <v>3.7785915348005985E-4</v>
      </c>
      <c r="C676" s="232">
        <v>57.57</v>
      </c>
      <c r="D676" s="35">
        <v>5.0569755324801555</v>
      </c>
      <c r="E676" s="232">
        <v>34.82</v>
      </c>
      <c r="F676" s="35">
        <v>5.0482324220848254</v>
      </c>
      <c r="G676" s="232">
        <v>12023.6</v>
      </c>
      <c r="H676" s="35">
        <v>8.5403495300038088</v>
      </c>
      <c r="I676" s="232">
        <v>13629.64</v>
      </c>
      <c r="J676" s="35">
        <v>7.5771481609641578</v>
      </c>
      <c r="K676" s="232">
        <v>13640.01</v>
      </c>
      <c r="L676" s="35">
        <v>8.5510058857210378</v>
      </c>
      <c r="M676" s="232">
        <v>39784.9</v>
      </c>
      <c r="N676" s="35">
        <v>7.4459588392008227</v>
      </c>
      <c r="P676" s="232">
        <v>-22.75</v>
      </c>
      <c r="Q676" s="35">
        <v>8.7431103953301559E-3</v>
      </c>
      <c r="R676" s="232">
        <v>1606.04</v>
      </c>
      <c r="S676" s="35">
        <v>0.96320136903965103</v>
      </c>
      <c r="T676" s="232">
        <v>26144.89</v>
      </c>
      <c r="U676" s="35">
        <v>1.1050470465202151</v>
      </c>
      <c r="W676" s="35">
        <f t="shared" si="67"/>
        <v>459.90551976650778</v>
      </c>
      <c r="X676" s="35">
        <f t="shared" si="68"/>
        <v>46554.028451982551</v>
      </c>
      <c r="Y676" s="35">
        <f t="shared" si="69"/>
        <v>29107.462326010755</v>
      </c>
      <c r="Z676" s="35">
        <f t="shared" si="70"/>
        <v>0</v>
      </c>
      <c r="AA676" s="35">
        <f t="shared" si="71"/>
        <v>1</v>
      </c>
      <c r="AB676" s="35">
        <f t="shared" si="72"/>
        <v>0</v>
      </c>
    </row>
    <row r="677" spans="1:28">
      <c r="A677" s="35">
        <v>666</v>
      </c>
      <c r="B677" s="35">
        <v>3.9746361556380552E-4</v>
      </c>
      <c r="C677" s="232">
        <v>47.94</v>
      </c>
      <c r="D677" s="35">
        <v>5.0571105845212987</v>
      </c>
      <c r="E677" s="232">
        <v>32.35</v>
      </c>
      <c r="F677" s="35">
        <v>5.0494048950121959</v>
      </c>
      <c r="G677" s="232">
        <v>9025.73</v>
      </c>
      <c r="H677" s="35">
        <v>8.3909317384345581</v>
      </c>
      <c r="I677" s="232">
        <v>10387.66</v>
      </c>
      <c r="J677" s="35">
        <v>7.3788441063104919</v>
      </c>
      <c r="K677" s="232">
        <v>10701.25</v>
      </c>
      <c r="L677" s="35">
        <v>8.2896797909191324</v>
      </c>
      <c r="M677" s="232">
        <v>36568</v>
      </c>
      <c r="N677" s="35">
        <v>7.202491503171502</v>
      </c>
      <c r="P677" s="232">
        <v>-15.59</v>
      </c>
      <c r="Q677" s="35">
        <v>7.7056895091027755E-3</v>
      </c>
      <c r="R677" s="232">
        <v>1361.93</v>
      </c>
      <c r="S677" s="35">
        <v>1.0120876321240662</v>
      </c>
      <c r="T677" s="232">
        <v>25866.74</v>
      </c>
      <c r="U677" s="35">
        <v>1.0871882877476304</v>
      </c>
      <c r="W677" s="35">
        <f t="shared" si="67"/>
        <v>400.87447545513874</v>
      </c>
      <c r="X677" s="35">
        <f t="shared" si="68"/>
        <v>49242.451606203307</v>
      </c>
      <c r="Y677" s="35">
        <f t="shared" si="69"/>
        <v>28492.674387381518</v>
      </c>
      <c r="Z677" s="35">
        <f t="shared" si="70"/>
        <v>0</v>
      </c>
      <c r="AA677" s="35">
        <f t="shared" si="71"/>
        <v>1</v>
      </c>
      <c r="AB677" s="35">
        <f t="shared" si="72"/>
        <v>0</v>
      </c>
    </row>
    <row r="678" spans="1:28">
      <c r="A678" s="35">
        <v>667</v>
      </c>
      <c r="B678" s="35">
        <v>4.5616087276645345E-4</v>
      </c>
      <c r="C678" s="232">
        <v>63.24</v>
      </c>
      <c r="D678" s="35">
        <v>5.0642470435276081</v>
      </c>
      <c r="E678" s="232">
        <v>42.51</v>
      </c>
      <c r="F678" s="35">
        <v>5.0540911614641804</v>
      </c>
      <c r="G678" s="232">
        <v>10682.18</v>
      </c>
      <c r="H678" s="35">
        <v>9.2748301131694451</v>
      </c>
      <c r="I678" s="232">
        <v>11698.77</v>
      </c>
      <c r="J678" s="35">
        <v>7.8349225844134693</v>
      </c>
      <c r="K678" s="232">
        <v>12893.57</v>
      </c>
      <c r="L678" s="35">
        <v>8.8563747497232121</v>
      </c>
      <c r="M678" s="232">
        <v>38825.97</v>
      </c>
      <c r="N678" s="35">
        <v>7.7438381077034943</v>
      </c>
      <c r="P678" s="232">
        <v>-20.73</v>
      </c>
      <c r="Q678" s="35">
        <v>1.0155882063427768E-2</v>
      </c>
      <c r="R678" s="232">
        <v>1016.59</v>
      </c>
      <c r="S678" s="35">
        <v>1.4399075287559757</v>
      </c>
      <c r="T678" s="232">
        <v>25932.400000000001</v>
      </c>
      <c r="U678" s="35">
        <v>1.1125366420197178</v>
      </c>
      <c r="W678" s="35">
        <f t="shared" si="67"/>
        <v>528.52410317138845</v>
      </c>
      <c r="X678" s="35">
        <f t="shared" si="68"/>
        <v>70978.786437798786</v>
      </c>
      <c r="Y678" s="35">
        <f t="shared" si="69"/>
        <v>29694.43210098589</v>
      </c>
      <c r="Z678" s="35">
        <f t="shared" si="70"/>
        <v>0</v>
      </c>
      <c r="AA678" s="35">
        <f t="shared" si="71"/>
        <v>1</v>
      </c>
      <c r="AB678" s="35">
        <f t="shared" si="72"/>
        <v>0</v>
      </c>
    </row>
    <row r="679" spans="1:28">
      <c r="A679" s="35">
        <v>668</v>
      </c>
      <c r="B679" s="35">
        <v>3.9493834919439368E-4</v>
      </c>
      <c r="C679" s="232">
        <v>68.709999999999994</v>
      </c>
      <c r="D679" s="35">
        <v>5.0574171927218021</v>
      </c>
      <c r="E679" s="232">
        <v>40.21</v>
      </c>
      <c r="F679" s="35">
        <v>5.0482894348092477</v>
      </c>
      <c r="G679" s="232">
        <v>13658.19</v>
      </c>
      <c r="H679" s="35">
        <v>8.5100975509528691</v>
      </c>
      <c r="I679" s="232">
        <v>13596.1</v>
      </c>
      <c r="J679" s="35">
        <v>6.8820620872315219</v>
      </c>
      <c r="K679" s="232">
        <v>18583.080000000002</v>
      </c>
      <c r="L679" s="35">
        <v>8.4917730088988321</v>
      </c>
      <c r="M679" s="232">
        <v>44755.45</v>
      </c>
      <c r="N679" s="35">
        <v>7.4361765682422085</v>
      </c>
      <c r="P679" s="232">
        <v>-28.51</v>
      </c>
      <c r="Q679" s="35">
        <v>9.1277579125543795E-3</v>
      </c>
      <c r="R679" s="232">
        <v>-62.09</v>
      </c>
      <c r="S679" s="35">
        <v>1.6280354637213472</v>
      </c>
      <c r="T679" s="232">
        <v>26172.37</v>
      </c>
      <c r="U679" s="35">
        <v>1.0555964406566236</v>
      </c>
      <c r="W679" s="35">
        <f t="shared" si="67"/>
        <v>484.89789562771898</v>
      </c>
      <c r="X679" s="35">
        <f t="shared" si="68"/>
        <v>81463.863186067363</v>
      </c>
      <c r="Y679" s="35">
        <f t="shared" si="69"/>
        <v>26607.452032831181</v>
      </c>
      <c r="Z679" s="35">
        <f t="shared" si="70"/>
        <v>0</v>
      </c>
      <c r="AA679" s="35">
        <f t="shared" si="71"/>
        <v>1</v>
      </c>
      <c r="AB679" s="35">
        <f t="shared" si="72"/>
        <v>0</v>
      </c>
    </row>
    <row r="680" spans="1:28">
      <c r="A680" s="35">
        <v>669</v>
      </c>
      <c r="B680" s="35">
        <v>6.7266822079392607E-4</v>
      </c>
      <c r="C680" s="232">
        <v>114.14</v>
      </c>
      <c r="D680" s="35">
        <v>5.074343453672328</v>
      </c>
      <c r="E680" s="232">
        <v>64.72</v>
      </c>
      <c r="F680" s="35">
        <v>5.0574029924980559</v>
      </c>
      <c r="G680" s="232">
        <v>13159.52</v>
      </c>
      <c r="H680" s="35">
        <v>9.1859569537314805</v>
      </c>
      <c r="I680" s="232">
        <v>13327.92</v>
      </c>
      <c r="J680" s="35">
        <v>7.5154387040619453</v>
      </c>
      <c r="K680" s="232">
        <v>15776.41</v>
      </c>
      <c r="L680" s="35">
        <v>8.4102498814583804</v>
      </c>
      <c r="M680" s="232">
        <v>41867.06</v>
      </c>
      <c r="N680" s="35">
        <v>7.2838012990867185</v>
      </c>
      <c r="P680" s="232">
        <v>-49.41</v>
      </c>
      <c r="Q680" s="35">
        <v>1.6940461174272059E-2</v>
      </c>
      <c r="R680" s="232">
        <v>168.4</v>
      </c>
      <c r="S680" s="35">
        <v>1.6705182496695352</v>
      </c>
      <c r="T680" s="232">
        <v>26090.65</v>
      </c>
      <c r="U680" s="35">
        <v>1.1264485823716619</v>
      </c>
      <c r="W680" s="35">
        <f t="shared" si="67"/>
        <v>896.43305871360292</v>
      </c>
      <c r="X680" s="35">
        <f t="shared" si="68"/>
        <v>83357.512483476763</v>
      </c>
      <c r="Y680" s="35">
        <f t="shared" si="69"/>
        <v>30231.779118583094</v>
      </c>
      <c r="Z680" s="35">
        <f t="shared" si="70"/>
        <v>0</v>
      </c>
      <c r="AA680" s="35">
        <f t="shared" si="71"/>
        <v>1</v>
      </c>
      <c r="AB680" s="35">
        <f t="shared" si="72"/>
        <v>0</v>
      </c>
    </row>
    <row r="681" spans="1:28">
      <c r="A681" s="35">
        <v>670</v>
      </c>
      <c r="B681" s="35">
        <v>4.5280376901868369E-4</v>
      </c>
      <c r="C681" s="232">
        <v>54.96</v>
      </c>
      <c r="D681" s="35">
        <v>5.0616766355560481</v>
      </c>
      <c r="E681" s="232">
        <v>31.63</v>
      </c>
      <c r="F681" s="35">
        <v>5.0500090503986739</v>
      </c>
      <c r="G681" s="232">
        <v>9530.41</v>
      </c>
      <c r="H681" s="35">
        <v>8.8663353695272082</v>
      </c>
      <c r="I681" s="232">
        <v>11014.61</v>
      </c>
      <c r="J681" s="35">
        <v>7.7564398905915608</v>
      </c>
      <c r="K681" s="232">
        <v>11156.26</v>
      </c>
      <c r="L681" s="35">
        <v>8.5146129594217701</v>
      </c>
      <c r="M681" s="232">
        <v>37072.379999999997</v>
      </c>
      <c r="N681" s="35">
        <v>7.3260304184250895</v>
      </c>
      <c r="P681" s="232">
        <v>-23.33</v>
      </c>
      <c r="Q681" s="35">
        <v>1.1667585157374205E-2</v>
      </c>
      <c r="R681" s="232">
        <v>1484.2</v>
      </c>
      <c r="S681" s="35">
        <v>1.1098954789356474</v>
      </c>
      <c r="T681" s="232">
        <v>25916.12</v>
      </c>
      <c r="U681" s="35">
        <v>1.1885825409966806</v>
      </c>
      <c r="W681" s="35">
        <f t="shared" si="67"/>
        <v>606.70925786871032</v>
      </c>
      <c r="X681" s="35">
        <f t="shared" si="68"/>
        <v>54010.573946782373</v>
      </c>
      <c r="Y681" s="35">
        <f t="shared" si="69"/>
        <v>33513.007049834036</v>
      </c>
      <c r="Z681" s="35">
        <f t="shared" si="70"/>
        <v>0</v>
      </c>
      <c r="AA681" s="35">
        <f t="shared" si="71"/>
        <v>1</v>
      </c>
      <c r="AB681" s="35">
        <f t="shared" si="72"/>
        <v>0</v>
      </c>
    </row>
    <row r="682" spans="1:28">
      <c r="A682" s="35">
        <v>671</v>
      </c>
      <c r="B682" s="35">
        <v>3.9008124380466392E-4</v>
      </c>
      <c r="C682" s="232">
        <v>51.32</v>
      </c>
      <c r="D682" s="35">
        <v>5.0591166053523384</v>
      </c>
      <c r="E682" s="232">
        <v>35.21</v>
      </c>
      <c r="F682" s="35">
        <v>5.0509503751640823</v>
      </c>
      <c r="G682" s="232">
        <v>9864.81</v>
      </c>
      <c r="H682" s="35">
        <v>9.265656174324203</v>
      </c>
      <c r="I682" s="232">
        <v>10890.46</v>
      </c>
      <c r="J682" s="35">
        <v>8.2000263436811291</v>
      </c>
      <c r="K682" s="232">
        <v>11422.97</v>
      </c>
      <c r="L682" s="35">
        <v>8.2185433608021867</v>
      </c>
      <c r="M682" s="232">
        <v>37250.410000000003</v>
      </c>
      <c r="N682" s="35">
        <v>7.1168883495557793</v>
      </c>
      <c r="P682" s="232">
        <v>-16.11</v>
      </c>
      <c r="Q682" s="35">
        <v>8.1662301882561295E-3</v>
      </c>
      <c r="R682" s="232">
        <v>1025.6400000000001</v>
      </c>
      <c r="S682" s="35">
        <v>1.0656298306430738</v>
      </c>
      <c r="T682" s="232">
        <v>25827.439999999999</v>
      </c>
      <c r="U682" s="35">
        <v>1.1016550112464074</v>
      </c>
      <c r="W682" s="35">
        <f t="shared" si="67"/>
        <v>424.42150941280647</v>
      </c>
      <c r="X682" s="35">
        <f t="shared" si="68"/>
        <v>52255.851532153691</v>
      </c>
      <c r="Y682" s="35">
        <f t="shared" si="69"/>
        <v>29255.31056232037</v>
      </c>
      <c r="Z682" s="35">
        <f t="shared" si="70"/>
        <v>0</v>
      </c>
      <c r="AA682" s="35">
        <f t="shared" si="71"/>
        <v>1</v>
      </c>
      <c r="AB682" s="35">
        <f t="shared" si="72"/>
        <v>0</v>
      </c>
    </row>
    <row r="683" spans="1:28">
      <c r="A683" s="35">
        <v>672</v>
      </c>
      <c r="B683" s="35">
        <v>5.8068063875904574E-4</v>
      </c>
      <c r="C683" s="232">
        <v>96.33</v>
      </c>
      <c r="D683" s="35">
        <v>5.0655360757904857</v>
      </c>
      <c r="E683" s="232">
        <v>58.6</v>
      </c>
      <c r="F683" s="35">
        <v>5.0536688180547946</v>
      </c>
      <c r="G683" s="232">
        <v>12215.74</v>
      </c>
      <c r="H683" s="35">
        <v>8.1865070493979708</v>
      </c>
      <c r="I683" s="232">
        <v>13919.35</v>
      </c>
      <c r="J683" s="35">
        <v>7.8948004134765988</v>
      </c>
      <c r="K683" s="232">
        <v>19160.34</v>
      </c>
      <c r="L683" s="35">
        <v>8.4455424494872631</v>
      </c>
      <c r="M683" s="232">
        <v>45467.66</v>
      </c>
      <c r="N683" s="35">
        <v>7.3835291055955627</v>
      </c>
      <c r="P683" s="232">
        <v>-37.729999999999997</v>
      </c>
      <c r="Q683" s="35">
        <v>1.1867257735691084E-2</v>
      </c>
      <c r="R683" s="232">
        <v>1703.61</v>
      </c>
      <c r="S683" s="35">
        <v>0.29170663592137203</v>
      </c>
      <c r="T683" s="232">
        <v>26307.33</v>
      </c>
      <c r="U683" s="35">
        <v>1.0620133438917003</v>
      </c>
      <c r="W683" s="35">
        <f t="shared" si="67"/>
        <v>631.09288678455414</v>
      </c>
      <c r="X683" s="35">
        <f t="shared" si="68"/>
        <v>12881.721796068601</v>
      </c>
      <c r="Y683" s="35">
        <f t="shared" si="69"/>
        <v>26793.337194585016</v>
      </c>
      <c r="Z683" s="35">
        <f t="shared" si="70"/>
        <v>0</v>
      </c>
      <c r="AA683" s="35">
        <f t="shared" si="71"/>
        <v>0</v>
      </c>
      <c r="AB683" s="35">
        <f t="shared" si="72"/>
        <v>1</v>
      </c>
    </row>
    <row r="684" spans="1:28">
      <c r="A684" s="35">
        <v>673</v>
      </c>
      <c r="B684" s="35">
        <v>4.5230489653391714E-4</v>
      </c>
      <c r="C684" s="232">
        <v>70.56</v>
      </c>
      <c r="D684" s="35">
        <v>5.0598022151578457</v>
      </c>
      <c r="E684" s="232">
        <v>48.95</v>
      </c>
      <c r="F684" s="35">
        <v>5.0519665554363771</v>
      </c>
      <c r="G684" s="232">
        <v>11189.99</v>
      </c>
      <c r="H684" s="35">
        <v>7.9997990280198739</v>
      </c>
      <c r="I684" s="232">
        <v>13332.38</v>
      </c>
      <c r="J684" s="35">
        <v>7.9400393701543335</v>
      </c>
      <c r="K684" s="232">
        <v>16709.79</v>
      </c>
      <c r="L684" s="35">
        <v>8.7059950045824568</v>
      </c>
      <c r="M684" s="232">
        <v>42896.85</v>
      </c>
      <c r="N684" s="35">
        <v>7.5657218043042649</v>
      </c>
      <c r="P684" s="232">
        <v>-21.6</v>
      </c>
      <c r="Q684" s="35">
        <v>7.8356597214686019E-3</v>
      </c>
      <c r="R684" s="232">
        <v>2142.39</v>
      </c>
      <c r="S684" s="35">
        <v>5.9759657865540383E-2</v>
      </c>
      <c r="T684" s="232">
        <v>26187.06</v>
      </c>
      <c r="U684" s="35">
        <v>1.1402732002781919</v>
      </c>
      <c r="W684" s="35">
        <f t="shared" si="67"/>
        <v>413.38298607343012</v>
      </c>
      <c r="X684" s="35">
        <f t="shared" si="68"/>
        <v>845.59289327701936</v>
      </c>
      <c r="Y684" s="35">
        <f t="shared" si="69"/>
        <v>30826.600013909596</v>
      </c>
      <c r="Z684" s="35">
        <f t="shared" si="70"/>
        <v>0</v>
      </c>
      <c r="AA684" s="35">
        <f t="shared" si="71"/>
        <v>0</v>
      </c>
      <c r="AB684" s="35">
        <f t="shared" si="72"/>
        <v>1</v>
      </c>
    </row>
    <row r="685" spans="1:28">
      <c r="A685" s="35">
        <v>674</v>
      </c>
      <c r="B685" s="35">
        <v>4.9489695946580703E-4</v>
      </c>
      <c r="C685" s="232">
        <v>74.45</v>
      </c>
      <c r="D685" s="35">
        <v>5.0644904314359263</v>
      </c>
      <c r="E685" s="232">
        <v>39.97</v>
      </c>
      <c r="F685" s="35">
        <v>5.0508757970037435</v>
      </c>
      <c r="G685" s="232">
        <v>11315.81</v>
      </c>
      <c r="H685" s="35">
        <v>8.8830972549891474</v>
      </c>
      <c r="I685" s="232">
        <v>11384.79</v>
      </c>
      <c r="J685" s="35">
        <v>7.108487077961704</v>
      </c>
      <c r="K685" s="232">
        <v>14636.16</v>
      </c>
      <c r="L685" s="35">
        <v>8.8379340607061234</v>
      </c>
      <c r="M685" s="232">
        <v>40779.06</v>
      </c>
      <c r="N685" s="35">
        <v>7.68981800581955</v>
      </c>
      <c r="P685" s="232">
        <v>-34.49</v>
      </c>
      <c r="Q685" s="35">
        <v>1.3614634432182804E-2</v>
      </c>
      <c r="R685" s="232">
        <v>68.98</v>
      </c>
      <c r="S685" s="35">
        <v>1.7746101770274434</v>
      </c>
      <c r="T685" s="232">
        <v>26142.9</v>
      </c>
      <c r="U685" s="35">
        <v>1.1481160548865734</v>
      </c>
      <c r="W685" s="35">
        <f t="shared" si="67"/>
        <v>715.22172160914022</v>
      </c>
      <c r="X685" s="35">
        <f t="shared" si="68"/>
        <v>88661.528851372175</v>
      </c>
      <c r="Y685" s="35">
        <f t="shared" si="69"/>
        <v>31262.902744328669</v>
      </c>
      <c r="Z685" s="35">
        <f t="shared" si="70"/>
        <v>0</v>
      </c>
      <c r="AA685" s="35">
        <f t="shared" si="71"/>
        <v>1</v>
      </c>
      <c r="AB685" s="35">
        <f t="shared" si="72"/>
        <v>0</v>
      </c>
    </row>
    <row r="686" spans="1:28">
      <c r="A686" s="35">
        <v>675</v>
      </c>
      <c r="B686" s="35">
        <v>6.1047270875547177E-4</v>
      </c>
      <c r="C686" s="232">
        <v>88.81</v>
      </c>
      <c r="D686" s="35">
        <v>5.0668884831259797</v>
      </c>
      <c r="E686" s="232">
        <v>50.85</v>
      </c>
      <c r="F686" s="35">
        <v>5.053309596057721</v>
      </c>
      <c r="G686" s="232">
        <v>10480.870000000001</v>
      </c>
      <c r="H686" s="35">
        <v>8.1218007673558006</v>
      </c>
      <c r="I686" s="232">
        <v>12289.39</v>
      </c>
      <c r="J686" s="35">
        <v>7.7951395462611748</v>
      </c>
      <c r="K686" s="232">
        <v>13847.91</v>
      </c>
      <c r="L686" s="35">
        <v>8.5172200755487548</v>
      </c>
      <c r="M686" s="232">
        <v>39864.629999999997</v>
      </c>
      <c r="N686" s="35">
        <v>7.3714269980802003</v>
      </c>
      <c r="P686" s="232">
        <v>-37.96</v>
      </c>
      <c r="Q686" s="35">
        <v>1.3578887068258716E-2</v>
      </c>
      <c r="R686" s="232">
        <v>1808.52</v>
      </c>
      <c r="S686" s="35">
        <v>0.32666122109462581</v>
      </c>
      <c r="T686" s="232">
        <v>26016.71</v>
      </c>
      <c r="U686" s="35">
        <v>1.1457930774685545</v>
      </c>
      <c r="W686" s="35">
        <f t="shared" si="67"/>
        <v>716.90435341293585</v>
      </c>
      <c r="X686" s="35">
        <f t="shared" si="68"/>
        <v>14524.541054731289</v>
      </c>
      <c r="Y686" s="35">
        <f t="shared" si="69"/>
        <v>31272.943873427728</v>
      </c>
      <c r="Z686" s="35">
        <f t="shared" si="70"/>
        <v>0</v>
      </c>
      <c r="AA686" s="35">
        <f t="shared" si="71"/>
        <v>0</v>
      </c>
      <c r="AB686" s="35">
        <f t="shared" si="72"/>
        <v>1</v>
      </c>
    </row>
    <row r="687" spans="1:28">
      <c r="A687" s="35">
        <v>676</v>
      </c>
      <c r="B687" s="35">
        <v>3.3282629362253003E-4</v>
      </c>
      <c r="C687" s="232">
        <v>37.57</v>
      </c>
      <c r="D687" s="35">
        <v>5.0575630485374967</v>
      </c>
      <c r="E687" s="232">
        <v>22.76</v>
      </c>
      <c r="F687" s="35">
        <v>5.0479067871167098</v>
      </c>
      <c r="G687" s="232">
        <v>9085.67</v>
      </c>
      <c r="H687" s="35">
        <v>9.4243462049967803</v>
      </c>
      <c r="I687" s="232">
        <v>10945.14</v>
      </c>
      <c r="J687" s="35">
        <v>8.7165339694749022</v>
      </c>
      <c r="K687" s="232">
        <v>11040.36</v>
      </c>
      <c r="L687" s="35">
        <v>9.265216589832459</v>
      </c>
      <c r="M687" s="232">
        <v>37099.949999999997</v>
      </c>
      <c r="N687" s="35">
        <v>8.2007234278399146</v>
      </c>
      <c r="P687" s="232">
        <v>-14.81</v>
      </c>
      <c r="Q687" s="35">
        <v>9.6562614207869046E-3</v>
      </c>
      <c r="R687" s="232">
        <v>1859.47</v>
      </c>
      <c r="S687" s="35">
        <v>0.70781223552187811</v>
      </c>
      <c r="T687" s="232">
        <v>26059.599999999999</v>
      </c>
      <c r="U687" s="35">
        <v>1.0644931619925444</v>
      </c>
      <c r="W687" s="35">
        <f t="shared" si="67"/>
        <v>497.62307103934523</v>
      </c>
      <c r="X687" s="35">
        <f t="shared" si="68"/>
        <v>33531.141776093908</v>
      </c>
      <c r="Y687" s="35">
        <f t="shared" si="69"/>
        <v>27165.058099627218</v>
      </c>
      <c r="Z687" s="35">
        <f t="shared" si="70"/>
        <v>0</v>
      </c>
      <c r="AA687" s="35">
        <f t="shared" si="71"/>
        <v>1</v>
      </c>
      <c r="AB687" s="35">
        <f t="shared" si="72"/>
        <v>0</v>
      </c>
    </row>
    <row r="688" spans="1:28">
      <c r="A688" s="35">
        <v>677</v>
      </c>
      <c r="B688" s="35">
        <v>4.8291779760378795E-4</v>
      </c>
      <c r="C688" s="232">
        <v>75.400000000000006</v>
      </c>
      <c r="D688" s="35">
        <v>5.0627618657198727</v>
      </c>
      <c r="E688" s="232">
        <v>45.79</v>
      </c>
      <c r="F688" s="35">
        <v>5.0518013606198382</v>
      </c>
      <c r="G688" s="232">
        <v>11410.67</v>
      </c>
      <c r="H688" s="35">
        <v>8.2209902709823961</v>
      </c>
      <c r="I688" s="232">
        <v>12241.25</v>
      </c>
      <c r="J688" s="35">
        <v>7.1557724898631569</v>
      </c>
      <c r="K688" s="232">
        <v>16743.259999999998</v>
      </c>
      <c r="L688" s="35">
        <v>9.3505459305695187</v>
      </c>
      <c r="M688" s="232">
        <v>42867.81</v>
      </c>
      <c r="N688" s="35">
        <v>8.1979461301509815</v>
      </c>
      <c r="P688" s="232">
        <v>-29.6</v>
      </c>
      <c r="Q688" s="35">
        <v>1.0960505100034545E-2</v>
      </c>
      <c r="R688" s="232">
        <v>830.59</v>
      </c>
      <c r="S688" s="35">
        <v>1.0652177811192391</v>
      </c>
      <c r="T688" s="232">
        <v>26124.560000000001</v>
      </c>
      <c r="U688" s="35">
        <v>1.1525998004185372</v>
      </c>
      <c r="W688" s="35">
        <f t="shared" si="67"/>
        <v>577.62525500172728</v>
      </c>
      <c r="X688" s="35">
        <f t="shared" si="68"/>
        <v>52430.299055961957</v>
      </c>
      <c r="Y688" s="35">
        <f t="shared" si="69"/>
        <v>31505.430020926859</v>
      </c>
      <c r="Z688" s="35">
        <f t="shared" si="70"/>
        <v>0</v>
      </c>
      <c r="AA688" s="35">
        <f t="shared" si="71"/>
        <v>1</v>
      </c>
      <c r="AB688" s="35">
        <f t="shared" si="72"/>
        <v>0</v>
      </c>
    </row>
    <row r="689" spans="1:28">
      <c r="A689" s="35">
        <v>678</v>
      </c>
      <c r="B689" s="35">
        <v>4.1159296814706638E-4</v>
      </c>
      <c r="C689" s="232">
        <v>57.87</v>
      </c>
      <c r="D689" s="35">
        <v>5.0590318449411882</v>
      </c>
      <c r="E689" s="232">
        <v>35.090000000000003</v>
      </c>
      <c r="F689" s="35">
        <v>5.0493872601398859</v>
      </c>
      <c r="G689" s="232">
        <v>10476.4</v>
      </c>
      <c r="H689" s="35">
        <v>8.7194708395005147</v>
      </c>
      <c r="I689" s="232">
        <v>11451.66</v>
      </c>
      <c r="J689" s="35">
        <v>7.965850096832745</v>
      </c>
      <c r="K689" s="232">
        <v>16088.96</v>
      </c>
      <c r="L689" s="35">
        <v>8.5340192142871167</v>
      </c>
      <c r="M689" s="232">
        <v>42218.89</v>
      </c>
      <c r="N689" s="35">
        <v>7.4393196784434918</v>
      </c>
      <c r="P689" s="232">
        <v>-22.78</v>
      </c>
      <c r="Q689" s="35">
        <v>9.6445848013022584E-3</v>
      </c>
      <c r="R689" s="232">
        <v>975.26</v>
      </c>
      <c r="S689" s="35">
        <v>0.75362074266776968</v>
      </c>
      <c r="T689" s="232">
        <v>26129.919999999998</v>
      </c>
      <c r="U689" s="35">
        <v>1.0946995358436249</v>
      </c>
      <c r="W689" s="35">
        <f t="shared" si="67"/>
        <v>505.00924006511286</v>
      </c>
      <c r="X689" s="35">
        <f t="shared" si="68"/>
        <v>36705.777133388481</v>
      </c>
      <c r="Y689" s="35">
        <f t="shared" si="69"/>
        <v>28605.056792181247</v>
      </c>
      <c r="Z689" s="35">
        <f t="shared" si="70"/>
        <v>0</v>
      </c>
      <c r="AA689" s="35">
        <f t="shared" si="71"/>
        <v>1</v>
      </c>
      <c r="AB689" s="35">
        <f t="shared" si="72"/>
        <v>0</v>
      </c>
    </row>
    <row r="690" spans="1:28">
      <c r="A690" s="35">
        <v>679</v>
      </c>
      <c r="B690" s="35">
        <v>4.5286663751731293E-4</v>
      </c>
      <c r="C690" s="232">
        <v>53.75</v>
      </c>
      <c r="D690" s="35">
        <v>5.0581581738424495</v>
      </c>
      <c r="E690" s="232">
        <v>31.4</v>
      </c>
      <c r="F690" s="35">
        <v>5.0483662826014184</v>
      </c>
      <c r="G690" s="232">
        <v>9302.18</v>
      </c>
      <c r="H690" s="35">
        <v>8.1681208483917533</v>
      </c>
      <c r="I690" s="232">
        <v>10531.18</v>
      </c>
      <c r="J690" s="35">
        <v>7.0235236793026958</v>
      </c>
      <c r="K690" s="232">
        <v>11643.18</v>
      </c>
      <c r="L690" s="35">
        <v>7.9101318117371253</v>
      </c>
      <c r="M690" s="232">
        <v>37569.160000000003</v>
      </c>
      <c r="N690" s="35">
        <v>6.8034898490757216</v>
      </c>
      <c r="P690" s="232">
        <v>-22.34</v>
      </c>
      <c r="Q690" s="35">
        <v>9.791891241031081E-3</v>
      </c>
      <c r="R690" s="232">
        <v>1229.01</v>
      </c>
      <c r="S690" s="35">
        <v>1.1445971690890575</v>
      </c>
      <c r="T690" s="232">
        <v>25925.98</v>
      </c>
      <c r="U690" s="35">
        <v>1.1066419626614037</v>
      </c>
      <c r="W690" s="35">
        <f t="shared" si="67"/>
        <v>511.934562051554</v>
      </c>
      <c r="X690" s="35">
        <f t="shared" si="68"/>
        <v>56000.848454452876</v>
      </c>
      <c r="Y690" s="35">
        <f t="shared" si="69"/>
        <v>29406.118133070184</v>
      </c>
      <c r="Z690" s="35">
        <f t="shared" si="70"/>
        <v>0</v>
      </c>
      <c r="AA690" s="35">
        <f t="shared" si="71"/>
        <v>1</v>
      </c>
      <c r="AB690" s="35">
        <f t="shared" si="72"/>
        <v>0</v>
      </c>
    </row>
    <row r="691" spans="1:28">
      <c r="A691" s="35">
        <v>680</v>
      </c>
      <c r="B691" s="35">
        <v>4.6642040093558546E-4</v>
      </c>
      <c r="C691" s="232">
        <v>112.92</v>
      </c>
      <c r="D691" s="35">
        <v>5.0625340739565736</v>
      </c>
      <c r="E691" s="232">
        <v>73.05</v>
      </c>
      <c r="F691" s="35">
        <v>5.0530447136639314</v>
      </c>
      <c r="G691" s="232">
        <v>17484.8</v>
      </c>
      <c r="H691" s="35">
        <v>8.6267711420901492</v>
      </c>
      <c r="I691" s="232">
        <v>16287.52</v>
      </c>
      <c r="J691" s="35">
        <v>7.5316735083909752</v>
      </c>
      <c r="K691" s="232">
        <v>30200.7</v>
      </c>
      <c r="L691" s="35">
        <v>8.9859522458213821</v>
      </c>
      <c r="M691" s="232">
        <v>57002.97</v>
      </c>
      <c r="N691" s="35">
        <v>7.9375632442597324</v>
      </c>
      <c r="P691" s="232">
        <v>-39.869999999999997</v>
      </c>
      <c r="Q691" s="35">
        <v>9.489360292642246E-3</v>
      </c>
      <c r="R691" s="232">
        <v>-1197.29</v>
      </c>
      <c r="S691" s="35">
        <v>1.095097633699174</v>
      </c>
      <c r="T691" s="232">
        <v>26802.27</v>
      </c>
      <c r="U691" s="35">
        <v>1.0483890015616497</v>
      </c>
      <c r="W691" s="35">
        <f t="shared" si="67"/>
        <v>514.33801463211228</v>
      </c>
      <c r="X691" s="35">
        <f t="shared" si="68"/>
        <v>55952.171684958703</v>
      </c>
      <c r="Y691" s="35">
        <f t="shared" si="69"/>
        <v>25617.180078082489</v>
      </c>
      <c r="Z691" s="35">
        <f t="shared" si="70"/>
        <v>0</v>
      </c>
      <c r="AA691" s="35">
        <f t="shared" si="71"/>
        <v>1</v>
      </c>
      <c r="AB691" s="35">
        <f t="shared" si="72"/>
        <v>0</v>
      </c>
    </row>
    <row r="692" spans="1:28">
      <c r="A692" s="35">
        <v>681</v>
      </c>
      <c r="B692" s="35">
        <v>3.3991941414133304E-4</v>
      </c>
      <c r="C692" s="232">
        <v>48.63</v>
      </c>
      <c r="D692" s="35">
        <v>5.0549437277817075</v>
      </c>
      <c r="E692" s="232">
        <v>29.28</v>
      </c>
      <c r="F692" s="35">
        <v>5.0468882517156066</v>
      </c>
      <c r="G692" s="232">
        <v>11819.02</v>
      </c>
      <c r="H692" s="35">
        <v>8.5233349444879245</v>
      </c>
      <c r="I692" s="232">
        <v>13642.57</v>
      </c>
      <c r="J692" s="35">
        <v>7.0985384741787962</v>
      </c>
      <c r="K692" s="232">
        <v>12830.98</v>
      </c>
      <c r="L692" s="35">
        <v>8.5236389483385508</v>
      </c>
      <c r="M692" s="232">
        <v>38878.300000000003</v>
      </c>
      <c r="N692" s="35">
        <v>7.3959297726048119</v>
      </c>
      <c r="P692" s="232">
        <v>-19.350000000000001</v>
      </c>
      <c r="Q692" s="35">
        <v>8.0554760661009084E-3</v>
      </c>
      <c r="R692" s="232">
        <v>1823.56</v>
      </c>
      <c r="S692" s="35">
        <v>1.4247964703091283</v>
      </c>
      <c r="T692" s="232">
        <v>26047.31</v>
      </c>
      <c r="U692" s="35">
        <v>1.127709175733739</v>
      </c>
      <c r="W692" s="35">
        <f t="shared" si="67"/>
        <v>422.12380330504544</v>
      </c>
      <c r="X692" s="35">
        <f t="shared" si="68"/>
        <v>69416.26351545642</v>
      </c>
      <c r="Y692" s="35">
        <f t="shared" si="69"/>
        <v>30338.148786686947</v>
      </c>
      <c r="Z692" s="35">
        <f t="shared" si="70"/>
        <v>0</v>
      </c>
      <c r="AA692" s="35">
        <f t="shared" si="71"/>
        <v>1</v>
      </c>
      <c r="AB692" s="35">
        <f t="shared" si="72"/>
        <v>0</v>
      </c>
    </row>
    <row r="693" spans="1:28">
      <c r="A693" s="35">
        <v>682</v>
      </c>
      <c r="B693" s="35">
        <v>5.1751023028778764E-4</v>
      </c>
      <c r="C693" s="232">
        <v>72.239999999999995</v>
      </c>
      <c r="D693" s="35">
        <v>5.0623014177860588</v>
      </c>
      <c r="E693" s="232">
        <v>43.44</v>
      </c>
      <c r="F693" s="35">
        <v>5.0513442192175733</v>
      </c>
      <c r="G693" s="232">
        <v>10132.200000000001</v>
      </c>
      <c r="H693" s="35">
        <v>7.9625893733641151</v>
      </c>
      <c r="I693" s="232">
        <v>10183.219999999999</v>
      </c>
      <c r="J693" s="35">
        <v>6.3240433654463448</v>
      </c>
      <c r="K693" s="232">
        <v>15033.27</v>
      </c>
      <c r="L693" s="35">
        <v>8.7042383285540073</v>
      </c>
      <c r="M693" s="232">
        <v>41102.43</v>
      </c>
      <c r="N693" s="35">
        <v>7.6012463436020186</v>
      </c>
      <c r="P693" s="232">
        <v>-28.8</v>
      </c>
      <c r="Q693" s="35">
        <v>1.0957198568485538E-2</v>
      </c>
      <c r="R693" s="232">
        <v>51.02</v>
      </c>
      <c r="S693" s="35">
        <v>1.6385460079177703</v>
      </c>
      <c r="T693" s="232">
        <v>26069.16</v>
      </c>
      <c r="U693" s="35">
        <v>1.1029919849519887</v>
      </c>
      <c r="W693" s="35">
        <f t="shared" si="67"/>
        <v>576.65992842427681</v>
      </c>
      <c r="X693" s="35">
        <f t="shared" si="68"/>
        <v>81876.280395888505</v>
      </c>
      <c r="Y693" s="35">
        <f t="shared" si="69"/>
        <v>29080.439247599435</v>
      </c>
      <c r="Z693" s="35">
        <f t="shared" si="70"/>
        <v>0</v>
      </c>
      <c r="AA693" s="35">
        <f t="shared" si="71"/>
        <v>1</v>
      </c>
      <c r="AB693" s="35">
        <f t="shared" si="72"/>
        <v>0</v>
      </c>
    </row>
    <row r="694" spans="1:28">
      <c r="A694" s="35">
        <v>683</v>
      </c>
      <c r="B694" s="35">
        <v>4.4253480274489705E-4</v>
      </c>
      <c r="C694" s="232">
        <v>59.39</v>
      </c>
      <c r="D694" s="35">
        <v>5.0632493790885622</v>
      </c>
      <c r="E694" s="232">
        <v>35.61</v>
      </c>
      <c r="F694" s="35">
        <v>5.0515456986683089</v>
      </c>
      <c r="G694" s="232">
        <v>11073.68</v>
      </c>
      <c r="H694" s="35">
        <v>9.3893259971723655</v>
      </c>
      <c r="I694" s="232">
        <v>13112.76</v>
      </c>
      <c r="J694" s="35">
        <v>7.9939272217175148</v>
      </c>
      <c r="K694" s="232">
        <v>10934.32</v>
      </c>
      <c r="L694" s="35">
        <v>8.7452428749383238</v>
      </c>
      <c r="M694" s="232">
        <v>36789.589999999997</v>
      </c>
      <c r="N694" s="35">
        <v>7.5953822246927567</v>
      </c>
      <c r="P694" s="232">
        <v>-23.78</v>
      </c>
      <c r="Q694" s="35">
        <v>1.1703680420253271E-2</v>
      </c>
      <c r="R694" s="232">
        <v>2039.08</v>
      </c>
      <c r="S694" s="35">
        <v>1.3953987754548507</v>
      </c>
      <c r="T694" s="232">
        <v>25855.27</v>
      </c>
      <c r="U694" s="35">
        <v>1.1498606502455671</v>
      </c>
      <c r="W694" s="35">
        <f t="shared" si="67"/>
        <v>608.96402101266347</v>
      </c>
      <c r="X694" s="35">
        <f t="shared" si="68"/>
        <v>67730.858772742533</v>
      </c>
      <c r="Y694" s="35">
        <f t="shared" si="69"/>
        <v>31637.762512278354</v>
      </c>
      <c r="Z694" s="35">
        <f t="shared" si="70"/>
        <v>0</v>
      </c>
      <c r="AA694" s="35">
        <f t="shared" si="71"/>
        <v>1</v>
      </c>
      <c r="AB694" s="35">
        <f t="shared" si="72"/>
        <v>0</v>
      </c>
    </row>
    <row r="695" spans="1:28">
      <c r="A695" s="35">
        <v>684</v>
      </c>
      <c r="B695" s="35">
        <v>3.524120271218926E-4</v>
      </c>
      <c r="C695" s="232">
        <v>65.650000000000006</v>
      </c>
      <c r="D695" s="35">
        <v>5.0553794919058808</v>
      </c>
      <c r="E695" s="232">
        <v>41.82</v>
      </c>
      <c r="F695" s="35">
        <v>5.0480691894797669</v>
      </c>
      <c r="G695" s="232">
        <v>13866.88</v>
      </c>
      <c r="H695" s="35">
        <v>8.4498767975076721</v>
      </c>
      <c r="I695" s="232">
        <v>14195.29</v>
      </c>
      <c r="J695" s="35">
        <v>7.4396385400812743</v>
      </c>
      <c r="K695" s="232">
        <v>20235.63</v>
      </c>
      <c r="L695" s="35">
        <v>8.5528554555815433</v>
      </c>
      <c r="M695" s="232">
        <v>46697.120000000003</v>
      </c>
      <c r="N695" s="35">
        <v>7.446969879608214</v>
      </c>
      <c r="P695" s="232">
        <v>-23.82</v>
      </c>
      <c r="Q695" s="35">
        <v>7.3103024261138572E-3</v>
      </c>
      <c r="R695" s="232">
        <v>328.41</v>
      </c>
      <c r="S695" s="35">
        <v>1.0102382574263977</v>
      </c>
      <c r="T695" s="232">
        <v>26461.49</v>
      </c>
      <c r="U695" s="35">
        <v>1.1058855759733293</v>
      </c>
      <c r="W695" s="35">
        <f t="shared" si="67"/>
        <v>389.33512130569284</v>
      </c>
      <c r="X695" s="35">
        <f t="shared" si="68"/>
        <v>50183.502871319884</v>
      </c>
      <c r="Y695" s="35">
        <f t="shared" si="69"/>
        <v>28832.788798666461</v>
      </c>
      <c r="Z695" s="35">
        <f t="shared" si="70"/>
        <v>0</v>
      </c>
      <c r="AA695" s="35">
        <f t="shared" si="71"/>
        <v>1</v>
      </c>
      <c r="AB695" s="35">
        <f t="shared" si="72"/>
        <v>0</v>
      </c>
    </row>
    <row r="696" spans="1:28">
      <c r="A696" s="35">
        <v>685</v>
      </c>
      <c r="B696" s="35">
        <v>5.1209479035396743E-4</v>
      </c>
      <c r="C696" s="232">
        <v>74.400000000000006</v>
      </c>
      <c r="D696" s="35">
        <v>5.0645416197757518</v>
      </c>
      <c r="E696" s="232">
        <v>46.12</v>
      </c>
      <c r="F696" s="35">
        <v>5.0531139489300125</v>
      </c>
      <c r="G696" s="232">
        <v>11006.64</v>
      </c>
      <c r="H696" s="35">
        <v>8.6649240036537893</v>
      </c>
      <c r="I696" s="232">
        <v>11715.41</v>
      </c>
      <c r="J696" s="35">
        <v>7.5034082593388778</v>
      </c>
      <c r="K696" s="232">
        <v>15740.83</v>
      </c>
      <c r="L696" s="35">
        <v>8.7234567274175703</v>
      </c>
      <c r="M696" s="232">
        <v>41906.120000000003</v>
      </c>
      <c r="N696" s="35">
        <v>7.6653896474430789</v>
      </c>
      <c r="P696" s="232">
        <v>-28.27</v>
      </c>
      <c r="Q696" s="35">
        <v>1.1427670845739257E-2</v>
      </c>
      <c r="R696" s="232">
        <v>708.77</v>
      </c>
      <c r="S696" s="35">
        <v>1.1615157443149116</v>
      </c>
      <c r="T696" s="232">
        <v>26165.3</v>
      </c>
      <c r="U696" s="35">
        <v>1.0580670799744913</v>
      </c>
      <c r="W696" s="35">
        <f t="shared" si="67"/>
        <v>599.65354228696287</v>
      </c>
      <c r="X696" s="35">
        <f t="shared" si="68"/>
        <v>57367.017215745582</v>
      </c>
      <c r="Y696" s="35">
        <f t="shared" si="69"/>
        <v>26738.053998724568</v>
      </c>
      <c r="Z696" s="35">
        <f t="shared" si="70"/>
        <v>0</v>
      </c>
      <c r="AA696" s="35">
        <f t="shared" si="71"/>
        <v>1</v>
      </c>
      <c r="AB696" s="35">
        <f t="shared" si="72"/>
        <v>0</v>
      </c>
    </row>
    <row r="697" spans="1:28">
      <c r="A697" s="35">
        <v>686</v>
      </c>
      <c r="B697" s="35">
        <v>3.6541618664142359E-4</v>
      </c>
      <c r="C697" s="232">
        <v>81.06</v>
      </c>
      <c r="D697" s="35">
        <v>5.0583912778871323</v>
      </c>
      <c r="E697" s="232">
        <v>52.14</v>
      </c>
      <c r="F697" s="35">
        <v>5.0501626257273147</v>
      </c>
      <c r="G697" s="232">
        <v>16326.62</v>
      </c>
      <c r="H697" s="35">
        <v>9.035417699815671</v>
      </c>
      <c r="I697" s="232">
        <v>14634.42</v>
      </c>
      <c r="J697" s="35">
        <v>7.2349731072020038</v>
      </c>
      <c r="K697" s="232">
        <v>23237.3</v>
      </c>
      <c r="L697" s="35">
        <v>8.8945317127649162</v>
      </c>
      <c r="M697" s="232">
        <v>49840.19</v>
      </c>
      <c r="N697" s="35">
        <v>7.7374004152436928</v>
      </c>
      <c r="P697" s="232">
        <v>-28.92</v>
      </c>
      <c r="Q697" s="35">
        <v>8.2286521598176066E-3</v>
      </c>
      <c r="R697" s="232">
        <v>-1692.2</v>
      </c>
      <c r="S697" s="35">
        <v>1.8004445926136672</v>
      </c>
      <c r="T697" s="232">
        <v>26602.9</v>
      </c>
      <c r="U697" s="35">
        <v>1.1571312975212233</v>
      </c>
      <c r="W697" s="35">
        <f t="shared" si="67"/>
        <v>440.35260799088036</v>
      </c>
      <c r="X697" s="35">
        <f t="shared" si="68"/>
        <v>91714.429630683357</v>
      </c>
      <c r="Y697" s="35">
        <f t="shared" si="69"/>
        <v>31253.664876061164</v>
      </c>
      <c r="Z697" s="35">
        <f t="shared" si="70"/>
        <v>0</v>
      </c>
      <c r="AA697" s="35">
        <f t="shared" si="71"/>
        <v>1</v>
      </c>
      <c r="AB697" s="35">
        <f t="shared" si="72"/>
        <v>0</v>
      </c>
    </row>
    <row r="698" spans="1:28">
      <c r="A698" s="35">
        <v>687</v>
      </c>
      <c r="B698" s="35">
        <v>3.8281109008314422E-4</v>
      </c>
      <c r="C698" s="232">
        <v>63.72</v>
      </c>
      <c r="D698" s="35">
        <v>5.0588815117660433</v>
      </c>
      <c r="E698" s="232">
        <v>41.32</v>
      </c>
      <c r="F698" s="35">
        <v>5.0503084951228061</v>
      </c>
      <c r="G698" s="232">
        <v>12558.81</v>
      </c>
      <c r="H698" s="35">
        <v>8.9698642236636168</v>
      </c>
      <c r="I698" s="232">
        <v>12533.13</v>
      </c>
      <c r="J698" s="35">
        <v>7.4117469951978574</v>
      </c>
      <c r="K698" s="232">
        <v>17313.47</v>
      </c>
      <c r="L698" s="35">
        <v>8.6909512725574984</v>
      </c>
      <c r="M698" s="232">
        <v>43673.79</v>
      </c>
      <c r="N698" s="35">
        <v>7.5156027665542364</v>
      </c>
      <c r="P698" s="232">
        <v>-22.4</v>
      </c>
      <c r="Q698" s="35">
        <v>8.5730166432371746E-3</v>
      </c>
      <c r="R698" s="232">
        <v>-25.68</v>
      </c>
      <c r="S698" s="35">
        <v>1.5581172284657594</v>
      </c>
      <c r="T698" s="232">
        <v>26360.31</v>
      </c>
      <c r="U698" s="35">
        <v>1.175348506003262</v>
      </c>
      <c r="W698" s="35">
        <f t="shared" si="67"/>
        <v>451.05083216185869</v>
      </c>
      <c r="X698" s="35">
        <f t="shared" si="68"/>
        <v>77931.541423287956</v>
      </c>
      <c r="Y698" s="35">
        <f t="shared" si="69"/>
        <v>32407.115300163099</v>
      </c>
      <c r="Z698" s="35">
        <f t="shared" si="70"/>
        <v>0</v>
      </c>
      <c r="AA698" s="35">
        <f t="shared" si="71"/>
        <v>1</v>
      </c>
      <c r="AB698" s="35">
        <f t="shared" si="72"/>
        <v>0</v>
      </c>
    </row>
    <row r="699" spans="1:28">
      <c r="A699" s="35">
        <v>688</v>
      </c>
      <c r="B699" s="35">
        <v>5.957377243893669E-4</v>
      </c>
      <c r="C699" s="232">
        <v>81.3</v>
      </c>
      <c r="D699" s="35">
        <v>5.0681793154564048</v>
      </c>
      <c r="E699" s="232">
        <v>48.48</v>
      </c>
      <c r="F699" s="35">
        <v>5.0546004593569904</v>
      </c>
      <c r="G699" s="232">
        <v>11084.23</v>
      </c>
      <c r="H699" s="35">
        <v>8.5398925844075286</v>
      </c>
      <c r="I699" s="232">
        <v>12985.56</v>
      </c>
      <c r="J699" s="35">
        <v>7.9939229525000588</v>
      </c>
      <c r="K699" s="232">
        <v>13753.9</v>
      </c>
      <c r="L699" s="35">
        <v>8.7072165688881924</v>
      </c>
      <c r="M699" s="232">
        <v>39835.199999999997</v>
      </c>
      <c r="N699" s="35">
        <v>7.6100977444822089</v>
      </c>
      <c r="P699" s="232">
        <v>-32.82</v>
      </c>
      <c r="Q699" s="35">
        <v>1.3578856099414338E-2</v>
      </c>
      <c r="R699" s="232">
        <v>1901.33</v>
      </c>
      <c r="S699" s="35">
        <v>0.54596963190746983</v>
      </c>
      <c r="T699" s="232">
        <v>26081.31</v>
      </c>
      <c r="U699" s="35">
        <v>1.0971188244059835</v>
      </c>
      <c r="W699" s="35">
        <f t="shared" si="67"/>
        <v>711.76280497071696</v>
      </c>
      <c r="X699" s="35">
        <f t="shared" si="68"/>
        <v>25397.151595373492</v>
      </c>
      <c r="Y699" s="35">
        <f t="shared" si="69"/>
        <v>28774.631220299172</v>
      </c>
      <c r="Z699" s="35">
        <f t="shared" si="70"/>
        <v>0</v>
      </c>
      <c r="AA699" s="35">
        <f t="shared" si="71"/>
        <v>0</v>
      </c>
      <c r="AB699" s="35">
        <f t="shared" si="72"/>
        <v>1</v>
      </c>
    </row>
    <row r="700" spans="1:28">
      <c r="A700" s="35">
        <v>689</v>
      </c>
      <c r="B700" s="35">
        <v>4.2525588141621154E-4</v>
      </c>
      <c r="C700" s="232">
        <v>57.25</v>
      </c>
      <c r="D700" s="35">
        <v>5.0589862550998728</v>
      </c>
      <c r="E700" s="232">
        <v>34.799999999999997</v>
      </c>
      <c r="F700" s="35">
        <v>5.049377502889377</v>
      </c>
      <c r="G700" s="232">
        <v>11018.21</v>
      </c>
      <c r="H700" s="35">
        <v>8.67085576409578</v>
      </c>
      <c r="I700" s="232">
        <v>12784.79</v>
      </c>
      <c r="J700" s="35">
        <v>7.0292619282633995</v>
      </c>
      <c r="K700" s="232">
        <v>11373.15</v>
      </c>
      <c r="L700" s="35">
        <v>8.2949137675333411</v>
      </c>
      <c r="M700" s="232">
        <v>37251.26</v>
      </c>
      <c r="N700" s="35">
        <v>7.2770200777180438</v>
      </c>
      <c r="P700" s="232">
        <v>-22.45</v>
      </c>
      <c r="Q700" s="35">
        <v>9.6087522104957301E-3</v>
      </c>
      <c r="R700" s="232">
        <v>1766.58</v>
      </c>
      <c r="S700" s="35">
        <v>1.6415938358323805</v>
      </c>
      <c r="T700" s="232">
        <v>25878.11</v>
      </c>
      <c r="U700" s="35">
        <v>1.0178936898152973</v>
      </c>
      <c r="W700" s="35">
        <f t="shared" si="67"/>
        <v>502.88761052478651</v>
      </c>
      <c r="X700" s="35">
        <f t="shared" si="68"/>
        <v>80313.111791619027</v>
      </c>
      <c r="Y700" s="35">
        <f t="shared" si="69"/>
        <v>25016.574490764862</v>
      </c>
      <c r="Z700" s="35">
        <f t="shared" si="70"/>
        <v>0</v>
      </c>
      <c r="AA700" s="35">
        <f t="shared" si="71"/>
        <v>1</v>
      </c>
      <c r="AB700" s="35">
        <f t="shared" si="72"/>
        <v>0</v>
      </c>
    </row>
    <row r="701" spans="1:28">
      <c r="A701" s="35">
        <v>690</v>
      </c>
      <c r="B701" s="35">
        <v>4.7600867532748836E-4</v>
      </c>
      <c r="C701" s="232">
        <v>70.319999999999993</v>
      </c>
      <c r="D701" s="35">
        <v>5.0618752556387898</v>
      </c>
      <c r="E701" s="232">
        <v>45.77</v>
      </c>
      <c r="F701" s="35">
        <v>5.052263173705704</v>
      </c>
      <c r="G701" s="232">
        <v>11526.76</v>
      </c>
      <c r="H701" s="35">
        <v>8.6944100567993399</v>
      </c>
      <c r="I701" s="232">
        <v>12744.59</v>
      </c>
      <c r="J701" s="35">
        <v>7.4688087366744087</v>
      </c>
      <c r="K701" s="232">
        <v>13219.83</v>
      </c>
      <c r="L701" s="35">
        <v>8.4042723940185446</v>
      </c>
      <c r="M701" s="232">
        <v>39203.910000000003</v>
      </c>
      <c r="N701" s="35">
        <v>7.3984093786968463</v>
      </c>
      <c r="P701" s="232">
        <v>-24.55</v>
      </c>
      <c r="Q701" s="35">
        <v>9.6120819330858254E-3</v>
      </c>
      <c r="R701" s="232">
        <v>1217.83</v>
      </c>
      <c r="S701" s="35">
        <v>1.2256013201249312</v>
      </c>
      <c r="T701" s="232">
        <v>25984.09</v>
      </c>
      <c r="U701" s="35">
        <v>1.0058630153216983</v>
      </c>
      <c r="W701" s="35">
        <f t="shared" si="67"/>
        <v>505.15409665429127</v>
      </c>
      <c r="X701" s="35">
        <f t="shared" si="68"/>
        <v>60062.23600624656</v>
      </c>
      <c r="Y701" s="35">
        <f t="shared" si="69"/>
        <v>24309.060766084916</v>
      </c>
      <c r="Z701" s="35">
        <f t="shared" si="70"/>
        <v>0</v>
      </c>
      <c r="AA701" s="35">
        <f t="shared" si="71"/>
        <v>1</v>
      </c>
      <c r="AB701" s="35">
        <f t="shared" si="72"/>
        <v>0</v>
      </c>
    </row>
    <row r="702" spans="1:28">
      <c r="A702" s="35">
        <v>691</v>
      </c>
      <c r="B702" s="35">
        <v>5.4043152499916314E-4</v>
      </c>
      <c r="C702" s="232">
        <v>103.43</v>
      </c>
      <c r="D702" s="35">
        <v>5.0678844063535688</v>
      </c>
      <c r="E702" s="232">
        <v>71.75</v>
      </c>
      <c r="F702" s="35">
        <v>5.0576451227826986</v>
      </c>
      <c r="G702" s="232">
        <v>14118.34</v>
      </c>
      <c r="H702" s="35">
        <v>8.9880455629104343</v>
      </c>
      <c r="I702" s="232">
        <v>13375.17</v>
      </c>
      <c r="J702" s="35">
        <v>7.4009347006002129</v>
      </c>
      <c r="K702" s="232">
        <v>20251.669999999998</v>
      </c>
      <c r="L702" s="35">
        <v>8.7705254429785331</v>
      </c>
      <c r="M702" s="232">
        <v>46728.84</v>
      </c>
      <c r="N702" s="35">
        <v>7.6885944741903858</v>
      </c>
      <c r="P702" s="232">
        <v>-31.68</v>
      </c>
      <c r="Q702" s="35">
        <v>1.0239283570870228E-2</v>
      </c>
      <c r="R702" s="232">
        <v>-743.17</v>
      </c>
      <c r="S702" s="35">
        <v>1.5871108623102215</v>
      </c>
      <c r="T702" s="232">
        <v>26477.17</v>
      </c>
      <c r="U702" s="35">
        <v>1.0819309687881473</v>
      </c>
      <c r="W702" s="35">
        <f t="shared" si="67"/>
        <v>543.64417854351132</v>
      </c>
      <c r="X702" s="35">
        <f t="shared" si="68"/>
        <v>80098.713115511069</v>
      </c>
      <c r="Y702" s="35">
        <f t="shared" si="69"/>
        <v>27619.378439407366</v>
      </c>
      <c r="Z702" s="35">
        <f t="shared" si="70"/>
        <v>0</v>
      </c>
      <c r="AA702" s="35">
        <f t="shared" si="71"/>
        <v>1</v>
      </c>
      <c r="AB702" s="35">
        <f t="shared" si="72"/>
        <v>0</v>
      </c>
    </row>
    <row r="703" spans="1:28">
      <c r="A703" s="35">
        <v>692</v>
      </c>
      <c r="B703" s="35">
        <v>5.4112344478329799E-4</v>
      </c>
      <c r="C703" s="232">
        <v>69.86</v>
      </c>
      <c r="D703" s="35">
        <v>5.0669256577235089</v>
      </c>
      <c r="E703" s="232">
        <v>47.79</v>
      </c>
      <c r="F703" s="35">
        <v>5.0562407011875914</v>
      </c>
      <c r="G703" s="232">
        <v>10217.14</v>
      </c>
      <c r="H703" s="35">
        <v>9.0818854490877001</v>
      </c>
      <c r="I703" s="232">
        <v>11965.53</v>
      </c>
      <c r="J703" s="35">
        <v>8.1258616048278167</v>
      </c>
      <c r="K703" s="232">
        <v>11025.1</v>
      </c>
      <c r="L703" s="35">
        <v>8.3415018580742082</v>
      </c>
      <c r="M703" s="232">
        <v>36904.629999999997</v>
      </c>
      <c r="N703" s="35">
        <v>7.2700405798428731</v>
      </c>
      <c r="P703" s="232">
        <v>-22.07</v>
      </c>
      <c r="Q703" s="35">
        <v>1.06849565359175E-2</v>
      </c>
      <c r="R703" s="232">
        <v>1748.39</v>
      </c>
      <c r="S703" s="35">
        <v>0.9560238442598834</v>
      </c>
      <c r="T703" s="232">
        <v>25879.53</v>
      </c>
      <c r="U703" s="35">
        <v>1.0714612782313351</v>
      </c>
      <c r="W703" s="35">
        <f t="shared" si="67"/>
        <v>556.31782679587502</v>
      </c>
      <c r="X703" s="35">
        <f t="shared" si="68"/>
        <v>46052.802212994167</v>
      </c>
      <c r="Y703" s="35">
        <f t="shared" si="69"/>
        <v>27693.533911566752</v>
      </c>
      <c r="Z703" s="35">
        <f t="shared" si="70"/>
        <v>0</v>
      </c>
      <c r="AA703" s="35">
        <f t="shared" si="71"/>
        <v>1</v>
      </c>
      <c r="AB703" s="35">
        <f t="shared" si="72"/>
        <v>0</v>
      </c>
    </row>
    <row r="704" spans="1:28">
      <c r="A704" s="35">
        <v>693</v>
      </c>
      <c r="B704" s="35">
        <v>5.5497375178115149E-4</v>
      </c>
      <c r="C704" s="232">
        <v>78.33</v>
      </c>
      <c r="D704" s="35">
        <v>5.0665476419971531</v>
      </c>
      <c r="E704" s="232">
        <v>52.95</v>
      </c>
      <c r="F704" s="35">
        <v>5.0559334378438523</v>
      </c>
      <c r="G704" s="232">
        <v>10515.21</v>
      </c>
      <c r="H704" s="35">
        <v>8.5746754583322247</v>
      </c>
      <c r="I704" s="232">
        <v>10876.64</v>
      </c>
      <c r="J704" s="35">
        <v>6.9985240384067824</v>
      </c>
      <c r="K704" s="232">
        <v>14055.8</v>
      </c>
      <c r="L704" s="35">
        <v>8.8264128136464475</v>
      </c>
      <c r="M704" s="232">
        <v>40016.76</v>
      </c>
      <c r="N704" s="35">
        <v>7.7716128820036987</v>
      </c>
      <c r="P704" s="232">
        <v>-25.38</v>
      </c>
      <c r="Q704" s="35">
        <v>1.0614204153300832E-2</v>
      </c>
      <c r="R704" s="232">
        <v>361.43</v>
      </c>
      <c r="S704" s="35">
        <v>1.5761514199254423</v>
      </c>
      <c r="T704" s="232">
        <v>25960.97</v>
      </c>
      <c r="U704" s="35">
        <v>1.0547999316427488</v>
      </c>
      <c r="W704" s="35">
        <f t="shared" si="67"/>
        <v>556.09020766504159</v>
      </c>
      <c r="X704" s="35">
        <f t="shared" si="68"/>
        <v>78446.140996272123</v>
      </c>
      <c r="Y704" s="35">
        <f t="shared" si="69"/>
        <v>26779.026582137434</v>
      </c>
      <c r="Z704" s="35">
        <f t="shared" si="70"/>
        <v>0</v>
      </c>
      <c r="AA704" s="35">
        <f t="shared" si="71"/>
        <v>1</v>
      </c>
      <c r="AB704" s="35">
        <f t="shared" si="72"/>
        <v>0</v>
      </c>
    </row>
    <row r="705" spans="1:28">
      <c r="A705" s="35">
        <v>694</v>
      </c>
      <c r="B705" s="35">
        <v>3.9472013885417874E-4</v>
      </c>
      <c r="C705" s="232">
        <v>64.989999999999995</v>
      </c>
      <c r="D705" s="35">
        <v>5.0579722140455967</v>
      </c>
      <c r="E705" s="232">
        <v>41.97</v>
      </c>
      <c r="F705" s="35">
        <v>5.0497389707041203</v>
      </c>
      <c r="G705" s="232">
        <v>12352.9</v>
      </c>
      <c r="H705" s="35">
        <v>8.6265886081036793</v>
      </c>
      <c r="I705" s="232">
        <v>12186.12</v>
      </c>
      <c r="J705" s="35">
        <v>7.2044397302109129</v>
      </c>
      <c r="K705" s="232">
        <v>18055.86</v>
      </c>
      <c r="L705" s="35">
        <v>8.484492894788664</v>
      </c>
      <c r="M705" s="232">
        <v>44422.05</v>
      </c>
      <c r="N705" s="35">
        <v>7.3285127579510352</v>
      </c>
      <c r="P705" s="232">
        <v>-23.02</v>
      </c>
      <c r="Q705" s="35">
        <v>8.2332433414764594E-3</v>
      </c>
      <c r="R705" s="232">
        <v>-166.78</v>
      </c>
      <c r="S705" s="35">
        <v>1.4221488778927664</v>
      </c>
      <c r="T705" s="232">
        <v>26366.19</v>
      </c>
      <c r="U705" s="35">
        <v>1.1559801368376288</v>
      </c>
      <c r="W705" s="35">
        <f t="shared" si="67"/>
        <v>434.68216707382294</v>
      </c>
      <c r="X705" s="35">
        <f t="shared" si="68"/>
        <v>71274.223894638315</v>
      </c>
      <c r="Y705" s="35">
        <f t="shared" si="69"/>
        <v>31432.816841881442</v>
      </c>
      <c r="Z705" s="35">
        <f t="shared" si="70"/>
        <v>0</v>
      </c>
      <c r="AA705" s="35">
        <f t="shared" si="71"/>
        <v>1</v>
      </c>
      <c r="AB705" s="35">
        <f t="shared" si="72"/>
        <v>0</v>
      </c>
    </row>
    <row r="706" spans="1:28">
      <c r="A706" s="35">
        <v>695</v>
      </c>
      <c r="B706" s="35">
        <v>5.5410812609058002E-4</v>
      </c>
      <c r="C706" s="232">
        <v>77.75</v>
      </c>
      <c r="D706" s="35">
        <v>5.0649332240643812</v>
      </c>
      <c r="E706" s="232">
        <v>43.94</v>
      </c>
      <c r="F706" s="35">
        <v>5.0519110084726089</v>
      </c>
      <c r="G706" s="232">
        <v>10643.6</v>
      </c>
      <c r="H706" s="35">
        <v>8.3628274133992555</v>
      </c>
      <c r="I706" s="232">
        <v>11475.63</v>
      </c>
      <c r="J706" s="35">
        <v>7.3265772382481114</v>
      </c>
      <c r="K706" s="232">
        <v>15383.11</v>
      </c>
      <c r="L706" s="35">
        <v>8.4852563409492596</v>
      </c>
      <c r="M706" s="232">
        <v>41443.54</v>
      </c>
      <c r="N706" s="35">
        <v>7.3387917496908104</v>
      </c>
      <c r="P706" s="232">
        <v>-33.82</v>
      </c>
      <c r="Q706" s="35">
        <v>1.3022215591772301E-2</v>
      </c>
      <c r="R706" s="232">
        <v>832.03</v>
      </c>
      <c r="S706" s="35">
        <v>1.0362501751511441</v>
      </c>
      <c r="T706" s="232">
        <v>26060.43</v>
      </c>
      <c r="U706" s="35">
        <v>1.1464645912584492</v>
      </c>
      <c r="W706" s="35">
        <f t="shared" si="67"/>
        <v>684.93077958861511</v>
      </c>
      <c r="X706" s="35">
        <f t="shared" si="68"/>
        <v>50980.478757557212</v>
      </c>
      <c r="Y706" s="35">
        <f t="shared" si="69"/>
        <v>31262.799562922461</v>
      </c>
      <c r="Z706" s="35">
        <f t="shared" si="70"/>
        <v>0</v>
      </c>
      <c r="AA706" s="35">
        <f t="shared" si="71"/>
        <v>1</v>
      </c>
      <c r="AB706" s="35">
        <f t="shared" si="72"/>
        <v>0</v>
      </c>
    </row>
    <row r="707" spans="1:28">
      <c r="A707" s="35">
        <v>696</v>
      </c>
      <c r="B707" s="35">
        <v>4.4286680686537978E-4</v>
      </c>
      <c r="C707" s="232">
        <v>76.489999999999995</v>
      </c>
      <c r="D707" s="35">
        <v>5.0638725550125274</v>
      </c>
      <c r="E707" s="232">
        <v>60.79</v>
      </c>
      <c r="F707" s="35">
        <v>5.0573035120860581</v>
      </c>
      <c r="G707" s="232">
        <v>13151.64</v>
      </c>
      <c r="H707" s="35">
        <v>9.1993611054773528</v>
      </c>
      <c r="I707" s="232">
        <v>14586.62</v>
      </c>
      <c r="J707" s="35">
        <v>8.5034314547793883</v>
      </c>
      <c r="K707" s="232">
        <v>17359.599999999999</v>
      </c>
      <c r="L707" s="35">
        <v>9.069249236541836</v>
      </c>
      <c r="M707" s="232">
        <v>43535.69</v>
      </c>
      <c r="N707" s="35">
        <v>7.9161408719957773</v>
      </c>
      <c r="P707" s="232">
        <v>-15.7</v>
      </c>
      <c r="Q707" s="35">
        <v>6.5690429264693151E-3</v>
      </c>
      <c r="R707" s="232">
        <v>1434.98</v>
      </c>
      <c r="S707" s="35">
        <v>0.69592965069796442</v>
      </c>
      <c r="T707" s="232">
        <v>26176.09</v>
      </c>
      <c r="U707" s="35">
        <v>1.1531083645460587</v>
      </c>
      <c r="W707" s="35">
        <f t="shared" si="67"/>
        <v>344.15214632346573</v>
      </c>
      <c r="X707" s="35">
        <f t="shared" si="68"/>
        <v>33361.502534898216</v>
      </c>
      <c r="Y707" s="35">
        <f t="shared" si="69"/>
        <v>31479.328227302936</v>
      </c>
      <c r="Z707" s="35">
        <f t="shared" si="70"/>
        <v>0</v>
      </c>
      <c r="AA707" s="35">
        <f t="shared" si="71"/>
        <v>1</v>
      </c>
      <c r="AB707" s="35">
        <f t="shared" si="72"/>
        <v>0</v>
      </c>
    </row>
    <row r="708" spans="1:28">
      <c r="A708" s="35">
        <v>697</v>
      </c>
      <c r="B708" s="35">
        <v>4.9102519923016619E-4</v>
      </c>
      <c r="C708" s="232">
        <v>71.38</v>
      </c>
      <c r="D708" s="35">
        <v>5.064337285273508</v>
      </c>
      <c r="E708" s="232">
        <v>43.92</v>
      </c>
      <c r="F708" s="35">
        <v>5.0528166625607378</v>
      </c>
      <c r="G708" s="232">
        <v>11238.12</v>
      </c>
      <c r="H708" s="35">
        <v>8.9066249677524763</v>
      </c>
      <c r="I708" s="232">
        <v>12949.79</v>
      </c>
      <c r="J708" s="35">
        <v>8.1836868649242849</v>
      </c>
      <c r="K708" s="232">
        <v>12536.06</v>
      </c>
      <c r="L708" s="35">
        <v>8.6437713879248772</v>
      </c>
      <c r="M708" s="232">
        <v>38482.06</v>
      </c>
      <c r="N708" s="35">
        <v>7.4663984394708347</v>
      </c>
      <c r="P708" s="232">
        <v>-27.47</v>
      </c>
      <c r="Q708" s="35">
        <v>1.1520622712770212E-2</v>
      </c>
      <c r="R708" s="232">
        <v>1711.67</v>
      </c>
      <c r="S708" s="35">
        <v>0.72293810282819138</v>
      </c>
      <c r="T708" s="232">
        <v>25946.01</v>
      </c>
      <c r="U708" s="35">
        <v>1.1773729484540425</v>
      </c>
      <c r="W708" s="35">
        <f t="shared" si="67"/>
        <v>603.50113563851062</v>
      </c>
      <c r="X708" s="35">
        <f t="shared" si="68"/>
        <v>34435.235141409568</v>
      </c>
      <c r="Y708" s="35">
        <f t="shared" si="69"/>
        <v>32922.63742270213</v>
      </c>
      <c r="Z708" s="35">
        <f t="shared" si="70"/>
        <v>0</v>
      </c>
      <c r="AA708" s="35">
        <f t="shared" si="71"/>
        <v>1</v>
      </c>
      <c r="AB708" s="35">
        <f t="shared" si="72"/>
        <v>0</v>
      </c>
    </row>
    <row r="709" spans="1:28">
      <c r="A709" s="35">
        <v>698</v>
      </c>
      <c r="B709" s="35">
        <v>5.2738928290596565E-4</v>
      </c>
      <c r="C709" s="232">
        <v>76.25</v>
      </c>
      <c r="D709" s="35">
        <v>5.0669292419685226</v>
      </c>
      <c r="E709" s="232">
        <v>55.62</v>
      </c>
      <c r="F709" s="35">
        <v>5.0576859504102423</v>
      </c>
      <c r="G709" s="232">
        <v>11286.2</v>
      </c>
      <c r="H709" s="35">
        <v>8.9470001173787992</v>
      </c>
      <c r="I709" s="232">
        <v>12752.06</v>
      </c>
      <c r="J709" s="35">
        <v>7.9286790365000757</v>
      </c>
      <c r="K709" s="232">
        <v>13770.21</v>
      </c>
      <c r="L709" s="35">
        <v>8.7371124192868237</v>
      </c>
      <c r="M709" s="232">
        <v>39737.68</v>
      </c>
      <c r="N709" s="35">
        <v>7.6606708886335166</v>
      </c>
      <c r="P709" s="232">
        <v>-20.63</v>
      </c>
      <c r="Q709" s="35">
        <v>9.2432915582802977E-3</v>
      </c>
      <c r="R709" s="232">
        <v>1465.86</v>
      </c>
      <c r="S709" s="35">
        <v>1.0183210808787235</v>
      </c>
      <c r="T709" s="232">
        <v>25967.47</v>
      </c>
      <c r="U709" s="35">
        <v>1.0764415306533071</v>
      </c>
      <c r="W709" s="35">
        <f t="shared" si="67"/>
        <v>482.79457791401489</v>
      </c>
      <c r="X709" s="35">
        <f t="shared" si="68"/>
        <v>49450.194043936179</v>
      </c>
      <c r="Y709" s="35">
        <f t="shared" si="69"/>
        <v>27854.606532665355</v>
      </c>
      <c r="Z709" s="35">
        <f t="shared" si="70"/>
        <v>0</v>
      </c>
      <c r="AA709" s="35">
        <f t="shared" si="71"/>
        <v>1</v>
      </c>
      <c r="AB709" s="35">
        <f t="shared" si="72"/>
        <v>0</v>
      </c>
    </row>
    <row r="710" spans="1:28">
      <c r="A710" s="35">
        <v>699</v>
      </c>
      <c r="B710" s="35">
        <v>4.1506860434193944E-4</v>
      </c>
      <c r="C710" s="232">
        <v>49.22</v>
      </c>
      <c r="D710" s="35">
        <v>5.0606796071274935</v>
      </c>
      <c r="E710" s="232">
        <v>31.72</v>
      </c>
      <c r="F710" s="35">
        <v>5.0508919782101485</v>
      </c>
      <c r="G710" s="232">
        <v>9433.02</v>
      </c>
      <c r="H710" s="35">
        <v>9.0774407255816829</v>
      </c>
      <c r="I710" s="232">
        <v>10900.42</v>
      </c>
      <c r="J710" s="35">
        <v>7.5849256064976345</v>
      </c>
      <c r="K710" s="232">
        <v>10370.450000000001</v>
      </c>
      <c r="L710" s="35">
        <v>8.7199076777075142</v>
      </c>
      <c r="M710" s="232">
        <v>36022.629999999997</v>
      </c>
      <c r="N710" s="35">
        <v>7.5597538445510404</v>
      </c>
      <c r="P710" s="232">
        <v>-17.510000000000002</v>
      </c>
      <c r="Q710" s="35">
        <v>9.7876289173450814E-3</v>
      </c>
      <c r="R710" s="232">
        <v>1467.4</v>
      </c>
      <c r="S710" s="35">
        <v>1.4925151190840484</v>
      </c>
      <c r="T710" s="232">
        <v>25652.18</v>
      </c>
      <c r="U710" s="35">
        <v>1.1601538331564738</v>
      </c>
      <c r="W710" s="35">
        <f t="shared" si="67"/>
        <v>506.89144586725405</v>
      </c>
      <c r="X710" s="35">
        <f t="shared" si="68"/>
        <v>73158.35595420243</v>
      </c>
      <c r="Y710" s="35">
        <f t="shared" si="69"/>
        <v>32355.511657823692</v>
      </c>
      <c r="Z710" s="35">
        <f t="shared" si="70"/>
        <v>0</v>
      </c>
      <c r="AA710" s="35">
        <f t="shared" si="71"/>
        <v>1</v>
      </c>
      <c r="AB710" s="35">
        <f t="shared" si="72"/>
        <v>0</v>
      </c>
    </row>
    <row r="711" spans="1:28">
      <c r="A711" s="35">
        <v>700</v>
      </c>
      <c r="B711" s="35">
        <v>4.6877735111894303E-4</v>
      </c>
      <c r="C711" s="232">
        <v>50.86</v>
      </c>
      <c r="D711" s="35">
        <v>5.0613129031124728</v>
      </c>
      <c r="E711" s="232">
        <v>30.36</v>
      </c>
      <c r="F711" s="35">
        <v>5.0501985727314889</v>
      </c>
      <c r="G711" s="232">
        <v>8410.4500000000007</v>
      </c>
      <c r="H711" s="35">
        <v>8.6734474146826983</v>
      </c>
      <c r="I711" s="232">
        <v>9773.41</v>
      </c>
      <c r="J711" s="35">
        <v>7.2802173559598744</v>
      </c>
      <c r="K711" s="232">
        <v>9213.74</v>
      </c>
      <c r="L711" s="35">
        <v>8.4102774045034199</v>
      </c>
      <c r="M711" s="232">
        <v>34905.89</v>
      </c>
      <c r="N711" s="35">
        <v>7.3496519673165759</v>
      </c>
      <c r="P711" s="232">
        <v>-20.5</v>
      </c>
      <c r="Q711" s="35">
        <v>1.1114330380983972E-2</v>
      </c>
      <c r="R711" s="232">
        <v>1362.97</v>
      </c>
      <c r="S711" s="35">
        <v>1.3932300587228239</v>
      </c>
      <c r="T711" s="232">
        <v>25692.15</v>
      </c>
      <c r="U711" s="35">
        <v>1.060625437186844</v>
      </c>
      <c r="W711" s="35">
        <f t="shared" si="67"/>
        <v>576.21651904919861</v>
      </c>
      <c r="X711" s="35">
        <f t="shared" si="68"/>
        <v>68298.5329361412</v>
      </c>
      <c r="Y711" s="35">
        <f t="shared" si="69"/>
        <v>27339.121859342195</v>
      </c>
      <c r="Z711" s="35">
        <f t="shared" si="70"/>
        <v>0</v>
      </c>
      <c r="AA711" s="35">
        <f t="shared" si="71"/>
        <v>1</v>
      </c>
      <c r="AB711" s="35">
        <f t="shared" si="72"/>
        <v>0</v>
      </c>
    </row>
    <row r="712" spans="1:28">
      <c r="A712" s="35">
        <v>701</v>
      </c>
      <c r="B712" s="35">
        <v>5.2476886599772676E-4</v>
      </c>
      <c r="C712" s="232">
        <v>77</v>
      </c>
      <c r="D712" s="35">
        <v>5.0666566273996319</v>
      </c>
      <c r="E712" s="232">
        <v>48.37</v>
      </c>
      <c r="F712" s="35">
        <v>5.0546021535532697</v>
      </c>
      <c r="G712" s="232">
        <v>10962.28</v>
      </c>
      <c r="H712" s="35">
        <v>9.1386671693117076</v>
      </c>
      <c r="I712" s="232">
        <v>12130.54</v>
      </c>
      <c r="J712" s="35">
        <v>8.3298597339380507</v>
      </c>
      <c r="K712" s="232">
        <v>13995.42</v>
      </c>
      <c r="L712" s="35">
        <v>8.5806135919893904</v>
      </c>
      <c r="M712" s="232">
        <v>40050.949999999997</v>
      </c>
      <c r="N712" s="35">
        <v>7.5475766111712748</v>
      </c>
      <c r="P712" s="232">
        <v>-28.64</v>
      </c>
      <c r="Q712" s="35">
        <v>1.2054473846362157E-2</v>
      </c>
      <c r="R712" s="232">
        <v>1168.26</v>
      </c>
      <c r="S712" s="35">
        <v>0.80880743537365696</v>
      </c>
      <c r="T712" s="232">
        <v>26055.53</v>
      </c>
      <c r="U712" s="35">
        <v>1.0330369808181157</v>
      </c>
      <c r="W712" s="35">
        <f t="shared" si="67"/>
        <v>631.36369231810784</v>
      </c>
      <c r="X712" s="35">
        <f t="shared" si="68"/>
        <v>39272.111768682844</v>
      </c>
      <c r="Y712" s="35">
        <f t="shared" si="69"/>
        <v>25596.319040905786</v>
      </c>
      <c r="Z712" s="35">
        <f t="shared" si="70"/>
        <v>0</v>
      </c>
      <c r="AA712" s="35">
        <f t="shared" si="71"/>
        <v>1</v>
      </c>
      <c r="AB712" s="35">
        <f t="shared" si="72"/>
        <v>0</v>
      </c>
    </row>
    <row r="713" spans="1:28">
      <c r="A713" s="35">
        <v>702</v>
      </c>
      <c r="B713" s="35">
        <v>3.0488547615118209E-4</v>
      </c>
      <c r="C713" s="232">
        <v>43.3</v>
      </c>
      <c r="D713" s="35">
        <v>5.0536789562784943</v>
      </c>
      <c r="E713" s="232">
        <v>26.16</v>
      </c>
      <c r="F713" s="35">
        <v>5.0461083169245695</v>
      </c>
      <c r="G713" s="232">
        <v>10485.74</v>
      </c>
      <c r="H713" s="35">
        <v>8.5817087471620734</v>
      </c>
      <c r="I713" s="232">
        <v>10910.58</v>
      </c>
      <c r="J713" s="35">
        <v>7.2108100474244203</v>
      </c>
      <c r="K713" s="232">
        <v>14529.12</v>
      </c>
      <c r="L713" s="35">
        <v>8.7686168957886483</v>
      </c>
      <c r="M713" s="232">
        <v>40557.06</v>
      </c>
      <c r="N713" s="35">
        <v>7.6857510960616491</v>
      </c>
      <c r="P713" s="232">
        <v>-17.14</v>
      </c>
      <c r="Q713" s="35">
        <v>7.5706393539247685E-3</v>
      </c>
      <c r="R713" s="232">
        <v>424.84</v>
      </c>
      <c r="S713" s="35">
        <v>1.3708986997376531</v>
      </c>
      <c r="T713" s="232">
        <v>26027.94</v>
      </c>
      <c r="U713" s="35">
        <v>1.0828657997269993</v>
      </c>
      <c r="W713" s="35">
        <f t="shared" si="67"/>
        <v>395.67196769623843</v>
      </c>
      <c r="X713" s="35">
        <f t="shared" si="68"/>
        <v>68120.094986882657</v>
      </c>
      <c r="Y713" s="35">
        <f t="shared" si="69"/>
        <v>28115.349986349964</v>
      </c>
      <c r="Z713" s="35">
        <f t="shared" si="70"/>
        <v>0</v>
      </c>
      <c r="AA713" s="35">
        <f t="shared" si="71"/>
        <v>1</v>
      </c>
      <c r="AB713" s="35">
        <f t="shared" si="72"/>
        <v>0</v>
      </c>
    </row>
    <row r="714" spans="1:28">
      <c r="A714" s="35">
        <v>703</v>
      </c>
      <c r="B714" s="35">
        <v>3.5317866201856925E-4</v>
      </c>
      <c r="C714" s="232">
        <v>55.89</v>
      </c>
      <c r="D714" s="35">
        <v>5.0562565599151812</v>
      </c>
      <c r="E714" s="232">
        <v>34.200000000000003</v>
      </c>
      <c r="F714" s="35">
        <v>5.0479410730529715</v>
      </c>
      <c r="G714" s="232">
        <v>12028.41</v>
      </c>
      <c r="H714" s="35">
        <v>8.8299930377281814</v>
      </c>
      <c r="I714" s="232">
        <v>12358.79</v>
      </c>
      <c r="J714" s="35">
        <v>7.4950186317755456</v>
      </c>
      <c r="K714" s="232">
        <v>16004.93</v>
      </c>
      <c r="L714" s="35">
        <v>8.5283921541906835</v>
      </c>
      <c r="M714" s="232">
        <v>42212.49</v>
      </c>
      <c r="N714" s="35">
        <v>7.5009611352601766</v>
      </c>
      <c r="P714" s="232">
        <v>-21.68</v>
      </c>
      <c r="Q714" s="35">
        <v>8.3154868622097311E-3</v>
      </c>
      <c r="R714" s="232">
        <v>330.37</v>
      </c>
      <c r="S714" s="35">
        <v>1.3349744059526358</v>
      </c>
      <c r="T714" s="232">
        <v>26207.56</v>
      </c>
      <c r="U714" s="35">
        <v>1.0274310189305069</v>
      </c>
      <c r="W714" s="35">
        <f t="shared" si="67"/>
        <v>437.45434311048655</v>
      </c>
      <c r="X714" s="35">
        <f t="shared" si="68"/>
        <v>66418.350297631798</v>
      </c>
      <c r="Y714" s="35">
        <f t="shared" si="69"/>
        <v>25163.990946525348</v>
      </c>
      <c r="Z714" s="35">
        <f t="shared" si="70"/>
        <v>0</v>
      </c>
      <c r="AA714" s="35">
        <f t="shared" si="71"/>
        <v>1</v>
      </c>
      <c r="AB714" s="35">
        <f t="shared" si="72"/>
        <v>0</v>
      </c>
    </row>
    <row r="715" spans="1:28">
      <c r="A715" s="35">
        <v>704</v>
      </c>
      <c r="B715" s="35">
        <v>4.6964690461792635E-4</v>
      </c>
      <c r="C715" s="232">
        <v>77.13</v>
      </c>
      <c r="D715" s="35">
        <v>5.0634898977960248</v>
      </c>
      <c r="E715" s="232">
        <v>38.25</v>
      </c>
      <c r="F715" s="35">
        <v>5.0493842912508056</v>
      </c>
      <c r="G715" s="232">
        <v>12735.87</v>
      </c>
      <c r="H715" s="35">
        <v>9.0311832986337119</v>
      </c>
      <c r="I715" s="232">
        <v>12546.62</v>
      </c>
      <c r="J715" s="35">
        <v>7.3670411739109491</v>
      </c>
      <c r="K715" s="232">
        <v>17835.61</v>
      </c>
      <c r="L715" s="35">
        <v>8.9315023210791722</v>
      </c>
      <c r="M715" s="232">
        <v>44255.65</v>
      </c>
      <c r="N715" s="35">
        <v>7.7758990033104762</v>
      </c>
      <c r="P715" s="232">
        <v>-38.89</v>
      </c>
      <c r="Q715" s="35">
        <v>1.4105606545219196E-2</v>
      </c>
      <c r="R715" s="232">
        <v>-189.26</v>
      </c>
      <c r="S715" s="35">
        <v>1.6641421247227628</v>
      </c>
      <c r="T715" s="232">
        <v>26420.04</v>
      </c>
      <c r="U715" s="35">
        <v>1.155603317768696</v>
      </c>
      <c r="W715" s="35">
        <f t="shared" si="67"/>
        <v>744.17032726095977</v>
      </c>
      <c r="X715" s="35">
        <f t="shared" si="68"/>
        <v>83396.366236138128</v>
      </c>
      <c r="Y715" s="35">
        <f t="shared" si="69"/>
        <v>31360.125888434799</v>
      </c>
      <c r="Z715" s="35">
        <f t="shared" si="70"/>
        <v>0</v>
      </c>
      <c r="AA715" s="35">
        <f t="shared" si="71"/>
        <v>1</v>
      </c>
      <c r="AB715" s="35">
        <f t="shared" si="72"/>
        <v>0</v>
      </c>
    </row>
    <row r="716" spans="1:28">
      <c r="A716" s="35">
        <v>705</v>
      </c>
      <c r="B716" s="35">
        <v>4.5500716866886393E-4</v>
      </c>
      <c r="C716" s="232">
        <v>82.91</v>
      </c>
      <c r="D716" s="35">
        <v>5.0617814315042313</v>
      </c>
      <c r="E716" s="232">
        <v>48.63</v>
      </c>
      <c r="F716" s="35">
        <v>5.0508606869058008</v>
      </c>
      <c r="G716" s="232">
        <v>13745.8</v>
      </c>
      <c r="H716" s="35">
        <v>8.7814594066986587</v>
      </c>
      <c r="I716" s="232">
        <v>14645.6</v>
      </c>
      <c r="J716" s="35">
        <v>8.017161118074247</v>
      </c>
      <c r="K716" s="232">
        <v>19547.25</v>
      </c>
      <c r="L716" s="35">
        <v>8.6426851366555582</v>
      </c>
      <c r="M716" s="232">
        <v>45847.12</v>
      </c>
      <c r="N716" s="35">
        <v>7.4998733597776788</v>
      </c>
      <c r="P716" s="232">
        <v>-34.28</v>
      </c>
      <c r="Q716" s="35">
        <v>1.092074459843051E-2</v>
      </c>
      <c r="R716" s="232">
        <v>899.8</v>
      </c>
      <c r="S716" s="35">
        <v>0.76429828862441163</v>
      </c>
      <c r="T716" s="232">
        <v>26299.87</v>
      </c>
      <c r="U716" s="35">
        <v>1.1428117768778794</v>
      </c>
      <c r="W716" s="35">
        <f t="shared" ref="W716:W779" si="73">$X$2*Q716-P716</f>
        <v>580.3172299215255</v>
      </c>
      <c r="X716" s="35">
        <f t="shared" ref="X716:X779" si="74">$X$2*S716-R716</f>
        <v>37315.11443122058</v>
      </c>
      <c r="Y716" s="35">
        <f t="shared" ref="Y716:Y779" si="75">$X$2*U716-T716</f>
        <v>30840.718843893967</v>
      </c>
      <c r="Z716" s="35">
        <f t="shared" ref="Z716:Z779" si="76">IF(W716=MAX($W716:$Y716), 1, 0)</f>
        <v>0</v>
      </c>
      <c r="AA716" s="35">
        <f t="shared" ref="AA716:AA779" si="77">IF(X716=MAX($W716:$Y716), 1, 0)</f>
        <v>1</v>
      </c>
      <c r="AB716" s="35">
        <f t="shared" ref="AB716:AB779" si="78">IF(Y716=MAX($W716:$Y716), 1, 0)</f>
        <v>0</v>
      </c>
    </row>
    <row r="717" spans="1:28">
      <c r="A717" s="35">
        <v>706</v>
      </c>
      <c r="B717" s="35">
        <v>5.5099261943969413E-4</v>
      </c>
      <c r="C717" s="232">
        <v>86.85</v>
      </c>
      <c r="D717" s="35">
        <v>5.0675564018745209</v>
      </c>
      <c r="E717" s="232">
        <v>49.25</v>
      </c>
      <c r="F717" s="35">
        <v>5.053474589081361</v>
      </c>
      <c r="G717" s="232">
        <v>11849.46</v>
      </c>
      <c r="H717" s="35">
        <v>8.9374315366737029</v>
      </c>
      <c r="I717" s="232">
        <v>11777.93</v>
      </c>
      <c r="J717" s="35">
        <v>7.5253201946409805</v>
      </c>
      <c r="K717" s="232">
        <v>17257.5</v>
      </c>
      <c r="L717" s="35">
        <v>8.8904485372268702</v>
      </c>
      <c r="M717" s="232">
        <v>43526.62</v>
      </c>
      <c r="N717" s="35">
        <v>7.838131587606382</v>
      </c>
      <c r="P717" s="232">
        <v>-37.6</v>
      </c>
      <c r="Q717" s="35">
        <v>1.4081812793159898E-2</v>
      </c>
      <c r="R717" s="232">
        <v>-71.53</v>
      </c>
      <c r="S717" s="35">
        <v>1.4121113420327225</v>
      </c>
      <c r="T717" s="232">
        <v>26269.119999999999</v>
      </c>
      <c r="U717" s="35">
        <v>1.0523169496204883</v>
      </c>
      <c r="W717" s="35">
        <f t="shared" si="73"/>
        <v>741.69063965799489</v>
      </c>
      <c r="X717" s="35">
        <f t="shared" si="74"/>
        <v>70677.097101636129</v>
      </c>
      <c r="Y717" s="35">
        <f t="shared" si="75"/>
        <v>26346.727481024416</v>
      </c>
      <c r="Z717" s="35">
        <f t="shared" si="76"/>
        <v>0</v>
      </c>
      <c r="AA717" s="35">
        <f t="shared" si="77"/>
        <v>1</v>
      </c>
      <c r="AB717" s="35">
        <f t="shared" si="78"/>
        <v>0</v>
      </c>
    </row>
    <row r="718" spans="1:28">
      <c r="A718" s="35">
        <v>707</v>
      </c>
      <c r="B718" s="35">
        <v>4.0516724434680321E-4</v>
      </c>
      <c r="C718" s="232">
        <v>69.430000000000007</v>
      </c>
      <c r="D718" s="35">
        <v>5.0577350217101573</v>
      </c>
      <c r="E718" s="232">
        <v>38.99</v>
      </c>
      <c r="F718" s="35">
        <v>5.04800133334082</v>
      </c>
      <c r="G718" s="232">
        <v>13626.49</v>
      </c>
      <c r="H718" s="35">
        <v>8.3217310955794801</v>
      </c>
      <c r="I718" s="232">
        <v>14919.05</v>
      </c>
      <c r="J718" s="35">
        <v>7.3849651368755662</v>
      </c>
      <c r="K718" s="232">
        <v>17693.419999999998</v>
      </c>
      <c r="L718" s="35">
        <v>8.6241680944960759</v>
      </c>
      <c r="M718" s="232">
        <v>44016.37</v>
      </c>
      <c r="N718" s="35">
        <v>7.5236639359266393</v>
      </c>
      <c r="P718" s="232">
        <v>-30.44</v>
      </c>
      <c r="Q718" s="35">
        <v>9.7336883693373011E-3</v>
      </c>
      <c r="R718" s="232">
        <v>1292.56</v>
      </c>
      <c r="S718" s="35">
        <v>0.93676595870391388</v>
      </c>
      <c r="T718" s="232">
        <v>26322.94</v>
      </c>
      <c r="U718" s="35">
        <v>1.1005041585694366</v>
      </c>
      <c r="W718" s="35">
        <f t="shared" si="73"/>
        <v>517.12441846686511</v>
      </c>
      <c r="X718" s="35">
        <f t="shared" si="74"/>
        <v>45545.737935195699</v>
      </c>
      <c r="Y718" s="35">
        <f t="shared" si="75"/>
        <v>28702.267928471829</v>
      </c>
      <c r="Z718" s="35">
        <f t="shared" si="76"/>
        <v>0</v>
      </c>
      <c r="AA718" s="35">
        <f t="shared" si="77"/>
        <v>1</v>
      </c>
      <c r="AB718" s="35">
        <f t="shared" si="78"/>
        <v>0</v>
      </c>
    </row>
    <row r="719" spans="1:28">
      <c r="A719" s="35">
        <v>708</v>
      </c>
      <c r="B719" s="35">
        <v>4.4106520027138236E-4</v>
      </c>
      <c r="C719" s="232">
        <v>66.45</v>
      </c>
      <c r="D719" s="35">
        <v>5.0616030309043341</v>
      </c>
      <c r="E719" s="232">
        <v>42.85</v>
      </c>
      <c r="F719" s="35">
        <v>5.0518889271972025</v>
      </c>
      <c r="G719" s="232">
        <v>11462.68</v>
      </c>
      <c r="H719" s="35">
        <v>8.9954686585296137</v>
      </c>
      <c r="I719" s="232">
        <v>12949.57</v>
      </c>
      <c r="J719" s="35">
        <v>8.3463468457840762</v>
      </c>
      <c r="K719" s="232">
        <v>14222.72</v>
      </c>
      <c r="L719" s="35">
        <v>8.5818346365779288</v>
      </c>
      <c r="M719" s="232">
        <v>40269.620000000003</v>
      </c>
      <c r="N719" s="35">
        <v>7.5205992671367508</v>
      </c>
      <c r="P719" s="232">
        <v>-23.59</v>
      </c>
      <c r="Q719" s="35">
        <v>9.7141037071315495E-3</v>
      </c>
      <c r="R719" s="232">
        <v>1486.89</v>
      </c>
      <c r="S719" s="35">
        <v>0.6491218127455376</v>
      </c>
      <c r="T719" s="232">
        <v>26046.9</v>
      </c>
      <c r="U719" s="35">
        <v>1.061235369441178</v>
      </c>
      <c r="W719" s="35">
        <f t="shared" si="73"/>
        <v>509.29518535657746</v>
      </c>
      <c r="X719" s="35">
        <f t="shared" si="74"/>
        <v>30969.200637276881</v>
      </c>
      <c r="Y719" s="35">
        <f t="shared" si="75"/>
        <v>27014.868472058901</v>
      </c>
      <c r="Z719" s="35">
        <f t="shared" si="76"/>
        <v>0</v>
      </c>
      <c r="AA719" s="35">
        <f t="shared" si="77"/>
        <v>1</v>
      </c>
      <c r="AB719" s="35">
        <f t="shared" si="78"/>
        <v>0</v>
      </c>
    </row>
    <row r="720" spans="1:28">
      <c r="A720" s="35">
        <v>709</v>
      </c>
      <c r="B720" s="35">
        <v>4.8019107353081125E-4</v>
      </c>
      <c r="C720" s="232">
        <v>68.94</v>
      </c>
      <c r="D720" s="35">
        <v>5.0656046967791175</v>
      </c>
      <c r="E720" s="232">
        <v>41.83</v>
      </c>
      <c r="F720" s="35">
        <v>5.0532469032107867</v>
      </c>
      <c r="G720" s="232">
        <v>11659.41</v>
      </c>
      <c r="H720" s="35">
        <v>9.3652357341413683</v>
      </c>
      <c r="I720" s="232">
        <v>13490.45</v>
      </c>
      <c r="J720" s="35">
        <v>8.6392232446998243</v>
      </c>
      <c r="K720" s="232">
        <v>13288.34</v>
      </c>
      <c r="L720" s="35">
        <v>8.9063540907005407</v>
      </c>
      <c r="M720" s="232">
        <v>39005.26</v>
      </c>
      <c r="N720" s="35">
        <v>7.763802029061706</v>
      </c>
      <c r="P720" s="232">
        <v>-27.11</v>
      </c>
      <c r="Q720" s="35">
        <v>1.2357793568330777E-2</v>
      </c>
      <c r="R720" s="232">
        <v>1831.04</v>
      </c>
      <c r="S720" s="35">
        <v>0.72601248944154406</v>
      </c>
      <c r="T720" s="232">
        <v>25716.92</v>
      </c>
      <c r="U720" s="35">
        <v>1.1425520616388347</v>
      </c>
      <c r="W720" s="35">
        <f t="shared" si="73"/>
        <v>644.99967841653881</v>
      </c>
      <c r="X720" s="35">
        <f t="shared" si="74"/>
        <v>34469.5844720772</v>
      </c>
      <c r="Y720" s="35">
        <f t="shared" si="75"/>
        <v>31410.683081941737</v>
      </c>
      <c r="Z720" s="35">
        <f t="shared" si="76"/>
        <v>0</v>
      </c>
      <c r="AA720" s="35">
        <f t="shared" si="77"/>
        <v>1</v>
      </c>
      <c r="AB720" s="35">
        <f t="shared" si="78"/>
        <v>0</v>
      </c>
    </row>
    <row r="721" spans="1:28">
      <c r="A721" s="35">
        <v>710</v>
      </c>
      <c r="B721" s="35">
        <v>4.9037430561804651E-4</v>
      </c>
      <c r="C721" s="232">
        <v>83.7</v>
      </c>
      <c r="D721" s="35">
        <v>5.0608001345990239</v>
      </c>
      <c r="E721" s="232">
        <v>44.28</v>
      </c>
      <c r="F721" s="35">
        <v>5.0490211917599881</v>
      </c>
      <c r="G721" s="232">
        <v>13300</v>
      </c>
      <c r="H721" s="35">
        <v>8.2567474350654084</v>
      </c>
      <c r="I721" s="232">
        <v>14184.59</v>
      </c>
      <c r="J721" s="35">
        <v>7.3781269180374061</v>
      </c>
      <c r="K721" s="232">
        <v>18875.55</v>
      </c>
      <c r="L721" s="35">
        <v>8.2195772525136555</v>
      </c>
      <c r="M721" s="232">
        <v>45120.53</v>
      </c>
      <c r="N721" s="35">
        <v>7.0878027684535301</v>
      </c>
      <c r="P721" s="232">
        <v>-39.43</v>
      </c>
      <c r="Q721" s="35">
        <v>1.17789428390358E-2</v>
      </c>
      <c r="R721" s="232">
        <v>884.59</v>
      </c>
      <c r="S721" s="35">
        <v>0.87862051702800237</v>
      </c>
      <c r="T721" s="232">
        <v>26244.99</v>
      </c>
      <c r="U721" s="35">
        <v>1.1317744840601254</v>
      </c>
      <c r="W721" s="35">
        <f t="shared" si="73"/>
        <v>628.37714195178989</v>
      </c>
      <c r="X721" s="35">
        <f t="shared" si="74"/>
        <v>43046.435851400121</v>
      </c>
      <c r="Y721" s="35">
        <f t="shared" si="75"/>
        <v>30343.734203006268</v>
      </c>
      <c r="Z721" s="35">
        <f t="shared" si="76"/>
        <v>0</v>
      </c>
      <c r="AA721" s="35">
        <f t="shared" si="77"/>
        <v>1</v>
      </c>
      <c r="AB721" s="35">
        <f t="shared" si="78"/>
        <v>0</v>
      </c>
    </row>
    <row r="722" spans="1:28">
      <c r="A722" s="35">
        <v>711</v>
      </c>
      <c r="B722" s="35">
        <v>4.6176068370840095E-4</v>
      </c>
      <c r="C722" s="232">
        <v>46.46</v>
      </c>
      <c r="D722" s="35">
        <v>5.0618022223665564</v>
      </c>
      <c r="E722" s="232">
        <v>29.18</v>
      </c>
      <c r="F722" s="35">
        <v>5.0510382101482723</v>
      </c>
      <c r="G722" s="232">
        <v>7604.72</v>
      </c>
      <c r="H722" s="35">
        <v>8.7997541420399958</v>
      </c>
      <c r="I722" s="232">
        <v>8502.98</v>
      </c>
      <c r="J722" s="35">
        <v>7.1785373669605637</v>
      </c>
      <c r="K722" s="232">
        <v>9494.8700000000008</v>
      </c>
      <c r="L722" s="35">
        <v>8.5340677513508307</v>
      </c>
      <c r="M722" s="232">
        <v>35380.410000000003</v>
      </c>
      <c r="N722" s="35">
        <v>7.4949259352754565</v>
      </c>
      <c r="P722" s="232">
        <v>-17.28</v>
      </c>
      <c r="Q722" s="35">
        <v>1.0764012218284158E-2</v>
      </c>
      <c r="R722" s="232">
        <v>898.27</v>
      </c>
      <c r="S722" s="35">
        <v>1.6212167750794322</v>
      </c>
      <c r="T722" s="232">
        <v>25885.55</v>
      </c>
      <c r="U722" s="35">
        <v>1.0391418160753743</v>
      </c>
      <c r="W722" s="35">
        <f t="shared" si="73"/>
        <v>555.48061091420789</v>
      </c>
      <c r="X722" s="35">
        <f t="shared" si="74"/>
        <v>80162.568753971602</v>
      </c>
      <c r="Y722" s="35">
        <f t="shared" si="75"/>
        <v>26071.540803768712</v>
      </c>
      <c r="Z722" s="35">
        <f t="shared" si="76"/>
        <v>0</v>
      </c>
      <c r="AA722" s="35">
        <f t="shared" si="77"/>
        <v>1</v>
      </c>
      <c r="AB722" s="35">
        <f t="shared" si="78"/>
        <v>0</v>
      </c>
    </row>
    <row r="723" spans="1:28">
      <c r="A723" s="35">
        <v>712</v>
      </c>
      <c r="B723" s="35">
        <v>3.6601864559548106E-4</v>
      </c>
      <c r="C723" s="232">
        <v>70.48</v>
      </c>
      <c r="D723" s="35">
        <v>5.0577554205346091</v>
      </c>
      <c r="E723" s="232">
        <v>48.7</v>
      </c>
      <c r="F723" s="35">
        <v>5.0505949256458713</v>
      </c>
      <c r="G723" s="232">
        <v>14279.19</v>
      </c>
      <c r="H723" s="35">
        <v>8.9267901916065888</v>
      </c>
      <c r="I723" s="232">
        <v>13457.51</v>
      </c>
      <c r="J723" s="35">
        <v>7.3522320492740976</v>
      </c>
      <c r="K723" s="232">
        <v>20276.59</v>
      </c>
      <c r="L723" s="35">
        <v>8.7851425350785508</v>
      </c>
      <c r="M723" s="232">
        <v>46644.25</v>
      </c>
      <c r="N723" s="35">
        <v>7.8187145863319278</v>
      </c>
      <c r="P723" s="232">
        <v>-21.78</v>
      </c>
      <c r="Q723" s="35">
        <v>7.1604948887378228E-3</v>
      </c>
      <c r="R723" s="232">
        <v>-821.68</v>
      </c>
      <c r="S723" s="35">
        <v>1.5745581423324913</v>
      </c>
      <c r="T723" s="232">
        <v>26367.66</v>
      </c>
      <c r="U723" s="35">
        <v>0.96642794874662297</v>
      </c>
      <c r="W723" s="35">
        <f t="shared" si="73"/>
        <v>379.80474443689116</v>
      </c>
      <c r="X723" s="35">
        <f t="shared" si="74"/>
        <v>79549.587116624549</v>
      </c>
      <c r="Y723" s="35">
        <f t="shared" si="75"/>
        <v>21953.73743733115</v>
      </c>
      <c r="Z723" s="35">
        <f t="shared" si="76"/>
        <v>0</v>
      </c>
      <c r="AA723" s="35">
        <f t="shared" si="77"/>
        <v>1</v>
      </c>
      <c r="AB723" s="35">
        <f t="shared" si="78"/>
        <v>0</v>
      </c>
    </row>
    <row r="724" spans="1:28">
      <c r="A724" s="35">
        <v>713</v>
      </c>
      <c r="B724" s="35">
        <v>4.3093105999706766E-4</v>
      </c>
      <c r="C724" s="232">
        <v>67.25</v>
      </c>
      <c r="D724" s="35">
        <v>5.0605200508885089</v>
      </c>
      <c r="E724" s="232">
        <v>37.03</v>
      </c>
      <c r="F724" s="35">
        <v>5.0491334069379068</v>
      </c>
      <c r="G724" s="232">
        <v>12819.59</v>
      </c>
      <c r="H724" s="35">
        <v>8.8474707627729963</v>
      </c>
      <c r="I724" s="232">
        <v>14765.97</v>
      </c>
      <c r="J724" s="35">
        <v>7.3799259508343207</v>
      </c>
      <c r="K724" s="232">
        <v>12748.53</v>
      </c>
      <c r="L724" s="35">
        <v>8.6946235939275187</v>
      </c>
      <c r="M724" s="232">
        <v>38878.519999999997</v>
      </c>
      <c r="N724" s="35">
        <v>7.5898596474682511</v>
      </c>
      <c r="P724" s="232">
        <v>-30.22</v>
      </c>
      <c r="Q724" s="35">
        <v>1.1386643950602071E-2</v>
      </c>
      <c r="R724" s="232">
        <v>1946.38</v>
      </c>
      <c r="S724" s="35">
        <v>1.4675448119386756</v>
      </c>
      <c r="T724" s="232">
        <v>26129.99</v>
      </c>
      <c r="U724" s="35">
        <v>1.1047639464592676</v>
      </c>
      <c r="W724" s="35">
        <f t="shared" si="73"/>
        <v>599.55219753010363</v>
      </c>
      <c r="X724" s="35">
        <f t="shared" si="74"/>
        <v>71430.86059693378</v>
      </c>
      <c r="Y724" s="35">
        <f t="shared" si="75"/>
        <v>29108.207322963379</v>
      </c>
      <c r="Z724" s="35">
        <f t="shared" si="76"/>
        <v>0</v>
      </c>
      <c r="AA724" s="35">
        <f t="shared" si="77"/>
        <v>1</v>
      </c>
      <c r="AB724" s="35">
        <f t="shared" si="78"/>
        <v>0</v>
      </c>
    </row>
    <row r="725" spans="1:28">
      <c r="A725" s="35">
        <v>714</v>
      </c>
      <c r="B725" s="35">
        <v>4.4689018380861256E-4</v>
      </c>
      <c r="C725" s="232">
        <v>49.32</v>
      </c>
      <c r="D725" s="35">
        <v>5.0613162934421458</v>
      </c>
      <c r="E725" s="232">
        <v>31.5</v>
      </c>
      <c r="F725" s="35">
        <v>5.0511272341283862</v>
      </c>
      <c r="G725" s="232">
        <v>8805.69</v>
      </c>
      <c r="H725" s="35">
        <v>8.6257755442285049</v>
      </c>
      <c r="I725" s="232">
        <v>10736.28</v>
      </c>
      <c r="J725" s="35">
        <v>7.8500676433815864</v>
      </c>
      <c r="K725" s="232">
        <v>9767.76</v>
      </c>
      <c r="L725" s="35">
        <v>8.9408435024726085</v>
      </c>
      <c r="M725" s="232">
        <v>35651.57</v>
      </c>
      <c r="N725" s="35">
        <v>7.8472434543365095</v>
      </c>
      <c r="P725" s="232">
        <v>-17.82</v>
      </c>
      <c r="Q725" s="35">
        <v>1.0189059313759685E-2</v>
      </c>
      <c r="R725" s="232">
        <v>1930.59</v>
      </c>
      <c r="S725" s="35">
        <v>0.77570790084691854</v>
      </c>
      <c r="T725" s="232">
        <v>25883.81</v>
      </c>
      <c r="U725" s="35">
        <v>1.093600048136099</v>
      </c>
      <c r="W725" s="35">
        <f t="shared" si="73"/>
        <v>527.27296568798431</v>
      </c>
      <c r="X725" s="35">
        <f t="shared" si="74"/>
        <v>36854.805042345928</v>
      </c>
      <c r="Y725" s="35">
        <f t="shared" si="75"/>
        <v>28796.192406804952</v>
      </c>
      <c r="Z725" s="35">
        <f t="shared" si="76"/>
        <v>0</v>
      </c>
      <c r="AA725" s="35">
        <f t="shared" si="77"/>
        <v>1</v>
      </c>
      <c r="AB725" s="35">
        <f t="shared" si="78"/>
        <v>0</v>
      </c>
    </row>
    <row r="726" spans="1:28">
      <c r="A726" s="35">
        <v>715</v>
      </c>
      <c r="B726" s="35">
        <v>3.9987073871016122E-4</v>
      </c>
      <c r="C726" s="232">
        <v>63.17</v>
      </c>
      <c r="D726" s="35">
        <v>5.0588444812247522</v>
      </c>
      <c r="E726" s="232">
        <v>37.31</v>
      </c>
      <c r="F726" s="35">
        <v>5.0490665634515501</v>
      </c>
      <c r="G726" s="232">
        <v>11107.13</v>
      </c>
      <c r="H726" s="35">
        <v>8.5868257194908004</v>
      </c>
      <c r="I726" s="232">
        <v>9437.58</v>
      </c>
      <c r="J726" s="35">
        <v>6.7405739489470644</v>
      </c>
      <c r="K726" s="232">
        <v>18887.46</v>
      </c>
      <c r="L726" s="35">
        <v>8.9990328638654162</v>
      </c>
      <c r="M726" s="232">
        <v>45119.55</v>
      </c>
      <c r="N726" s="35">
        <v>7.9306297252817917</v>
      </c>
      <c r="P726" s="232">
        <v>-25.86</v>
      </c>
      <c r="Q726" s="35">
        <v>9.7779177732020273E-3</v>
      </c>
      <c r="R726" s="232">
        <v>-1669.55</v>
      </c>
      <c r="S726" s="35">
        <v>1.846251770543736</v>
      </c>
      <c r="T726" s="232">
        <v>26232.09</v>
      </c>
      <c r="U726" s="35">
        <v>1.0684031385836246</v>
      </c>
      <c r="W726" s="35">
        <f t="shared" si="73"/>
        <v>514.75588866010139</v>
      </c>
      <c r="X726" s="35">
        <f t="shared" si="74"/>
        <v>93982.138527186806</v>
      </c>
      <c r="Y726" s="35">
        <f t="shared" si="75"/>
        <v>27188.066929181226</v>
      </c>
      <c r="Z726" s="35">
        <f t="shared" si="76"/>
        <v>0</v>
      </c>
      <c r="AA726" s="35">
        <f t="shared" si="77"/>
        <v>1</v>
      </c>
      <c r="AB726" s="35">
        <f t="shared" si="78"/>
        <v>0</v>
      </c>
    </row>
    <row r="727" spans="1:28">
      <c r="A727" s="35">
        <v>716</v>
      </c>
      <c r="B727" s="35">
        <v>5.1423481183776598E-4</v>
      </c>
      <c r="C727" s="232">
        <v>75.52</v>
      </c>
      <c r="D727" s="35">
        <v>5.065124203284749</v>
      </c>
      <c r="E727" s="232">
        <v>43.15</v>
      </c>
      <c r="F727" s="35">
        <v>5.0521426620831891</v>
      </c>
      <c r="G727" s="232">
        <v>11158.29</v>
      </c>
      <c r="H727" s="35">
        <v>8.8710941085680002</v>
      </c>
      <c r="I727" s="232">
        <v>12299.85</v>
      </c>
      <c r="J727" s="35">
        <v>7.9641992882266903</v>
      </c>
      <c r="K727" s="232">
        <v>14417.03</v>
      </c>
      <c r="L727" s="35">
        <v>8.7176472628689528</v>
      </c>
      <c r="M727" s="232">
        <v>40475.160000000003</v>
      </c>
      <c r="N727" s="35">
        <v>7.6218343042987149</v>
      </c>
      <c r="P727" s="232">
        <v>-32.369999999999997</v>
      </c>
      <c r="Q727" s="35">
        <v>1.2981541201559921E-2</v>
      </c>
      <c r="R727" s="232">
        <v>1141.56</v>
      </c>
      <c r="S727" s="35">
        <v>0.90689482034130986</v>
      </c>
      <c r="T727" s="232">
        <v>26058.13</v>
      </c>
      <c r="U727" s="35">
        <v>1.0958129585702379</v>
      </c>
      <c r="W727" s="35">
        <f t="shared" si="73"/>
        <v>681.44706007799607</v>
      </c>
      <c r="X727" s="35">
        <f t="shared" si="74"/>
        <v>44203.181017065494</v>
      </c>
      <c r="Y727" s="35">
        <f t="shared" si="75"/>
        <v>28732.51792851189</v>
      </c>
      <c r="Z727" s="35">
        <f t="shared" si="76"/>
        <v>0</v>
      </c>
      <c r="AA727" s="35">
        <f t="shared" si="77"/>
        <v>1</v>
      </c>
      <c r="AB727" s="35">
        <f t="shared" si="78"/>
        <v>0</v>
      </c>
    </row>
    <row r="728" spans="1:28">
      <c r="A728" s="35">
        <v>717</v>
      </c>
      <c r="B728" s="35">
        <v>4.6791950643720881E-4</v>
      </c>
      <c r="C728" s="232">
        <v>76.989999999999995</v>
      </c>
      <c r="D728" s="35">
        <v>5.0627571917093377</v>
      </c>
      <c r="E728" s="232">
        <v>45.32</v>
      </c>
      <c r="F728" s="35">
        <v>5.0513591850838182</v>
      </c>
      <c r="G728" s="232">
        <v>12469.94</v>
      </c>
      <c r="H728" s="35">
        <v>9.0199284835451792</v>
      </c>
      <c r="I728" s="232">
        <v>12828.66</v>
      </c>
      <c r="J728" s="35">
        <v>8.0990224362417713</v>
      </c>
      <c r="K728" s="232">
        <v>19139.900000000001</v>
      </c>
      <c r="L728" s="35">
        <v>8.5200993850441442</v>
      </c>
      <c r="M728" s="232">
        <v>45481.01</v>
      </c>
      <c r="N728" s="35">
        <v>7.4305339490030251</v>
      </c>
      <c r="P728" s="232">
        <v>-31.67</v>
      </c>
      <c r="Q728" s="35">
        <v>1.1398006625519486E-2</v>
      </c>
      <c r="R728" s="232">
        <v>358.72</v>
      </c>
      <c r="S728" s="35">
        <v>0.92090604730340786</v>
      </c>
      <c r="T728" s="232">
        <v>26341.119999999999</v>
      </c>
      <c r="U728" s="35">
        <v>1.0895654360411191</v>
      </c>
      <c r="W728" s="35">
        <f t="shared" si="73"/>
        <v>601.57033127597424</v>
      </c>
      <c r="X728" s="35">
        <f t="shared" si="74"/>
        <v>45686.58236517039</v>
      </c>
      <c r="Y728" s="35">
        <f t="shared" si="75"/>
        <v>28137.151802055956</v>
      </c>
      <c r="Z728" s="35">
        <f t="shared" si="76"/>
        <v>0</v>
      </c>
      <c r="AA728" s="35">
        <f t="shared" si="77"/>
        <v>1</v>
      </c>
      <c r="AB728" s="35">
        <f t="shared" si="78"/>
        <v>0</v>
      </c>
    </row>
    <row r="729" spans="1:28">
      <c r="A729" s="35">
        <v>718</v>
      </c>
      <c r="B729" s="35">
        <v>3.3368205804498204E-4</v>
      </c>
      <c r="C729" s="232">
        <v>46.34</v>
      </c>
      <c r="D729" s="35">
        <v>5.0552927606784603</v>
      </c>
      <c r="E729" s="232">
        <v>28.69</v>
      </c>
      <c r="F729" s="35">
        <v>5.0473030554313825</v>
      </c>
      <c r="G729" s="232">
        <v>10943.5</v>
      </c>
      <c r="H729" s="35">
        <v>8.9895554751932849</v>
      </c>
      <c r="I729" s="232">
        <v>12274.03</v>
      </c>
      <c r="J729" s="35">
        <v>7.7422782580757303</v>
      </c>
      <c r="K729" s="232">
        <v>12141.28</v>
      </c>
      <c r="L729" s="35">
        <v>8.3522321889115236</v>
      </c>
      <c r="M729" s="232">
        <v>38148.42</v>
      </c>
      <c r="N729" s="35">
        <v>7.2511889223341566</v>
      </c>
      <c r="P729" s="232">
        <v>-17.649999999999999</v>
      </c>
      <c r="Q729" s="35">
        <v>7.9897052470778718E-3</v>
      </c>
      <c r="R729" s="232">
        <v>1330.53</v>
      </c>
      <c r="S729" s="35">
        <v>1.2472772171175546</v>
      </c>
      <c r="T729" s="232">
        <v>26007.15</v>
      </c>
      <c r="U729" s="35">
        <v>1.1010432665773671</v>
      </c>
      <c r="W729" s="35">
        <f t="shared" si="73"/>
        <v>417.13526235389355</v>
      </c>
      <c r="X729" s="35">
        <f t="shared" si="74"/>
        <v>61033.330855877728</v>
      </c>
      <c r="Y729" s="35">
        <f t="shared" si="75"/>
        <v>29045.01332886835</v>
      </c>
      <c r="Z729" s="35">
        <f t="shared" si="76"/>
        <v>0</v>
      </c>
      <c r="AA729" s="35">
        <f t="shared" si="77"/>
        <v>1</v>
      </c>
      <c r="AB729" s="35">
        <f t="shared" si="78"/>
        <v>0</v>
      </c>
    </row>
    <row r="730" spans="1:28">
      <c r="A730" s="35">
        <v>719</v>
      </c>
      <c r="B730" s="35">
        <v>4.2742932916924362E-4</v>
      </c>
      <c r="C730" s="232">
        <v>59.61</v>
      </c>
      <c r="D730" s="35">
        <v>5.0596096401016437</v>
      </c>
      <c r="E730" s="232">
        <v>38.03</v>
      </c>
      <c r="F730" s="35">
        <v>5.0504240107050222</v>
      </c>
      <c r="G730" s="232">
        <v>10812.86</v>
      </c>
      <c r="H730" s="35">
        <v>8.6489307549740957</v>
      </c>
      <c r="I730" s="232">
        <v>12264.54</v>
      </c>
      <c r="J730" s="35">
        <v>7.6191135435416779</v>
      </c>
      <c r="K730" s="232">
        <v>12380.96</v>
      </c>
      <c r="L730" s="35">
        <v>8.4283652782816656</v>
      </c>
      <c r="M730" s="232">
        <v>38381.589999999997</v>
      </c>
      <c r="N730" s="35">
        <v>7.244576540304223</v>
      </c>
      <c r="P730" s="232">
        <v>-21.58</v>
      </c>
      <c r="Q730" s="35">
        <v>9.1856293966214864E-3</v>
      </c>
      <c r="R730" s="232">
        <v>1451.67</v>
      </c>
      <c r="S730" s="35">
        <v>1.0298172114324178</v>
      </c>
      <c r="T730" s="232">
        <v>26000.63</v>
      </c>
      <c r="U730" s="35">
        <v>1.1837887379774426</v>
      </c>
      <c r="W730" s="35">
        <f t="shared" si="73"/>
        <v>480.86146983107432</v>
      </c>
      <c r="X730" s="35">
        <f t="shared" si="74"/>
        <v>50039.190571620893</v>
      </c>
      <c r="Y730" s="35">
        <f t="shared" si="75"/>
        <v>33188.806898872121</v>
      </c>
      <c r="Z730" s="35">
        <f t="shared" si="76"/>
        <v>0</v>
      </c>
      <c r="AA730" s="35">
        <f t="shared" si="77"/>
        <v>1</v>
      </c>
      <c r="AB730" s="35">
        <f t="shared" si="78"/>
        <v>0</v>
      </c>
    </row>
    <row r="731" spans="1:28">
      <c r="A731" s="35">
        <v>720</v>
      </c>
      <c r="B731" s="35">
        <v>4.230979751535214E-4</v>
      </c>
      <c r="C731" s="232">
        <v>81.349999999999994</v>
      </c>
      <c r="D731" s="35">
        <v>5.0595986593009439</v>
      </c>
      <c r="E731" s="232">
        <v>51.9</v>
      </c>
      <c r="F731" s="35">
        <v>5.0507739827007754</v>
      </c>
      <c r="G731" s="232">
        <v>14736.12</v>
      </c>
      <c r="H731" s="35">
        <v>8.8115301769036325</v>
      </c>
      <c r="I731" s="232">
        <v>14688.23</v>
      </c>
      <c r="J731" s="35">
        <v>7.7016181756183038</v>
      </c>
      <c r="K731" s="232">
        <v>21562.400000000001</v>
      </c>
      <c r="L731" s="35">
        <v>8.3371429929048535</v>
      </c>
      <c r="M731" s="232">
        <v>47956.17</v>
      </c>
      <c r="N731" s="35">
        <v>7.3642559998161135</v>
      </c>
      <c r="P731" s="232">
        <v>-29.45</v>
      </c>
      <c r="Q731" s="35">
        <v>8.8246766001685017E-3</v>
      </c>
      <c r="R731" s="232">
        <v>-47.88</v>
      </c>
      <c r="S731" s="35">
        <v>1.1099120012853287</v>
      </c>
      <c r="T731" s="232">
        <v>26393.77</v>
      </c>
      <c r="U731" s="35">
        <v>0.97288699308874005</v>
      </c>
      <c r="W731" s="35">
        <f t="shared" si="73"/>
        <v>470.6838300084251</v>
      </c>
      <c r="X731" s="35">
        <f t="shared" si="74"/>
        <v>55543.480064266434</v>
      </c>
      <c r="Y731" s="35">
        <f t="shared" si="75"/>
        <v>22250.579654436999</v>
      </c>
      <c r="Z731" s="35">
        <f t="shared" si="76"/>
        <v>0</v>
      </c>
      <c r="AA731" s="35">
        <f t="shared" si="77"/>
        <v>1</v>
      </c>
      <c r="AB731" s="35">
        <f t="shared" si="78"/>
        <v>0</v>
      </c>
    </row>
    <row r="732" spans="1:28">
      <c r="A732" s="35">
        <v>721</v>
      </c>
      <c r="B732" s="35">
        <v>4.8278136052981591E-4</v>
      </c>
      <c r="C732" s="232">
        <v>67.599999999999994</v>
      </c>
      <c r="D732" s="35">
        <v>5.0627527525839824</v>
      </c>
      <c r="E732" s="232">
        <v>39.57</v>
      </c>
      <c r="F732" s="35">
        <v>5.0511106323473021</v>
      </c>
      <c r="G732" s="232">
        <v>10911.02</v>
      </c>
      <c r="H732" s="35">
        <v>8.945111827293502</v>
      </c>
      <c r="I732" s="232">
        <v>11766.81</v>
      </c>
      <c r="J732" s="35">
        <v>7.7282810332213456</v>
      </c>
      <c r="K732" s="232">
        <v>13399.62</v>
      </c>
      <c r="L732" s="35">
        <v>8.2664530792294801</v>
      </c>
      <c r="M732" s="232">
        <v>39342.959999999999</v>
      </c>
      <c r="N732" s="35">
        <v>7.1561416317396374</v>
      </c>
      <c r="P732" s="232">
        <v>-28.03</v>
      </c>
      <c r="Q732" s="35">
        <v>1.164212023668032E-2</v>
      </c>
      <c r="R732" s="232">
        <v>855.78</v>
      </c>
      <c r="S732" s="35">
        <v>1.2168307940721563</v>
      </c>
      <c r="T732" s="232">
        <v>25943.34</v>
      </c>
      <c r="U732" s="35">
        <v>1.1103114474898428</v>
      </c>
      <c r="W732" s="35">
        <f t="shared" si="73"/>
        <v>610.13601183401602</v>
      </c>
      <c r="X732" s="35">
        <f t="shared" si="74"/>
        <v>59985.759703607815</v>
      </c>
      <c r="Y732" s="35">
        <f t="shared" si="75"/>
        <v>29572.232374492141</v>
      </c>
      <c r="Z732" s="35">
        <f t="shared" si="76"/>
        <v>0</v>
      </c>
      <c r="AA732" s="35">
        <f t="shared" si="77"/>
        <v>1</v>
      </c>
      <c r="AB732" s="35">
        <f t="shared" si="78"/>
        <v>0</v>
      </c>
    </row>
    <row r="733" spans="1:28">
      <c r="A733" s="35">
        <v>722</v>
      </c>
      <c r="B733" s="35">
        <v>4.4282741269376937E-4</v>
      </c>
      <c r="C733" s="232">
        <v>62.37</v>
      </c>
      <c r="D733" s="35">
        <v>5.0606911222527824</v>
      </c>
      <c r="E733" s="232">
        <v>36.19</v>
      </c>
      <c r="F733" s="35">
        <v>5.0497947408153809</v>
      </c>
      <c r="G733" s="232">
        <v>10317.17</v>
      </c>
      <c r="H733" s="35">
        <v>8.5808393455299115</v>
      </c>
      <c r="I733" s="232">
        <v>10133.41</v>
      </c>
      <c r="J733" s="35">
        <v>6.9993029409835232</v>
      </c>
      <c r="K733" s="232">
        <v>15735.52</v>
      </c>
      <c r="L733" s="35">
        <v>8.7092857829571901</v>
      </c>
      <c r="M733" s="232">
        <v>41952.87</v>
      </c>
      <c r="N733" s="35">
        <v>7.5584093782601238</v>
      </c>
      <c r="P733" s="232">
        <v>-26.18</v>
      </c>
      <c r="Q733" s="35">
        <v>1.0896381437401459E-2</v>
      </c>
      <c r="R733" s="232">
        <v>-183.76</v>
      </c>
      <c r="S733" s="35">
        <v>1.5815364045463882</v>
      </c>
      <c r="T733" s="232">
        <v>26217.34</v>
      </c>
      <c r="U733" s="35">
        <v>1.1508764046970663</v>
      </c>
      <c r="W733" s="35">
        <f t="shared" si="73"/>
        <v>570.99907187007295</v>
      </c>
      <c r="X733" s="35">
        <f t="shared" si="74"/>
        <v>79260.580227319399</v>
      </c>
      <c r="Y733" s="35">
        <f t="shared" si="75"/>
        <v>31326.480234853316</v>
      </c>
      <c r="Z733" s="35">
        <f t="shared" si="76"/>
        <v>0</v>
      </c>
      <c r="AA733" s="35">
        <f t="shared" si="77"/>
        <v>1</v>
      </c>
      <c r="AB733" s="35">
        <f t="shared" si="78"/>
        <v>0</v>
      </c>
    </row>
    <row r="734" spans="1:28">
      <c r="A734" s="35">
        <v>723</v>
      </c>
      <c r="B734" s="35">
        <v>4.3313444557845077E-4</v>
      </c>
      <c r="C734" s="232">
        <v>48.21</v>
      </c>
      <c r="D734" s="35">
        <v>5.0617752170754429</v>
      </c>
      <c r="E734" s="232">
        <v>36.31</v>
      </c>
      <c r="F734" s="35">
        <v>5.0540779406231886</v>
      </c>
      <c r="G734" s="232">
        <v>8315.23</v>
      </c>
      <c r="H734" s="35">
        <v>8.8766074831399493</v>
      </c>
      <c r="I734" s="232">
        <v>8921.24</v>
      </c>
      <c r="J734" s="35">
        <v>6.9550190500203115</v>
      </c>
      <c r="K734" s="232">
        <v>10541.86</v>
      </c>
      <c r="L734" s="35">
        <v>8.8225795352455627</v>
      </c>
      <c r="M734" s="232">
        <v>36232.92</v>
      </c>
      <c r="N734" s="35">
        <v>7.6539981759845226</v>
      </c>
      <c r="P734" s="232">
        <v>-11.9</v>
      </c>
      <c r="Q734" s="35">
        <v>7.6972764522542647E-3</v>
      </c>
      <c r="R734" s="232">
        <v>606.01</v>
      </c>
      <c r="S734" s="35">
        <v>1.9215884331196378</v>
      </c>
      <c r="T734" s="232">
        <v>25691.07</v>
      </c>
      <c r="U734" s="35">
        <v>1.1685813592610401</v>
      </c>
      <c r="W734" s="35">
        <f t="shared" si="73"/>
        <v>396.76382261271323</v>
      </c>
      <c r="X734" s="35">
        <f t="shared" si="74"/>
        <v>95473.411655981894</v>
      </c>
      <c r="Y734" s="35">
        <f t="shared" si="75"/>
        <v>32737.997963052003</v>
      </c>
      <c r="Z734" s="35">
        <f t="shared" si="76"/>
        <v>0</v>
      </c>
      <c r="AA734" s="35">
        <f t="shared" si="77"/>
        <v>1</v>
      </c>
      <c r="AB734" s="35">
        <f t="shared" si="78"/>
        <v>0</v>
      </c>
    </row>
    <row r="735" spans="1:28">
      <c r="A735" s="35">
        <v>724</v>
      </c>
      <c r="B735" s="35">
        <v>3.2643726510215291E-4</v>
      </c>
      <c r="C735" s="232">
        <v>63.74</v>
      </c>
      <c r="D735" s="35">
        <v>5.0554350335216842</v>
      </c>
      <c r="E735" s="232">
        <v>44.37</v>
      </c>
      <c r="F735" s="35">
        <v>5.0491070654111097</v>
      </c>
      <c r="G735" s="232">
        <v>14886.16</v>
      </c>
      <c r="H735" s="35">
        <v>8.9725181800619591</v>
      </c>
      <c r="I735" s="232">
        <v>15569.73</v>
      </c>
      <c r="J735" s="35">
        <v>8.1568047927902256</v>
      </c>
      <c r="K735" s="232">
        <v>21158.31</v>
      </c>
      <c r="L735" s="35">
        <v>8.4543633655566275</v>
      </c>
      <c r="M735" s="232">
        <v>47490.15</v>
      </c>
      <c r="N735" s="35">
        <v>7.3095968454174391</v>
      </c>
      <c r="P735" s="232">
        <v>-19.37</v>
      </c>
      <c r="Q735" s="35">
        <v>6.3279681105745667E-3</v>
      </c>
      <c r="R735" s="232">
        <v>683.57</v>
      </c>
      <c r="S735" s="35">
        <v>0.81571338727173348</v>
      </c>
      <c r="T735" s="232">
        <v>26331.84</v>
      </c>
      <c r="U735" s="35">
        <v>1.1447665201391883</v>
      </c>
      <c r="W735" s="35">
        <f t="shared" si="73"/>
        <v>335.76840552872835</v>
      </c>
      <c r="X735" s="35">
        <f t="shared" si="74"/>
        <v>40102.099363586676</v>
      </c>
      <c r="Y735" s="35">
        <f t="shared" si="75"/>
        <v>30906.486006959418</v>
      </c>
      <c r="Z735" s="35">
        <f t="shared" si="76"/>
        <v>0</v>
      </c>
      <c r="AA735" s="35">
        <f t="shared" si="77"/>
        <v>1</v>
      </c>
      <c r="AB735" s="35">
        <f t="shared" si="78"/>
        <v>0</v>
      </c>
    </row>
    <row r="736" spans="1:28">
      <c r="A736" s="35">
        <v>725</v>
      </c>
      <c r="B736" s="35">
        <v>5.2317619169073293E-4</v>
      </c>
      <c r="C736" s="232">
        <v>65.849999999999994</v>
      </c>
      <c r="D736" s="35">
        <v>5.0664844951325954</v>
      </c>
      <c r="E736" s="232">
        <v>42.06</v>
      </c>
      <c r="F736" s="35">
        <v>5.0545776023601237</v>
      </c>
      <c r="G736" s="232">
        <v>9473.5</v>
      </c>
      <c r="H736" s="35">
        <v>8.9514504071186991</v>
      </c>
      <c r="I736" s="232">
        <v>10602.08</v>
      </c>
      <c r="J736" s="35">
        <v>7.7610621507781437</v>
      </c>
      <c r="K736" s="232">
        <v>11805.03</v>
      </c>
      <c r="L736" s="35">
        <v>8.9404398689771973</v>
      </c>
      <c r="M736" s="232">
        <v>37732.480000000003</v>
      </c>
      <c r="N736" s="35">
        <v>7.9294620766838282</v>
      </c>
      <c r="P736" s="232">
        <v>-23.79</v>
      </c>
      <c r="Q736" s="35">
        <v>1.19068927724717E-2</v>
      </c>
      <c r="R736" s="232">
        <v>1128.58</v>
      </c>
      <c r="S736" s="35">
        <v>1.1903882563405555</v>
      </c>
      <c r="T736" s="232">
        <v>25927.45</v>
      </c>
      <c r="U736" s="35">
        <v>1.0109777922933691</v>
      </c>
      <c r="W736" s="35">
        <f t="shared" si="73"/>
        <v>619.13463862358492</v>
      </c>
      <c r="X736" s="35">
        <f t="shared" si="74"/>
        <v>58390.832817027767</v>
      </c>
      <c r="Y736" s="35">
        <f t="shared" si="75"/>
        <v>24621.439614668456</v>
      </c>
      <c r="Z736" s="35">
        <f t="shared" si="76"/>
        <v>0</v>
      </c>
      <c r="AA736" s="35">
        <f t="shared" si="77"/>
        <v>1</v>
      </c>
      <c r="AB736" s="35">
        <f t="shared" si="78"/>
        <v>0</v>
      </c>
    </row>
    <row r="737" spans="1:28">
      <c r="A737" s="35">
        <v>726</v>
      </c>
      <c r="B737" s="35">
        <v>4.6143206525428582E-4</v>
      </c>
      <c r="C737" s="232">
        <v>57.26</v>
      </c>
      <c r="D737" s="35">
        <v>5.0623427641944776</v>
      </c>
      <c r="E737" s="232">
        <v>33.520000000000003</v>
      </c>
      <c r="F737" s="35">
        <v>5.0506555142097334</v>
      </c>
      <c r="G737" s="232">
        <v>10122.86</v>
      </c>
      <c r="H737" s="35">
        <v>8.9707303977820914</v>
      </c>
      <c r="I737" s="232">
        <v>11780.22</v>
      </c>
      <c r="J737" s="35">
        <v>7.293448281439006</v>
      </c>
      <c r="K737" s="232">
        <v>10843.69</v>
      </c>
      <c r="L737" s="35">
        <v>8.4471142355261861</v>
      </c>
      <c r="M737" s="232">
        <v>36823.42</v>
      </c>
      <c r="N737" s="35">
        <v>7.3545939894622698</v>
      </c>
      <c r="P737" s="232">
        <v>-23.74</v>
      </c>
      <c r="Q737" s="35">
        <v>1.1687249984744241E-2</v>
      </c>
      <c r="R737" s="232">
        <v>1657.36</v>
      </c>
      <c r="S737" s="35">
        <v>1.6772821163430853</v>
      </c>
      <c r="T737" s="232">
        <v>25979.73</v>
      </c>
      <c r="U737" s="35">
        <v>1.0925202460639163</v>
      </c>
      <c r="W737" s="35">
        <f t="shared" si="73"/>
        <v>608.1024992372121</v>
      </c>
      <c r="X737" s="35">
        <f t="shared" si="74"/>
        <v>82206.745817154268</v>
      </c>
      <c r="Y737" s="35">
        <f t="shared" si="75"/>
        <v>28646.282303195814</v>
      </c>
      <c r="Z737" s="35">
        <f t="shared" si="76"/>
        <v>0</v>
      </c>
      <c r="AA737" s="35">
        <f t="shared" si="77"/>
        <v>1</v>
      </c>
      <c r="AB737" s="35">
        <f t="shared" si="78"/>
        <v>0</v>
      </c>
    </row>
    <row r="738" spans="1:28">
      <c r="A738" s="35">
        <v>727</v>
      </c>
      <c r="B738" s="35">
        <v>4.3833333507513247E-4</v>
      </c>
      <c r="C738" s="232">
        <v>81.88</v>
      </c>
      <c r="D738" s="35">
        <v>5.0586551407956923</v>
      </c>
      <c r="E738" s="232">
        <v>53.97</v>
      </c>
      <c r="F738" s="35">
        <v>5.0506586896743393</v>
      </c>
      <c r="G738" s="232">
        <v>13348.82</v>
      </c>
      <c r="H738" s="35">
        <v>8.2806472501355071</v>
      </c>
      <c r="I738" s="232">
        <v>12971.25</v>
      </c>
      <c r="J738" s="35">
        <v>7.3110918399104081</v>
      </c>
      <c r="K738" s="232">
        <v>22202.61</v>
      </c>
      <c r="L738" s="35">
        <v>8.2037338808167117</v>
      </c>
      <c r="M738" s="232">
        <v>48681.31</v>
      </c>
      <c r="N738" s="35">
        <v>7.1725869383558276</v>
      </c>
      <c r="P738" s="232">
        <v>-27.92</v>
      </c>
      <c r="Q738" s="35">
        <v>7.9964511213530542E-3</v>
      </c>
      <c r="R738" s="232">
        <v>-377.57</v>
      </c>
      <c r="S738" s="35">
        <v>0.96955541022509895</v>
      </c>
      <c r="T738" s="232">
        <v>26478.7</v>
      </c>
      <c r="U738" s="35">
        <v>1.0311469424608841</v>
      </c>
      <c r="W738" s="35">
        <f t="shared" si="73"/>
        <v>427.74255606765274</v>
      </c>
      <c r="X738" s="35">
        <f t="shared" si="74"/>
        <v>48855.340511254944</v>
      </c>
      <c r="Y738" s="35">
        <f t="shared" si="75"/>
        <v>25078.647123044208</v>
      </c>
      <c r="Z738" s="35">
        <f t="shared" si="76"/>
        <v>0</v>
      </c>
      <c r="AA738" s="35">
        <f t="shared" si="77"/>
        <v>1</v>
      </c>
      <c r="AB738" s="35">
        <f t="shared" si="78"/>
        <v>0</v>
      </c>
    </row>
    <row r="739" spans="1:28">
      <c r="A739" s="35">
        <v>728</v>
      </c>
      <c r="B739" s="35">
        <v>4.0237571012221457E-4</v>
      </c>
      <c r="C739" s="232">
        <v>43.7</v>
      </c>
      <c r="D739" s="35">
        <v>5.0599006500901913</v>
      </c>
      <c r="E739" s="232">
        <v>25.53</v>
      </c>
      <c r="F739" s="35">
        <v>5.0489205407279716</v>
      </c>
      <c r="G739" s="232">
        <v>8658.36</v>
      </c>
      <c r="H739" s="35">
        <v>9.0745166088964719</v>
      </c>
      <c r="I739" s="232">
        <v>10696.41</v>
      </c>
      <c r="J739" s="35">
        <v>8.5797036153010779</v>
      </c>
      <c r="K739" s="232">
        <v>9117.2199999999993</v>
      </c>
      <c r="L739" s="35">
        <v>8.7713167892756321</v>
      </c>
      <c r="M739" s="232">
        <v>34885.97</v>
      </c>
      <c r="N739" s="35">
        <v>7.7117574884771649</v>
      </c>
      <c r="P739" s="232">
        <v>-18.170000000000002</v>
      </c>
      <c r="Q739" s="35">
        <v>1.0980109362219714E-2</v>
      </c>
      <c r="R739" s="232">
        <v>2038.06</v>
      </c>
      <c r="S739" s="35">
        <v>0.49481299359539399</v>
      </c>
      <c r="T739" s="232">
        <v>25768.75</v>
      </c>
      <c r="U739" s="35">
        <v>1.0595593007984672</v>
      </c>
      <c r="W739" s="35">
        <f t="shared" si="73"/>
        <v>567.17546811098566</v>
      </c>
      <c r="X739" s="35">
        <f t="shared" si="74"/>
        <v>22702.589679769699</v>
      </c>
      <c r="Y739" s="35">
        <f t="shared" si="75"/>
        <v>27209.215039923358</v>
      </c>
      <c r="Z739" s="35">
        <f t="shared" si="76"/>
        <v>0</v>
      </c>
      <c r="AA739" s="35">
        <f t="shared" si="77"/>
        <v>0</v>
      </c>
      <c r="AB739" s="35">
        <f t="shared" si="78"/>
        <v>1</v>
      </c>
    </row>
    <row r="740" spans="1:28">
      <c r="A740" s="35">
        <v>729</v>
      </c>
      <c r="B740" s="35">
        <v>5.327707213097499E-4</v>
      </c>
      <c r="C740" s="232">
        <v>69.180000000000007</v>
      </c>
      <c r="D740" s="35">
        <v>5.0650250771754743</v>
      </c>
      <c r="E740" s="232">
        <v>40.28</v>
      </c>
      <c r="F740" s="35">
        <v>5.0522664220143056</v>
      </c>
      <c r="G740" s="232">
        <v>9479.93</v>
      </c>
      <c r="H740" s="35">
        <v>8.6524986457333348</v>
      </c>
      <c r="I740" s="232">
        <v>10194.58</v>
      </c>
      <c r="J740" s="35">
        <v>7.5190080809755573</v>
      </c>
      <c r="K740" s="232">
        <v>12788.77</v>
      </c>
      <c r="L740" s="35">
        <v>8.4850813647849943</v>
      </c>
      <c r="M740" s="232">
        <v>38617.910000000003</v>
      </c>
      <c r="N740" s="35">
        <v>7.3938852270623912</v>
      </c>
      <c r="P740" s="232">
        <v>-28.9</v>
      </c>
      <c r="Q740" s="35">
        <v>1.2758655161168697E-2</v>
      </c>
      <c r="R740" s="232">
        <v>714.65</v>
      </c>
      <c r="S740" s="35">
        <v>1.1334905647577775</v>
      </c>
      <c r="T740" s="232">
        <v>25829.14</v>
      </c>
      <c r="U740" s="35">
        <v>1.0911961377226032</v>
      </c>
      <c r="W740" s="35">
        <f t="shared" si="73"/>
        <v>666.83275805843482</v>
      </c>
      <c r="X740" s="35">
        <f t="shared" si="74"/>
        <v>55959.878237888879</v>
      </c>
      <c r="Y740" s="35">
        <f t="shared" si="75"/>
        <v>28730.666886130159</v>
      </c>
      <c r="Z740" s="35">
        <f t="shared" si="76"/>
        <v>0</v>
      </c>
      <c r="AA740" s="35">
        <f t="shared" si="77"/>
        <v>1</v>
      </c>
      <c r="AB740" s="35">
        <f t="shared" si="78"/>
        <v>0</v>
      </c>
    </row>
    <row r="741" spans="1:28">
      <c r="A741" s="35">
        <v>730</v>
      </c>
      <c r="B741" s="35">
        <v>4.3926895011502527E-4</v>
      </c>
      <c r="C741" s="232">
        <v>62.25</v>
      </c>
      <c r="D741" s="35">
        <v>5.0627851252648304</v>
      </c>
      <c r="E741" s="232">
        <v>41.46</v>
      </c>
      <c r="F741" s="35">
        <v>5.0530176338283814</v>
      </c>
      <c r="G741" s="232">
        <v>10810.7</v>
      </c>
      <c r="H741" s="35">
        <v>9.2908954074272128</v>
      </c>
      <c r="I741" s="232">
        <v>12439.59</v>
      </c>
      <c r="J741" s="35">
        <v>8.7989388267239104</v>
      </c>
      <c r="K741" s="232">
        <v>14575.14</v>
      </c>
      <c r="L741" s="35">
        <v>8.6795773493947674</v>
      </c>
      <c r="M741" s="232">
        <v>40664.94</v>
      </c>
      <c r="N741" s="35">
        <v>7.5252166445598743</v>
      </c>
      <c r="P741" s="232">
        <v>-20.79</v>
      </c>
      <c r="Q741" s="35">
        <v>9.7674914364489496E-3</v>
      </c>
      <c r="R741" s="232">
        <v>1628.89</v>
      </c>
      <c r="S741" s="35">
        <v>0.49195658070330239</v>
      </c>
      <c r="T741" s="232">
        <v>26089.8</v>
      </c>
      <c r="U741" s="35">
        <v>1.1543607048348932</v>
      </c>
      <c r="W741" s="35">
        <f t="shared" si="73"/>
        <v>509.1645718224475</v>
      </c>
      <c r="X741" s="35">
        <f t="shared" si="74"/>
        <v>22968.93903516512</v>
      </c>
      <c r="Y741" s="35">
        <f t="shared" si="75"/>
        <v>31628.235241744656</v>
      </c>
      <c r="Z741" s="35">
        <f t="shared" si="76"/>
        <v>0</v>
      </c>
      <c r="AA741" s="35">
        <f t="shared" si="77"/>
        <v>0</v>
      </c>
      <c r="AB741" s="35">
        <f t="shared" si="78"/>
        <v>1</v>
      </c>
    </row>
    <row r="742" spans="1:28">
      <c r="A742" s="35">
        <v>731</v>
      </c>
      <c r="B742" s="35">
        <v>4.3148306433204742E-4</v>
      </c>
      <c r="C742" s="232">
        <v>73.069999999999993</v>
      </c>
      <c r="D742" s="35">
        <v>5.0602861479180046</v>
      </c>
      <c r="E742" s="232">
        <v>44.07</v>
      </c>
      <c r="F742" s="35">
        <v>5.0502890566080456</v>
      </c>
      <c r="G742" s="232">
        <v>12562.87</v>
      </c>
      <c r="H742" s="35">
        <v>8.477563248489842</v>
      </c>
      <c r="I742" s="232">
        <v>13942.07</v>
      </c>
      <c r="J742" s="35">
        <v>7.9205239143065596</v>
      </c>
      <c r="K742" s="232">
        <v>18420</v>
      </c>
      <c r="L742" s="35">
        <v>9.0528128020814513</v>
      </c>
      <c r="M742" s="232">
        <v>44636.57</v>
      </c>
      <c r="N742" s="35">
        <v>7.9458602319752858</v>
      </c>
      <c r="P742" s="232">
        <v>-29</v>
      </c>
      <c r="Q742" s="35">
        <v>9.9970913099589609E-3</v>
      </c>
      <c r="R742" s="232">
        <v>1379.2</v>
      </c>
      <c r="S742" s="35">
        <v>0.55703933418328244</v>
      </c>
      <c r="T742" s="232">
        <v>26216.57</v>
      </c>
      <c r="U742" s="35">
        <v>1.1069525701061655</v>
      </c>
      <c r="W742" s="35">
        <f t="shared" si="73"/>
        <v>528.85456549794799</v>
      </c>
      <c r="X742" s="35">
        <f t="shared" si="74"/>
        <v>26472.76670916412</v>
      </c>
      <c r="Y742" s="35">
        <f t="shared" si="75"/>
        <v>29131.058505308276</v>
      </c>
      <c r="Z742" s="35">
        <f t="shared" si="76"/>
        <v>0</v>
      </c>
      <c r="AA742" s="35">
        <f t="shared" si="77"/>
        <v>0</v>
      </c>
      <c r="AB742" s="35">
        <f t="shared" si="78"/>
        <v>1</v>
      </c>
    </row>
    <row r="743" spans="1:28">
      <c r="A743" s="35">
        <v>732</v>
      </c>
      <c r="B743" s="35">
        <v>4.3899672779951037E-4</v>
      </c>
      <c r="C743" s="232">
        <v>44.61</v>
      </c>
      <c r="D743" s="35">
        <v>5.0614970556719401</v>
      </c>
      <c r="E743" s="232">
        <v>32.51</v>
      </c>
      <c r="F743" s="35">
        <v>5.0531703100102199</v>
      </c>
      <c r="G743" s="232">
        <v>7712.6</v>
      </c>
      <c r="H743" s="35">
        <v>8.6204812419239634</v>
      </c>
      <c r="I743" s="232">
        <v>8877.02</v>
      </c>
      <c r="J743" s="35">
        <v>6.8196228648680801</v>
      </c>
      <c r="K743" s="232">
        <v>9449.8799999999992</v>
      </c>
      <c r="L743" s="35">
        <v>9.004797224385376</v>
      </c>
      <c r="M743" s="232">
        <v>35305.79</v>
      </c>
      <c r="N743" s="35">
        <v>7.8160049414392665</v>
      </c>
      <c r="P743" s="232">
        <v>-12.09</v>
      </c>
      <c r="Q743" s="35">
        <v>8.3267456617202029E-3</v>
      </c>
      <c r="R743" s="232">
        <v>1164.42</v>
      </c>
      <c r="S743" s="35">
        <v>1.8008583770558833</v>
      </c>
      <c r="T743" s="232">
        <v>25855.9</v>
      </c>
      <c r="U743" s="35">
        <v>1.1887922829461095</v>
      </c>
      <c r="W743" s="35">
        <f t="shared" si="73"/>
        <v>428.42728308601011</v>
      </c>
      <c r="X743" s="35">
        <f t="shared" si="74"/>
        <v>88878.49885279416</v>
      </c>
      <c r="Y743" s="35">
        <f t="shared" si="75"/>
        <v>33583.714147305473</v>
      </c>
      <c r="Z743" s="35">
        <f t="shared" si="76"/>
        <v>0</v>
      </c>
      <c r="AA743" s="35">
        <f t="shared" si="77"/>
        <v>1</v>
      </c>
      <c r="AB743" s="35">
        <f t="shared" si="78"/>
        <v>0</v>
      </c>
    </row>
    <row r="744" spans="1:28">
      <c r="A744" s="35">
        <v>733</v>
      </c>
      <c r="B744" s="35">
        <v>4.1274180745462069E-4</v>
      </c>
      <c r="C744" s="232">
        <v>85.89</v>
      </c>
      <c r="D744" s="35">
        <v>5.057781122684573</v>
      </c>
      <c r="E744" s="232">
        <v>49.95</v>
      </c>
      <c r="F744" s="35">
        <v>5.0486233162968457</v>
      </c>
      <c r="G744" s="232">
        <v>15341.71</v>
      </c>
      <c r="H744" s="35">
        <v>8.4638964454433427</v>
      </c>
      <c r="I744" s="232">
        <v>13133.72</v>
      </c>
      <c r="J744" s="35">
        <v>6.9075896987366825</v>
      </c>
      <c r="K744" s="232">
        <v>24440.81</v>
      </c>
      <c r="L744" s="35">
        <v>8.1835784846435367</v>
      </c>
      <c r="M744" s="232">
        <v>50890.79</v>
      </c>
      <c r="N744" s="35">
        <v>7.1520376847771541</v>
      </c>
      <c r="P744" s="232">
        <v>-35.94</v>
      </c>
      <c r="Q744" s="35">
        <v>9.1578063877273408E-3</v>
      </c>
      <c r="R744" s="232">
        <v>-2207.9899999999998</v>
      </c>
      <c r="S744" s="35">
        <v>1.5563067467066602</v>
      </c>
      <c r="T744" s="232">
        <v>26449.98</v>
      </c>
      <c r="U744" s="35">
        <v>1.0315407998663826</v>
      </c>
      <c r="W744" s="35">
        <f t="shared" si="73"/>
        <v>493.83031938636702</v>
      </c>
      <c r="X744" s="35">
        <f t="shared" si="74"/>
        <v>80023.327335333015</v>
      </c>
      <c r="Y744" s="35">
        <f t="shared" si="75"/>
        <v>25127.05999331913</v>
      </c>
      <c r="Z744" s="35">
        <f t="shared" si="76"/>
        <v>0</v>
      </c>
      <c r="AA744" s="35">
        <f t="shared" si="77"/>
        <v>1</v>
      </c>
      <c r="AB744" s="35">
        <f t="shared" si="78"/>
        <v>0</v>
      </c>
    </row>
    <row r="745" spans="1:28">
      <c r="A745" s="35">
        <v>734</v>
      </c>
      <c r="B745" s="35">
        <v>5.2339608478557675E-4</v>
      </c>
      <c r="C745" s="232">
        <v>74.489999999999995</v>
      </c>
      <c r="D745" s="35">
        <v>5.0635028647449651</v>
      </c>
      <c r="E745" s="232">
        <v>41.33</v>
      </c>
      <c r="F745" s="35">
        <v>5.0508563550991878</v>
      </c>
      <c r="G745" s="232">
        <v>10642.89</v>
      </c>
      <c r="H745" s="35">
        <v>8.2654792256728467</v>
      </c>
      <c r="I745" s="232">
        <v>11330.65</v>
      </c>
      <c r="J745" s="35">
        <v>7.0040626296482413</v>
      </c>
      <c r="K745" s="232">
        <v>14715.17</v>
      </c>
      <c r="L745" s="35">
        <v>8.7589100356369833</v>
      </c>
      <c r="M745" s="232">
        <v>40808.43</v>
      </c>
      <c r="N745" s="35">
        <v>7.6994200363440912</v>
      </c>
      <c r="P745" s="232">
        <v>-33.159999999999997</v>
      </c>
      <c r="Q745" s="35">
        <v>1.2646509645777293E-2</v>
      </c>
      <c r="R745" s="232">
        <v>687.76</v>
      </c>
      <c r="S745" s="35">
        <v>1.2614165960246053</v>
      </c>
      <c r="T745" s="232">
        <v>26093.26</v>
      </c>
      <c r="U745" s="35">
        <v>1.0594899992928921</v>
      </c>
      <c r="W745" s="35">
        <f t="shared" si="73"/>
        <v>665.48548228886466</v>
      </c>
      <c r="X745" s="35">
        <f t="shared" si="74"/>
        <v>62383.069801230267</v>
      </c>
      <c r="Y745" s="35">
        <f t="shared" si="75"/>
        <v>26881.23996464461</v>
      </c>
      <c r="Z745" s="35">
        <f t="shared" si="76"/>
        <v>0</v>
      </c>
      <c r="AA745" s="35">
        <f t="shared" si="77"/>
        <v>1</v>
      </c>
      <c r="AB745" s="35">
        <f t="shared" si="78"/>
        <v>0</v>
      </c>
    </row>
    <row r="746" spans="1:28">
      <c r="A746" s="35">
        <v>735</v>
      </c>
      <c r="B746" s="35">
        <v>4.0471929030633518E-4</v>
      </c>
      <c r="C746" s="232">
        <v>53.57</v>
      </c>
      <c r="D746" s="35">
        <v>5.0587006671461463</v>
      </c>
      <c r="E746" s="232">
        <v>32.99</v>
      </c>
      <c r="F746" s="35">
        <v>5.0492968841522776</v>
      </c>
      <c r="G746" s="232">
        <v>10301.84</v>
      </c>
      <c r="H746" s="35">
        <v>8.7592007553929037</v>
      </c>
      <c r="I746" s="232">
        <v>11538.94</v>
      </c>
      <c r="J746" s="35">
        <v>7.5654686550910144</v>
      </c>
      <c r="K746" s="232">
        <v>12383.52</v>
      </c>
      <c r="L746" s="35">
        <v>8.5215128317162065</v>
      </c>
      <c r="M746" s="232">
        <v>38457.03</v>
      </c>
      <c r="N746" s="35">
        <v>7.4761619186931476</v>
      </c>
      <c r="P746" s="232">
        <v>-20.58</v>
      </c>
      <c r="Q746" s="35">
        <v>9.4037829938686812E-3</v>
      </c>
      <c r="R746" s="232">
        <v>1237.1099999999999</v>
      </c>
      <c r="S746" s="35">
        <v>1.1937321003018893</v>
      </c>
      <c r="T746" s="232">
        <v>26073.51</v>
      </c>
      <c r="U746" s="35">
        <v>1.0453509130230589</v>
      </c>
      <c r="W746" s="35">
        <f t="shared" si="73"/>
        <v>490.76914969343403</v>
      </c>
      <c r="X746" s="35">
        <f t="shared" si="74"/>
        <v>58449.495015094464</v>
      </c>
      <c r="Y746" s="35">
        <f t="shared" si="75"/>
        <v>26194.03565115295</v>
      </c>
      <c r="Z746" s="35">
        <f t="shared" si="76"/>
        <v>0</v>
      </c>
      <c r="AA746" s="35">
        <f t="shared" si="77"/>
        <v>1</v>
      </c>
      <c r="AB746" s="35">
        <f t="shared" si="78"/>
        <v>0</v>
      </c>
    </row>
    <row r="747" spans="1:28">
      <c r="A747" s="35">
        <v>736</v>
      </c>
      <c r="B747" s="35">
        <v>4.8815467150542524E-4</v>
      </c>
      <c r="C747" s="232">
        <v>76.61</v>
      </c>
      <c r="D747" s="35">
        <v>5.0673651298192022</v>
      </c>
      <c r="E747" s="232">
        <v>48.5</v>
      </c>
      <c r="F747" s="35">
        <v>5.0551506640503669</v>
      </c>
      <c r="G747" s="232">
        <v>12031.52</v>
      </c>
      <c r="H747" s="35">
        <v>9.6311715081759015</v>
      </c>
      <c r="I747" s="232">
        <v>13216.48</v>
      </c>
      <c r="J747" s="35">
        <v>8.7918132886861589</v>
      </c>
      <c r="K747" s="232">
        <v>15735.13</v>
      </c>
      <c r="L747" s="35">
        <v>9.08055820449629</v>
      </c>
      <c r="M747" s="232">
        <v>41881.910000000003</v>
      </c>
      <c r="N747" s="35">
        <v>7.9806501421145111</v>
      </c>
      <c r="P747" s="232">
        <v>-28.12</v>
      </c>
      <c r="Q747" s="35">
        <v>1.2214465768835225E-2</v>
      </c>
      <c r="R747" s="232">
        <v>1184.95</v>
      </c>
      <c r="S747" s="35">
        <v>0.83935821948974265</v>
      </c>
      <c r="T747" s="232">
        <v>26146.78</v>
      </c>
      <c r="U747" s="35">
        <v>1.099908062381779</v>
      </c>
      <c r="W747" s="35">
        <f t="shared" si="73"/>
        <v>638.84328844176127</v>
      </c>
      <c r="X747" s="35">
        <f t="shared" si="74"/>
        <v>40782.960974487134</v>
      </c>
      <c r="Y747" s="35">
        <f t="shared" si="75"/>
        <v>28848.623119088952</v>
      </c>
      <c r="Z747" s="35">
        <f t="shared" si="76"/>
        <v>0</v>
      </c>
      <c r="AA747" s="35">
        <f t="shared" si="77"/>
        <v>1</v>
      </c>
      <c r="AB747" s="35">
        <f t="shared" si="78"/>
        <v>0</v>
      </c>
    </row>
    <row r="748" spans="1:28">
      <c r="A748" s="35">
        <v>737</v>
      </c>
      <c r="B748" s="35">
        <v>5.4390195207454362E-4</v>
      </c>
      <c r="C748" s="232">
        <v>86.08</v>
      </c>
      <c r="D748" s="35">
        <v>5.0695175803523593</v>
      </c>
      <c r="E748" s="232">
        <v>56.22</v>
      </c>
      <c r="F748" s="35">
        <v>5.0572128488753112</v>
      </c>
      <c r="G748" s="232">
        <v>12004.58</v>
      </c>
      <c r="H748" s="35">
        <v>9.4409683917291982</v>
      </c>
      <c r="I748" s="232">
        <v>12088.17</v>
      </c>
      <c r="J748" s="35">
        <v>7.7198900483398729</v>
      </c>
      <c r="K748" s="232">
        <v>14947.31</v>
      </c>
      <c r="L748" s="35">
        <v>8.6310173562835537</v>
      </c>
      <c r="M748" s="232">
        <v>41088.589999999997</v>
      </c>
      <c r="N748" s="35">
        <v>7.4916377496154452</v>
      </c>
      <c r="P748" s="232">
        <v>-29.86</v>
      </c>
      <c r="Q748" s="35">
        <v>1.2304731477048136E-2</v>
      </c>
      <c r="R748" s="232">
        <v>83.59</v>
      </c>
      <c r="S748" s="35">
        <v>1.7210783433893253</v>
      </c>
      <c r="T748" s="232">
        <v>26141.279999999999</v>
      </c>
      <c r="U748" s="35">
        <v>1.1393796066681086</v>
      </c>
      <c r="W748" s="35">
        <f t="shared" si="73"/>
        <v>645.09657385240678</v>
      </c>
      <c r="X748" s="35">
        <f t="shared" si="74"/>
        <v>85970.327169466269</v>
      </c>
      <c r="Y748" s="35">
        <f t="shared" si="75"/>
        <v>30827.700333405432</v>
      </c>
      <c r="Z748" s="35">
        <f t="shared" si="76"/>
        <v>0</v>
      </c>
      <c r="AA748" s="35">
        <f t="shared" si="77"/>
        <v>1</v>
      </c>
      <c r="AB748" s="35">
        <f t="shared" si="78"/>
        <v>0</v>
      </c>
    </row>
    <row r="749" spans="1:28">
      <c r="A749" s="35">
        <v>738</v>
      </c>
      <c r="B749" s="35">
        <v>3.0552602233886072E-4</v>
      </c>
      <c r="C749" s="232">
        <v>47.01</v>
      </c>
      <c r="D749" s="35">
        <v>5.0547618861930603</v>
      </c>
      <c r="E749" s="232">
        <v>33.82</v>
      </c>
      <c r="F749" s="35">
        <v>5.048724244095995</v>
      </c>
      <c r="G749" s="232">
        <v>11584.26</v>
      </c>
      <c r="H749" s="35">
        <v>9.1695271421591755</v>
      </c>
      <c r="I749" s="232">
        <v>12653.68</v>
      </c>
      <c r="J749" s="35">
        <v>8.3611445462261713</v>
      </c>
      <c r="K749" s="232">
        <v>15705.48</v>
      </c>
      <c r="L749" s="35">
        <v>8.4778560966598295</v>
      </c>
      <c r="M749" s="232">
        <v>41979.07</v>
      </c>
      <c r="N749" s="35">
        <v>7.4319616018514196</v>
      </c>
      <c r="P749" s="232">
        <v>-13.19</v>
      </c>
      <c r="Q749" s="35">
        <v>6.0376420970653655E-3</v>
      </c>
      <c r="R749" s="232">
        <v>1069.42</v>
      </c>
      <c r="S749" s="35">
        <v>0.80838259593300421</v>
      </c>
      <c r="T749" s="232">
        <v>26273.599999999999</v>
      </c>
      <c r="U749" s="35">
        <v>1.0458944948084099</v>
      </c>
      <c r="W749" s="35">
        <f t="shared" si="73"/>
        <v>315.07210485326829</v>
      </c>
      <c r="X749" s="35">
        <f t="shared" si="74"/>
        <v>39349.709796650212</v>
      </c>
      <c r="Y749" s="35">
        <f t="shared" si="75"/>
        <v>26021.124740420499</v>
      </c>
      <c r="Z749" s="35">
        <f t="shared" si="76"/>
        <v>0</v>
      </c>
      <c r="AA749" s="35">
        <f t="shared" si="77"/>
        <v>1</v>
      </c>
      <c r="AB749" s="35">
        <f t="shared" si="78"/>
        <v>0</v>
      </c>
    </row>
    <row r="750" spans="1:28">
      <c r="A750" s="35">
        <v>739</v>
      </c>
      <c r="B750" s="35">
        <v>6.9613243434363259E-4</v>
      </c>
      <c r="C750" s="232">
        <v>117.66</v>
      </c>
      <c r="D750" s="35">
        <v>5.0754427738759595</v>
      </c>
      <c r="E750" s="232">
        <v>69.42</v>
      </c>
      <c r="F750" s="35">
        <v>5.0588879350137255</v>
      </c>
      <c r="G750" s="232">
        <v>13352.63</v>
      </c>
      <c r="H750" s="35">
        <v>8.9456129774948554</v>
      </c>
      <c r="I750" s="232">
        <v>14589.57</v>
      </c>
      <c r="J750" s="35">
        <v>7.4732646547032129</v>
      </c>
      <c r="K750" s="232">
        <v>14601.21</v>
      </c>
      <c r="L750" s="35">
        <v>8.7683657022051147</v>
      </c>
      <c r="M750" s="232">
        <v>40693.769999999997</v>
      </c>
      <c r="N750" s="35">
        <v>7.6711581240242097</v>
      </c>
      <c r="P750" s="232">
        <v>-48.24</v>
      </c>
      <c r="Q750" s="35">
        <v>1.6554838862234078E-2</v>
      </c>
      <c r="R750" s="232">
        <v>1236.93</v>
      </c>
      <c r="S750" s="35">
        <v>1.4723483227916425</v>
      </c>
      <c r="T750" s="232">
        <v>26092.560000000001</v>
      </c>
      <c r="U750" s="35">
        <v>1.097207578180905</v>
      </c>
      <c r="W750" s="35">
        <f t="shared" si="73"/>
        <v>875.98194311170391</v>
      </c>
      <c r="X750" s="35">
        <f t="shared" si="74"/>
        <v>72380.486139582135</v>
      </c>
      <c r="Y750" s="35">
        <f t="shared" si="75"/>
        <v>28767.818909045247</v>
      </c>
      <c r="Z750" s="35">
        <f t="shared" si="76"/>
        <v>0</v>
      </c>
      <c r="AA750" s="35">
        <f t="shared" si="77"/>
        <v>1</v>
      </c>
      <c r="AB750" s="35">
        <f t="shared" si="78"/>
        <v>0</v>
      </c>
    </row>
    <row r="751" spans="1:28">
      <c r="A751" s="35">
        <v>740</v>
      </c>
      <c r="B751" s="35">
        <v>5.0642264862710284E-4</v>
      </c>
      <c r="C751" s="232">
        <v>71.540000000000006</v>
      </c>
      <c r="D751" s="35">
        <v>5.0660400343759795</v>
      </c>
      <c r="E751" s="232">
        <v>40.81</v>
      </c>
      <c r="F751" s="35">
        <v>5.0525218007314923</v>
      </c>
      <c r="G751" s="232">
        <v>10800.43</v>
      </c>
      <c r="H751" s="35">
        <v>9.1471266618245863</v>
      </c>
      <c r="I751" s="232">
        <v>11367.74</v>
      </c>
      <c r="J751" s="35">
        <v>7.4844767882501424</v>
      </c>
      <c r="K751" s="232">
        <v>13334.45</v>
      </c>
      <c r="L751" s="35">
        <v>8.7788635734723659</v>
      </c>
      <c r="M751" s="232">
        <v>39553.589999999997</v>
      </c>
      <c r="N751" s="35">
        <v>7.5637570027735457</v>
      </c>
      <c r="P751" s="232">
        <v>-30.73</v>
      </c>
      <c r="Q751" s="35">
        <v>1.3518233644487232E-2</v>
      </c>
      <c r="R751" s="232">
        <v>567.30999999999995</v>
      </c>
      <c r="S751" s="35">
        <v>1.6626498735744439</v>
      </c>
      <c r="T751" s="232">
        <v>26219.13</v>
      </c>
      <c r="U751" s="35">
        <v>1.2151065706988202</v>
      </c>
      <c r="W751" s="35">
        <f t="shared" si="73"/>
        <v>706.6416822243616</v>
      </c>
      <c r="X751" s="35">
        <f t="shared" si="74"/>
        <v>82565.183678722198</v>
      </c>
      <c r="Y751" s="35">
        <f t="shared" si="75"/>
        <v>34536.19853494101</v>
      </c>
      <c r="Z751" s="35">
        <f t="shared" si="76"/>
        <v>0</v>
      </c>
      <c r="AA751" s="35">
        <f t="shared" si="77"/>
        <v>1</v>
      </c>
      <c r="AB751" s="35">
        <f t="shared" si="78"/>
        <v>0</v>
      </c>
    </row>
    <row r="752" spans="1:28">
      <c r="A752" s="35">
        <v>741</v>
      </c>
      <c r="B752" s="35">
        <v>4.2435507013957775E-4</v>
      </c>
      <c r="C752" s="232">
        <v>66.55</v>
      </c>
      <c r="D752" s="35">
        <v>5.0605081931341704</v>
      </c>
      <c r="E752" s="232">
        <v>41.93</v>
      </c>
      <c r="F752" s="35">
        <v>5.0509087994128539</v>
      </c>
      <c r="G752" s="232">
        <v>11990.35</v>
      </c>
      <c r="H752" s="35">
        <v>8.8953808665071001</v>
      </c>
      <c r="I752" s="232">
        <v>11508.26</v>
      </c>
      <c r="J752" s="35">
        <v>6.9597050986265643</v>
      </c>
      <c r="K752" s="232">
        <v>16306.68</v>
      </c>
      <c r="L752" s="35">
        <v>8.6370294611975158</v>
      </c>
      <c r="M752" s="232">
        <v>42516.97</v>
      </c>
      <c r="N752" s="35">
        <v>7.5306600776571626</v>
      </c>
      <c r="P752" s="232">
        <v>-24.62</v>
      </c>
      <c r="Q752" s="35">
        <v>9.5993937213165736E-3</v>
      </c>
      <c r="R752" s="232">
        <v>-482.09</v>
      </c>
      <c r="S752" s="35">
        <v>1.9356757678805359</v>
      </c>
      <c r="T752" s="232">
        <v>26210.28</v>
      </c>
      <c r="U752" s="35">
        <v>1.1063693835403532</v>
      </c>
      <c r="W752" s="35">
        <f t="shared" si="73"/>
        <v>504.58968606582869</v>
      </c>
      <c r="X752" s="35">
        <f t="shared" si="74"/>
        <v>97265.878394026789</v>
      </c>
      <c r="Y752" s="35">
        <f t="shared" si="75"/>
        <v>29108.189177017659</v>
      </c>
      <c r="Z752" s="35">
        <f t="shared" si="76"/>
        <v>0</v>
      </c>
      <c r="AA752" s="35">
        <f t="shared" si="77"/>
        <v>1</v>
      </c>
      <c r="AB752" s="35">
        <f t="shared" si="78"/>
        <v>0</v>
      </c>
    </row>
    <row r="753" spans="1:28">
      <c r="A753" s="35">
        <v>742</v>
      </c>
      <c r="B753" s="35">
        <v>5.0317670877841891E-4</v>
      </c>
      <c r="C753" s="232">
        <v>63.18</v>
      </c>
      <c r="D753" s="35">
        <v>5.0639426616627121</v>
      </c>
      <c r="E753" s="232">
        <v>37.72</v>
      </c>
      <c r="F753" s="35">
        <v>5.0519480325788599</v>
      </c>
      <c r="G753" s="232">
        <v>10109.790000000001</v>
      </c>
      <c r="H753" s="35">
        <v>8.7609207623186354</v>
      </c>
      <c r="I753" s="232">
        <v>11358.32</v>
      </c>
      <c r="J753" s="35">
        <v>7.12841534214928</v>
      </c>
      <c r="K753" s="232">
        <v>11962.64</v>
      </c>
      <c r="L753" s="35">
        <v>8.4918253295925812</v>
      </c>
      <c r="M753" s="232">
        <v>37884.300000000003</v>
      </c>
      <c r="N753" s="35">
        <v>7.3654530408966812</v>
      </c>
      <c r="P753" s="232">
        <v>-25.46</v>
      </c>
      <c r="Q753" s="35">
        <v>1.1994629083852182E-2</v>
      </c>
      <c r="R753" s="232">
        <v>1248.53</v>
      </c>
      <c r="S753" s="35">
        <v>1.6325054201693554</v>
      </c>
      <c r="T753" s="232">
        <v>25921.66</v>
      </c>
      <c r="U753" s="35">
        <v>1.1263722886959</v>
      </c>
      <c r="W753" s="35">
        <f t="shared" si="73"/>
        <v>625.19145419260917</v>
      </c>
      <c r="X753" s="35">
        <f t="shared" si="74"/>
        <v>80376.741008467769</v>
      </c>
      <c r="Y753" s="35">
        <f t="shared" si="75"/>
        <v>30396.954434795003</v>
      </c>
      <c r="Z753" s="35">
        <f t="shared" si="76"/>
        <v>0</v>
      </c>
      <c r="AA753" s="35">
        <f t="shared" si="77"/>
        <v>1</v>
      </c>
      <c r="AB753" s="35">
        <f t="shared" si="78"/>
        <v>0</v>
      </c>
    </row>
    <row r="754" spans="1:28">
      <c r="A754" s="35">
        <v>743</v>
      </c>
      <c r="B754" s="35">
        <v>5.2346995032115373E-4</v>
      </c>
      <c r="C754" s="232">
        <v>97.41</v>
      </c>
      <c r="D754" s="35">
        <v>5.0642875763609609</v>
      </c>
      <c r="E754" s="232">
        <v>53.13</v>
      </c>
      <c r="F754" s="35">
        <v>5.0513094830891552</v>
      </c>
      <c r="G754" s="232">
        <v>14978.41</v>
      </c>
      <c r="H754" s="35">
        <v>8.7100532521392946</v>
      </c>
      <c r="I754" s="232">
        <v>16839.2</v>
      </c>
      <c r="J754" s="35">
        <v>8.3928302378758577</v>
      </c>
      <c r="K754" s="232">
        <v>19308.09</v>
      </c>
      <c r="L754" s="35">
        <v>8.4396709343854805</v>
      </c>
      <c r="M754" s="232">
        <v>45537.48</v>
      </c>
      <c r="N754" s="35">
        <v>7.3695150913950513</v>
      </c>
      <c r="P754" s="232">
        <v>-44.28</v>
      </c>
      <c r="Q754" s="35">
        <v>1.2978093271805768E-2</v>
      </c>
      <c r="R754" s="232">
        <v>1860.79</v>
      </c>
      <c r="S754" s="35">
        <v>0.31722301426343691</v>
      </c>
      <c r="T754" s="232">
        <v>26229.39</v>
      </c>
      <c r="U754" s="35">
        <v>1.0701558429904292</v>
      </c>
      <c r="W754" s="35">
        <f t="shared" si="73"/>
        <v>693.18466359028844</v>
      </c>
      <c r="X754" s="35">
        <f t="shared" si="74"/>
        <v>14000.360713171845</v>
      </c>
      <c r="Y754" s="35">
        <f t="shared" si="75"/>
        <v>27278.402149521462</v>
      </c>
      <c r="Z754" s="35">
        <f t="shared" si="76"/>
        <v>0</v>
      </c>
      <c r="AA754" s="35">
        <f t="shared" si="77"/>
        <v>0</v>
      </c>
      <c r="AB754" s="35">
        <f t="shared" si="78"/>
        <v>1</v>
      </c>
    </row>
    <row r="755" spans="1:28">
      <c r="A755" s="35">
        <v>744</v>
      </c>
      <c r="B755" s="35">
        <v>5.1312783467372114E-4</v>
      </c>
      <c r="C755" s="232">
        <v>81.209999999999994</v>
      </c>
      <c r="D755" s="35">
        <v>5.0641194201814557</v>
      </c>
      <c r="E755" s="232">
        <v>57.39</v>
      </c>
      <c r="F755" s="35">
        <v>5.055254893605527</v>
      </c>
      <c r="G755" s="232">
        <v>11494.56</v>
      </c>
      <c r="H755" s="35">
        <v>8.5685820125780996</v>
      </c>
      <c r="I755" s="232">
        <v>11705.18</v>
      </c>
      <c r="J755" s="35">
        <v>7.4028581686854116</v>
      </c>
      <c r="K755" s="232">
        <v>17078.13</v>
      </c>
      <c r="L755" s="35">
        <v>8.4819599668949355</v>
      </c>
      <c r="M755" s="232">
        <v>43230.14</v>
      </c>
      <c r="N755" s="35">
        <v>7.4439839869329765</v>
      </c>
      <c r="P755" s="232">
        <v>-23.81</v>
      </c>
      <c r="Q755" s="35">
        <v>8.8645265759286218E-3</v>
      </c>
      <c r="R755" s="232">
        <v>210.62</v>
      </c>
      <c r="S755" s="35">
        <v>1.165723843892688</v>
      </c>
      <c r="T755" s="232">
        <v>26152.01</v>
      </c>
      <c r="U755" s="35">
        <v>1.037975979961959</v>
      </c>
      <c r="W755" s="35">
        <f t="shared" si="73"/>
        <v>467.03632879643106</v>
      </c>
      <c r="X755" s="35">
        <f t="shared" si="74"/>
        <v>58075.572194634398</v>
      </c>
      <c r="Y755" s="35">
        <f t="shared" si="75"/>
        <v>25746.788998097949</v>
      </c>
      <c r="Z755" s="35">
        <f t="shared" si="76"/>
        <v>0</v>
      </c>
      <c r="AA755" s="35">
        <f t="shared" si="77"/>
        <v>1</v>
      </c>
      <c r="AB755" s="35">
        <f t="shared" si="78"/>
        <v>0</v>
      </c>
    </row>
    <row r="756" spans="1:28">
      <c r="A756" s="35">
        <v>745</v>
      </c>
      <c r="B756" s="35">
        <v>4.33397038188494E-4</v>
      </c>
      <c r="C756" s="232">
        <v>62.69</v>
      </c>
      <c r="D756" s="35">
        <v>5.0623408378358148</v>
      </c>
      <c r="E756" s="232">
        <v>42.86</v>
      </c>
      <c r="F756" s="35">
        <v>5.0531915134831369</v>
      </c>
      <c r="G756" s="232">
        <v>11107.75</v>
      </c>
      <c r="H756" s="35">
        <v>9.0783471882939271</v>
      </c>
      <c r="I756" s="232">
        <v>11979.38</v>
      </c>
      <c r="J756" s="35">
        <v>7.6717275076798499</v>
      </c>
      <c r="K756" s="232">
        <v>14033.91</v>
      </c>
      <c r="L756" s="35">
        <v>8.8375274404341937</v>
      </c>
      <c r="M756" s="232">
        <v>39940.339999999997</v>
      </c>
      <c r="N756" s="35">
        <v>7.7090251720553269</v>
      </c>
      <c r="P756" s="232">
        <v>-19.82</v>
      </c>
      <c r="Q756" s="35">
        <v>9.1493243526779011E-3</v>
      </c>
      <c r="R756" s="232">
        <v>871.63</v>
      </c>
      <c r="S756" s="35">
        <v>1.4066196806140772</v>
      </c>
      <c r="T756" s="232">
        <v>25906.43</v>
      </c>
      <c r="U756" s="35">
        <v>1.1285022683788668</v>
      </c>
      <c r="W756" s="35">
        <f t="shared" si="73"/>
        <v>477.28621763389503</v>
      </c>
      <c r="X756" s="35">
        <f t="shared" si="74"/>
        <v>69459.354030703849</v>
      </c>
      <c r="Y756" s="35">
        <f t="shared" si="75"/>
        <v>30518.683418943343</v>
      </c>
      <c r="Z756" s="35">
        <f t="shared" si="76"/>
        <v>0</v>
      </c>
      <c r="AA756" s="35">
        <f t="shared" si="77"/>
        <v>1</v>
      </c>
      <c r="AB756" s="35">
        <f t="shared" si="78"/>
        <v>0</v>
      </c>
    </row>
    <row r="757" spans="1:28">
      <c r="A757" s="35">
        <v>746</v>
      </c>
      <c r="B757" s="35">
        <v>4.7734493387763255E-4</v>
      </c>
      <c r="C757" s="232">
        <v>68.45</v>
      </c>
      <c r="D757" s="35">
        <v>5.0643744933145758</v>
      </c>
      <c r="E757" s="232">
        <v>41.5</v>
      </c>
      <c r="F757" s="35">
        <v>5.0525428959029286</v>
      </c>
      <c r="G757" s="232">
        <v>11115.49</v>
      </c>
      <c r="H757" s="35">
        <v>9.240048673530513</v>
      </c>
      <c r="I757" s="232">
        <v>12191.38</v>
      </c>
      <c r="J757" s="35">
        <v>7.8872221127427</v>
      </c>
      <c r="K757" s="232">
        <v>12607.3</v>
      </c>
      <c r="L757" s="35">
        <v>8.8196889884609195</v>
      </c>
      <c r="M757" s="232">
        <v>38571.06</v>
      </c>
      <c r="N757" s="35">
        <v>7.7994466741433657</v>
      </c>
      <c r="P757" s="232">
        <v>-26.95</v>
      </c>
      <c r="Q757" s="35">
        <v>1.1831597411647188E-2</v>
      </c>
      <c r="R757" s="232">
        <v>1075.8900000000001</v>
      </c>
      <c r="S757" s="35">
        <v>1.3528265607878129</v>
      </c>
      <c r="T757" s="232">
        <v>25963.75</v>
      </c>
      <c r="U757" s="35">
        <v>1.0202423143175539</v>
      </c>
      <c r="W757" s="35">
        <f t="shared" si="73"/>
        <v>618.52987058235942</v>
      </c>
      <c r="X757" s="35">
        <f t="shared" si="74"/>
        <v>66565.438039390647</v>
      </c>
      <c r="Y757" s="35">
        <f t="shared" si="75"/>
        <v>25048.365715877691</v>
      </c>
      <c r="Z757" s="35">
        <f t="shared" si="76"/>
        <v>0</v>
      </c>
      <c r="AA757" s="35">
        <f t="shared" si="77"/>
        <v>1</v>
      </c>
      <c r="AB757" s="35">
        <f t="shared" si="78"/>
        <v>0</v>
      </c>
    </row>
    <row r="758" spans="1:28">
      <c r="A758" s="35">
        <v>747</v>
      </c>
      <c r="B758" s="35">
        <v>5.1543828894662358E-4</v>
      </c>
      <c r="C758" s="232">
        <v>87.63</v>
      </c>
      <c r="D758" s="35">
        <v>5.0654637772993718</v>
      </c>
      <c r="E758" s="232">
        <v>55.2</v>
      </c>
      <c r="F758" s="35">
        <v>5.0541161641804369</v>
      </c>
      <c r="G758" s="232">
        <v>14041.52</v>
      </c>
      <c r="H758" s="35">
        <v>8.973140577324342</v>
      </c>
      <c r="I758" s="232">
        <v>15854.3</v>
      </c>
      <c r="J758" s="35">
        <v>7.0252655667862651</v>
      </c>
      <c r="K758" s="232">
        <v>14642.97</v>
      </c>
      <c r="L758" s="35">
        <v>8.5025204724020274</v>
      </c>
      <c r="M758" s="232">
        <v>40783.93</v>
      </c>
      <c r="N758" s="35">
        <v>7.3644920259882873</v>
      </c>
      <c r="P758" s="232">
        <v>-32.44</v>
      </c>
      <c r="Q758" s="35">
        <v>1.1347613118934952E-2</v>
      </c>
      <c r="R758" s="232">
        <v>1812.78</v>
      </c>
      <c r="S758" s="35">
        <v>1.9478750105380769</v>
      </c>
      <c r="T758" s="232">
        <v>26140.95</v>
      </c>
      <c r="U758" s="35">
        <v>1.13802844641374</v>
      </c>
      <c r="W758" s="35">
        <f t="shared" si="73"/>
        <v>599.82065594674759</v>
      </c>
      <c r="X758" s="35">
        <f t="shared" si="74"/>
        <v>95580.970526903839</v>
      </c>
      <c r="Y758" s="35">
        <f t="shared" si="75"/>
        <v>30760.472320687</v>
      </c>
      <c r="Z758" s="35">
        <f t="shared" si="76"/>
        <v>0</v>
      </c>
      <c r="AA758" s="35">
        <f t="shared" si="77"/>
        <v>1</v>
      </c>
      <c r="AB758" s="35">
        <f t="shared" si="78"/>
        <v>0</v>
      </c>
    </row>
    <row r="759" spans="1:28">
      <c r="A759" s="35">
        <v>748</v>
      </c>
      <c r="B759" s="35">
        <v>3.4136042843907922E-4</v>
      </c>
      <c r="C759" s="232">
        <v>60.29</v>
      </c>
      <c r="D759" s="35">
        <v>5.0562908430799531</v>
      </c>
      <c r="E759" s="232">
        <v>35.6</v>
      </c>
      <c r="F759" s="35">
        <v>5.0476508041138635</v>
      </c>
      <c r="G759" s="232">
        <v>13618.4</v>
      </c>
      <c r="H759" s="35">
        <v>8.9474670935922607</v>
      </c>
      <c r="I759" s="232">
        <v>14697.39</v>
      </c>
      <c r="J759" s="35">
        <v>8.218242497457183</v>
      </c>
      <c r="K759" s="232">
        <v>19332.349999999999</v>
      </c>
      <c r="L759" s="35">
        <v>8.6865244275598705</v>
      </c>
      <c r="M759" s="232">
        <v>45678.55</v>
      </c>
      <c r="N759" s="35">
        <v>7.5618152244024142</v>
      </c>
      <c r="P759" s="232">
        <v>-24.7</v>
      </c>
      <c r="Q759" s="35">
        <v>8.6400389660896693E-3</v>
      </c>
      <c r="R759" s="232">
        <v>1078.99</v>
      </c>
      <c r="S759" s="35">
        <v>0.72922459613507762</v>
      </c>
      <c r="T759" s="232">
        <v>26346.2</v>
      </c>
      <c r="U759" s="35">
        <v>1.1247092031574564</v>
      </c>
      <c r="W759" s="35">
        <f t="shared" si="73"/>
        <v>456.70194830448344</v>
      </c>
      <c r="X759" s="35">
        <f t="shared" si="74"/>
        <v>35382.239806753882</v>
      </c>
      <c r="Y759" s="35">
        <f t="shared" si="75"/>
        <v>29889.260157872817</v>
      </c>
      <c r="Z759" s="35">
        <f t="shared" si="76"/>
        <v>0</v>
      </c>
      <c r="AA759" s="35">
        <f t="shared" si="77"/>
        <v>1</v>
      </c>
      <c r="AB759" s="35">
        <f t="shared" si="78"/>
        <v>0</v>
      </c>
    </row>
    <row r="760" spans="1:28">
      <c r="A760" s="35">
        <v>749</v>
      </c>
      <c r="B760" s="35">
        <v>4.5002248391490252E-4</v>
      </c>
      <c r="C760" s="232">
        <v>69.38</v>
      </c>
      <c r="D760" s="35">
        <v>5.0610995592707244</v>
      </c>
      <c r="E760" s="232">
        <v>43.64</v>
      </c>
      <c r="F760" s="35">
        <v>5.0512751425238047</v>
      </c>
      <c r="G760" s="232">
        <v>11649.97</v>
      </c>
      <c r="H760" s="35">
        <v>8.6947249858264755</v>
      </c>
      <c r="I760" s="232">
        <v>12248.5</v>
      </c>
      <c r="J760" s="35">
        <v>7.4890870318332006</v>
      </c>
      <c r="K760" s="232">
        <v>15940.93</v>
      </c>
      <c r="L760" s="35">
        <v>8.612924935126447</v>
      </c>
      <c r="M760" s="232">
        <v>42296.84</v>
      </c>
      <c r="N760" s="35">
        <v>7.5097218197095454</v>
      </c>
      <c r="P760" s="232">
        <v>-25.75</v>
      </c>
      <c r="Q760" s="35">
        <v>9.8244167469196952E-3</v>
      </c>
      <c r="R760" s="232">
        <v>598.53</v>
      </c>
      <c r="S760" s="35">
        <v>1.2056379539932749</v>
      </c>
      <c r="T760" s="232">
        <v>26355.919999999998</v>
      </c>
      <c r="U760" s="35">
        <v>1.1032031154169015</v>
      </c>
      <c r="W760" s="35">
        <f t="shared" si="73"/>
        <v>516.97083734598482</v>
      </c>
      <c r="X760" s="35">
        <f t="shared" si="74"/>
        <v>59683.367699663744</v>
      </c>
      <c r="Y760" s="35">
        <f t="shared" si="75"/>
        <v>28804.23577084508</v>
      </c>
      <c r="Z760" s="35">
        <f t="shared" si="76"/>
        <v>0</v>
      </c>
      <c r="AA760" s="35">
        <f t="shared" si="77"/>
        <v>1</v>
      </c>
      <c r="AB760" s="35">
        <f t="shared" si="78"/>
        <v>0</v>
      </c>
    </row>
    <row r="761" spans="1:28">
      <c r="A761" s="35">
        <v>750</v>
      </c>
      <c r="B761" s="35">
        <v>4.678621629927715E-4</v>
      </c>
      <c r="C761" s="232">
        <v>71.790000000000006</v>
      </c>
      <c r="D761" s="35">
        <v>5.0609048359232931</v>
      </c>
      <c r="E761" s="232">
        <v>40.82</v>
      </c>
      <c r="F761" s="35">
        <v>5.0498159540604632</v>
      </c>
      <c r="G761" s="232">
        <v>11873.6</v>
      </c>
      <c r="H761" s="35">
        <v>8.2740927633029422</v>
      </c>
      <c r="I761" s="232">
        <v>12662.29</v>
      </c>
      <c r="J761" s="35">
        <v>6.681307115856046</v>
      </c>
      <c r="K761" s="232">
        <v>14419.01</v>
      </c>
      <c r="L761" s="35">
        <v>8.7450667188515183</v>
      </c>
      <c r="M761" s="232">
        <v>40286.080000000002</v>
      </c>
      <c r="N761" s="35">
        <v>7.6406522118003473</v>
      </c>
      <c r="P761" s="232">
        <v>-30.97</v>
      </c>
      <c r="Q761" s="35">
        <v>1.1088881862829858E-2</v>
      </c>
      <c r="R761" s="232">
        <v>788.69</v>
      </c>
      <c r="S761" s="35">
        <v>1.5927856474468962</v>
      </c>
      <c r="T761" s="232">
        <v>25867.07</v>
      </c>
      <c r="U761" s="35">
        <v>1.1044145070511711</v>
      </c>
      <c r="W761" s="35">
        <f t="shared" si="73"/>
        <v>585.41409314149291</v>
      </c>
      <c r="X761" s="35">
        <f t="shared" si="74"/>
        <v>78850.592372344807</v>
      </c>
      <c r="Y761" s="35">
        <f t="shared" si="75"/>
        <v>29353.655352558555</v>
      </c>
      <c r="Z761" s="35">
        <f t="shared" si="76"/>
        <v>0</v>
      </c>
      <c r="AA761" s="35">
        <f t="shared" si="77"/>
        <v>1</v>
      </c>
      <c r="AB761" s="35">
        <f t="shared" si="78"/>
        <v>0</v>
      </c>
    </row>
    <row r="762" spans="1:28">
      <c r="A762" s="35">
        <v>751</v>
      </c>
      <c r="B762" s="35">
        <v>4.8121086326613494E-4</v>
      </c>
      <c r="C762" s="232">
        <v>56.53</v>
      </c>
      <c r="D762" s="35">
        <v>5.0631818136913109</v>
      </c>
      <c r="E762" s="232">
        <v>36.39</v>
      </c>
      <c r="F762" s="35">
        <v>5.052544640794749</v>
      </c>
      <c r="G762" s="232">
        <v>9111.66</v>
      </c>
      <c r="H762" s="35">
        <v>8.8735911453618819</v>
      </c>
      <c r="I762" s="232">
        <v>10352.68</v>
      </c>
      <c r="J762" s="35">
        <v>7.7610166432531571</v>
      </c>
      <c r="K762" s="232">
        <v>11915.46</v>
      </c>
      <c r="L762" s="35">
        <v>8.4236010335875964</v>
      </c>
      <c r="M762" s="232">
        <v>37931.839999999997</v>
      </c>
      <c r="N762" s="35">
        <v>7.3315787992906118</v>
      </c>
      <c r="P762" s="232">
        <v>-20.14</v>
      </c>
      <c r="Q762" s="35">
        <v>1.0637172896561964E-2</v>
      </c>
      <c r="R762" s="232">
        <v>1241.02</v>
      </c>
      <c r="S762" s="35">
        <v>1.1125745021087248</v>
      </c>
      <c r="T762" s="232">
        <v>26016.39</v>
      </c>
      <c r="U762" s="35">
        <v>1.0920222342969845</v>
      </c>
      <c r="W762" s="35">
        <f t="shared" si="73"/>
        <v>551.99864482809824</v>
      </c>
      <c r="X762" s="35">
        <f t="shared" si="74"/>
        <v>54387.705105436238</v>
      </c>
      <c r="Y762" s="35">
        <f t="shared" si="75"/>
        <v>28584.721714849227</v>
      </c>
      <c r="Z762" s="35">
        <f t="shared" si="76"/>
        <v>0</v>
      </c>
      <c r="AA762" s="35">
        <f t="shared" si="77"/>
        <v>1</v>
      </c>
      <c r="AB762" s="35">
        <f t="shared" si="78"/>
        <v>0</v>
      </c>
    </row>
    <row r="763" spans="1:28">
      <c r="A763" s="35">
        <v>752</v>
      </c>
      <c r="B763" s="35">
        <v>5.2634804229745313E-4</v>
      </c>
      <c r="C763" s="232">
        <v>84.35</v>
      </c>
      <c r="D763" s="35">
        <v>5.0637807745003958</v>
      </c>
      <c r="E763" s="232">
        <v>53.46</v>
      </c>
      <c r="F763" s="35">
        <v>5.0531874351519797</v>
      </c>
      <c r="G763" s="232">
        <v>12594.02</v>
      </c>
      <c r="H763" s="35">
        <v>8.4871492113275551</v>
      </c>
      <c r="I763" s="232">
        <v>13878.52</v>
      </c>
      <c r="J763" s="35">
        <v>7.5312087622800723</v>
      </c>
      <c r="K763" s="232">
        <v>15725.27</v>
      </c>
      <c r="L763" s="35">
        <v>8.3843382885285429</v>
      </c>
      <c r="M763" s="232">
        <v>41885.379999999997</v>
      </c>
      <c r="N763" s="35">
        <v>7.3795556827933808</v>
      </c>
      <c r="P763" s="232">
        <v>-30.89</v>
      </c>
      <c r="Q763" s="35">
        <v>1.0593339348416109E-2</v>
      </c>
      <c r="R763" s="232">
        <v>1284.5</v>
      </c>
      <c r="S763" s="35">
        <v>0.95594044904748277</v>
      </c>
      <c r="T763" s="232">
        <v>26160.11</v>
      </c>
      <c r="U763" s="35">
        <v>1.0047826057351621</v>
      </c>
      <c r="W763" s="35">
        <f t="shared" si="73"/>
        <v>560.55696742080545</v>
      </c>
      <c r="X763" s="35">
        <f t="shared" si="74"/>
        <v>46512.522452374142</v>
      </c>
      <c r="Y763" s="35">
        <f t="shared" si="75"/>
        <v>24079.020286758103</v>
      </c>
      <c r="Z763" s="35">
        <f t="shared" si="76"/>
        <v>0</v>
      </c>
      <c r="AA763" s="35">
        <f t="shared" si="77"/>
        <v>1</v>
      </c>
      <c r="AB763" s="35">
        <f t="shared" si="78"/>
        <v>0</v>
      </c>
    </row>
    <row r="764" spans="1:28">
      <c r="A764" s="35">
        <v>753</v>
      </c>
      <c r="B764" s="35">
        <v>5.6122351741150212E-4</v>
      </c>
      <c r="C764" s="232">
        <v>67.23</v>
      </c>
      <c r="D764" s="35">
        <v>5.0670881165068984</v>
      </c>
      <c r="E764" s="232">
        <v>40.56</v>
      </c>
      <c r="F764" s="35">
        <v>5.053926529484718</v>
      </c>
      <c r="G764" s="232">
        <v>10124.49</v>
      </c>
      <c r="H764" s="35">
        <v>8.5167759855773646</v>
      </c>
      <c r="I764" s="232">
        <v>12662.12</v>
      </c>
      <c r="J764" s="35">
        <v>6.8435567858623338</v>
      </c>
      <c r="K764" s="232">
        <v>8727.34</v>
      </c>
      <c r="L764" s="35">
        <v>8.9065084553504441</v>
      </c>
      <c r="M764" s="232">
        <v>34521.51</v>
      </c>
      <c r="N764" s="35">
        <v>7.7475569459972311</v>
      </c>
      <c r="P764" s="232">
        <v>-26.67</v>
      </c>
      <c r="Q764" s="35">
        <v>1.3161587022180399E-2</v>
      </c>
      <c r="R764" s="232">
        <v>2537.63</v>
      </c>
      <c r="S764" s="35">
        <v>1.6732191997150307</v>
      </c>
      <c r="T764" s="232">
        <v>25794.17</v>
      </c>
      <c r="U764" s="35">
        <v>1.158951509353213</v>
      </c>
      <c r="W764" s="35">
        <f t="shared" si="73"/>
        <v>684.74935110901993</v>
      </c>
      <c r="X764" s="35">
        <f t="shared" si="74"/>
        <v>81123.329985751538</v>
      </c>
      <c r="Y764" s="35">
        <f t="shared" si="75"/>
        <v>32153.405467660654</v>
      </c>
      <c r="Z764" s="35">
        <f t="shared" si="76"/>
        <v>0</v>
      </c>
      <c r="AA764" s="35">
        <f t="shared" si="77"/>
        <v>1</v>
      </c>
      <c r="AB764" s="35">
        <f t="shared" si="78"/>
        <v>0</v>
      </c>
    </row>
    <row r="765" spans="1:28">
      <c r="A765" s="35">
        <v>754</v>
      </c>
      <c r="B765" s="35">
        <v>4.9058310079597156E-4</v>
      </c>
      <c r="C765" s="232">
        <v>98.75</v>
      </c>
      <c r="D765" s="35">
        <v>5.0632880654017605</v>
      </c>
      <c r="E765" s="232">
        <v>56.34</v>
      </c>
      <c r="F765" s="35">
        <v>5.0514515502989319</v>
      </c>
      <c r="G765" s="232">
        <v>15456.96</v>
      </c>
      <c r="H765" s="35">
        <v>8.7625031949648626</v>
      </c>
      <c r="I765" s="232">
        <v>15524.8</v>
      </c>
      <c r="J765" s="35">
        <v>7.5322387906293979</v>
      </c>
      <c r="K765" s="232">
        <v>20699.169999999998</v>
      </c>
      <c r="L765" s="35">
        <v>8.662729885238976</v>
      </c>
      <c r="M765" s="232">
        <v>46942.53</v>
      </c>
      <c r="N765" s="35">
        <v>7.5782056029704279</v>
      </c>
      <c r="P765" s="232">
        <v>-42.41</v>
      </c>
      <c r="Q765" s="35">
        <v>1.1836515102828571E-2</v>
      </c>
      <c r="R765" s="232">
        <v>67.84</v>
      </c>
      <c r="S765" s="35">
        <v>1.2302644043354647</v>
      </c>
      <c r="T765" s="232">
        <v>26243.37</v>
      </c>
      <c r="U765" s="35">
        <v>1.0845242822685481</v>
      </c>
      <c r="W765" s="35">
        <f t="shared" si="73"/>
        <v>634.23575514142851</v>
      </c>
      <c r="X765" s="35">
        <f t="shared" si="74"/>
        <v>61445.380216773236</v>
      </c>
      <c r="Y765" s="35">
        <f t="shared" si="75"/>
        <v>27982.844113427407</v>
      </c>
      <c r="Z765" s="35">
        <f t="shared" si="76"/>
        <v>0</v>
      </c>
      <c r="AA765" s="35">
        <f t="shared" si="77"/>
        <v>1</v>
      </c>
      <c r="AB765" s="35">
        <f t="shared" si="78"/>
        <v>0</v>
      </c>
    </row>
    <row r="766" spans="1:28">
      <c r="A766" s="35">
        <v>755</v>
      </c>
      <c r="B766" s="35">
        <v>3.8116631350608633E-4</v>
      </c>
      <c r="C766" s="232">
        <v>52.38</v>
      </c>
      <c r="D766" s="35">
        <v>5.0550039409233332</v>
      </c>
      <c r="E766" s="232">
        <v>33.130000000000003</v>
      </c>
      <c r="F766" s="35">
        <v>5.047530938324913</v>
      </c>
      <c r="G766" s="232">
        <v>10269.77</v>
      </c>
      <c r="H766" s="35">
        <v>8.1070204830086698</v>
      </c>
      <c r="I766" s="232">
        <v>11448.74</v>
      </c>
      <c r="J766" s="35">
        <v>7.2956739781063229</v>
      </c>
      <c r="K766" s="232">
        <v>13530.78</v>
      </c>
      <c r="L766" s="35">
        <v>8.0515500599293706</v>
      </c>
      <c r="M766" s="232">
        <v>39488.83</v>
      </c>
      <c r="N766" s="35">
        <v>7.0263511272070369</v>
      </c>
      <c r="P766" s="232">
        <v>-19.25</v>
      </c>
      <c r="Q766" s="35">
        <v>7.4730025984202086E-3</v>
      </c>
      <c r="R766" s="232">
        <v>1178.97</v>
      </c>
      <c r="S766" s="35">
        <v>0.81134650490234694</v>
      </c>
      <c r="T766" s="232">
        <v>25958.05</v>
      </c>
      <c r="U766" s="35">
        <v>1.0251989327223336</v>
      </c>
      <c r="W766" s="35">
        <f t="shared" si="73"/>
        <v>392.90012992101043</v>
      </c>
      <c r="X766" s="35">
        <f t="shared" si="74"/>
        <v>39388.355245117345</v>
      </c>
      <c r="Y766" s="35">
        <f t="shared" si="75"/>
        <v>25301.896636116686</v>
      </c>
      <c r="Z766" s="35">
        <f t="shared" si="76"/>
        <v>0</v>
      </c>
      <c r="AA766" s="35">
        <f t="shared" si="77"/>
        <v>1</v>
      </c>
      <c r="AB766" s="35">
        <f t="shared" si="78"/>
        <v>0</v>
      </c>
    </row>
    <row r="767" spans="1:28">
      <c r="A767" s="35">
        <v>756</v>
      </c>
      <c r="B767" s="35">
        <v>3.1253582130060876E-4</v>
      </c>
      <c r="C767" s="232">
        <v>48.5</v>
      </c>
      <c r="D767" s="35">
        <v>5.0557675638063486</v>
      </c>
      <c r="E767" s="232">
        <v>30.08</v>
      </c>
      <c r="F767" s="35">
        <v>5.0476430860329851</v>
      </c>
      <c r="G767" s="232">
        <v>11721.9</v>
      </c>
      <c r="H767" s="35">
        <v>9.1781033450636365</v>
      </c>
      <c r="I767" s="232">
        <v>12663.95</v>
      </c>
      <c r="J767" s="35">
        <v>8.0005436281652358</v>
      </c>
      <c r="K767" s="232">
        <v>14783.37</v>
      </c>
      <c r="L767" s="35">
        <v>8.9942472814867642</v>
      </c>
      <c r="M767" s="232">
        <v>41072.629999999997</v>
      </c>
      <c r="N767" s="35">
        <v>7.8346429117492189</v>
      </c>
      <c r="P767" s="232">
        <v>-18.420000000000002</v>
      </c>
      <c r="Q767" s="35">
        <v>8.1244777733635587E-3</v>
      </c>
      <c r="R767" s="232">
        <v>942.04</v>
      </c>
      <c r="S767" s="35">
        <v>1.1775597168984007</v>
      </c>
      <c r="T767" s="232">
        <v>26289.27</v>
      </c>
      <c r="U767" s="35">
        <v>1.1596043697375453</v>
      </c>
      <c r="W767" s="35">
        <f t="shared" si="73"/>
        <v>424.64388866817796</v>
      </c>
      <c r="X767" s="35">
        <f t="shared" si="74"/>
        <v>57935.945844920032</v>
      </c>
      <c r="Y767" s="35">
        <f t="shared" si="75"/>
        <v>31690.948486877267</v>
      </c>
      <c r="Z767" s="35">
        <f t="shared" si="76"/>
        <v>0</v>
      </c>
      <c r="AA767" s="35">
        <f t="shared" si="77"/>
        <v>1</v>
      </c>
      <c r="AB767" s="35">
        <f t="shared" si="78"/>
        <v>0</v>
      </c>
    </row>
    <row r="768" spans="1:28">
      <c r="A768" s="35">
        <v>757</v>
      </c>
      <c r="B768" s="35">
        <v>3.7982952429929494E-4</v>
      </c>
      <c r="C768" s="232">
        <v>40.68</v>
      </c>
      <c r="D768" s="35">
        <v>5.0589638605694791</v>
      </c>
      <c r="E768" s="232">
        <v>24.22</v>
      </c>
      <c r="F768" s="35">
        <v>5.0485569684078024</v>
      </c>
      <c r="G768" s="232">
        <v>8898.61</v>
      </c>
      <c r="H768" s="35">
        <v>9.1529199895387183</v>
      </c>
      <c r="I768" s="232">
        <v>11079.28</v>
      </c>
      <c r="J768" s="35">
        <v>7.485335355927182</v>
      </c>
      <c r="K768" s="232">
        <v>8526.4599999999991</v>
      </c>
      <c r="L768" s="35">
        <v>8.8809617772673572</v>
      </c>
      <c r="M768" s="232">
        <v>34438.699999999997</v>
      </c>
      <c r="N768" s="35">
        <v>7.796551567794773</v>
      </c>
      <c r="P768" s="232">
        <v>-16.46</v>
      </c>
      <c r="Q768" s="35">
        <v>1.0406892161676673E-2</v>
      </c>
      <c r="R768" s="232">
        <v>2180.66</v>
      </c>
      <c r="S768" s="35">
        <v>1.6675846336115363</v>
      </c>
      <c r="T768" s="232">
        <v>25912.240000000002</v>
      </c>
      <c r="U768" s="35">
        <v>1.0844102094725843</v>
      </c>
      <c r="W768" s="35">
        <f t="shared" si="73"/>
        <v>536.80460808383373</v>
      </c>
      <c r="X768" s="35">
        <f t="shared" si="74"/>
        <v>81198.571680576817</v>
      </c>
      <c r="Y768" s="35">
        <f t="shared" si="75"/>
        <v>28308.270473629211</v>
      </c>
      <c r="Z768" s="35">
        <f t="shared" si="76"/>
        <v>0</v>
      </c>
      <c r="AA768" s="35">
        <f t="shared" si="77"/>
        <v>1</v>
      </c>
      <c r="AB768" s="35">
        <f t="shared" si="78"/>
        <v>0</v>
      </c>
    </row>
    <row r="769" spans="1:28">
      <c r="A769" s="35">
        <v>758</v>
      </c>
      <c r="B769" s="35">
        <v>5.1035753332828726E-4</v>
      </c>
      <c r="C769" s="232">
        <v>90.11</v>
      </c>
      <c r="D769" s="35">
        <v>5.0662267905401954</v>
      </c>
      <c r="E769" s="232">
        <v>59.89</v>
      </c>
      <c r="F769" s="35">
        <v>5.0555840975722042</v>
      </c>
      <c r="G769" s="232">
        <v>13096.67</v>
      </c>
      <c r="H769" s="35">
        <v>9.1038294886930018</v>
      </c>
      <c r="I769" s="232">
        <v>12977.08</v>
      </c>
      <c r="J769" s="35">
        <v>7.8296422083399078</v>
      </c>
      <c r="K769" s="232">
        <v>18810.75</v>
      </c>
      <c r="L769" s="35">
        <v>8.7153588317811241</v>
      </c>
      <c r="M769" s="232">
        <v>45086.52</v>
      </c>
      <c r="N769" s="35">
        <v>7.6760973724749872</v>
      </c>
      <c r="P769" s="232">
        <v>-30.21</v>
      </c>
      <c r="Q769" s="35">
        <v>1.0642692967991252E-2</v>
      </c>
      <c r="R769" s="232">
        <v>-119.59</v>
      </c>
      <c r="S769" s="35">
        <v>1.274187280353094</v>
      </c>
      <c r="T769" s="232">
        <v>26275.77</v>
      </c>
      <c r="U769" s="35">
        <v>1.0392614593061369</v>
      </c>
      <c r="W769" s="35">
        <f t="shared" si="73"/>
        <v>562.34464839956263</v>
      </c>
      <c r="X769" s="35">
        <f t="shared" si="74"/>
        <v>63828.954017654702</v>
      </c>
      <c r="Y769" s="35">
        <f t="shared" si="75"/>
        <v>25687.302965306841</v>
      </c>
      <c r="Z769" s="35">
        <f t="shared" si="76"/>
        <v>0</v>
      </c>
      <c r="AA769" s="35">
        <f t="shared" si="77"/>
        <v>1</v>
      </c>
      <c r="AB769" s="35">
        <f t="shared" si="78"/>
        <v>0</v>
      </c>
    </row>
    <row r="770" spans="1:28">
      <c r="A770" s="35">
        <v>759</v>
      </c>
      <c r="B770" s="35">
        <v>4.6552106132813353E-4</v>
      </c>
      <c r="C770" s="232">
        <v>76.040000000000006</v>
      </c>
      <c r="D770" s="35">
        <v>5.062488874656804</v>
      </c>
      <c r="E770" s="232">
        <v>51.09</v>
      </c>
      <c r="F770" s="35">
        <v>5.053243089661775</v>
      </c>
      <c r="G770" s="232">
        <v>12956.86</v>
      </c>
      <c r="H770" s="35">
        <v>8.9062227188324545</v>
      </c>
      <c r="I770" s="232">
        <v>13773.4</v>
      </c>
      <c r="J770" s="35">
        <v>7.4121356360410608</v>
      </c>
      <c r="K770" s="232">
        <v>16122.96</v>
      </c>
      <c r="L770" s="35">
        <v>8.3790080338214263</v>
      </c>
      <c r="M770" s="232">
        <v>42226.47</v>
      </c>
      <c r="N770" s="35">
        <v>7.2469597066042679</v>
      </c>
      <c r="P770" s="232">
        <v>-24.95</v>
      </c>
      <c r="Q770" s="35">
        <v>9.2457849950289273E-3</v>
      </c>
      <c r="R770" s="232">
        <v>816.54</v>
      </c>
      <c r="S770" s="35">
        <v>1.4940870827913937</v>
      </c>
      <c r="T770" s="232">
        <v>26103.51</v>
      </c>
      <c r="U770" s="35">
        <v>1.1320483272171584</v>
      </c>
      <c r="W770" s="35">
        <f t="shared" si="73"/>
        <v>487.23924975144638</v>
      </c>
      <c r="X770" s="35">
        <f t="shared" si="74"/>
        <v>73887.814139569688</v>
      </c>
      <c r="Y770" s="35">
        <f t="shared" si="75"/>
        <v>30498.90636085792</v>
      </c>
      <c r="Z770" s="35">
        <f t="shared" si="76"/>
        <v>0</v>
      </c>
      <c r="AA770" s="35">
        <f t="shared" si="77"/>
        <v>1</v>
      </c>
      <c r="AB770" s="35">
        <f t="shared" si="78"/>
        <v>0</v>
      </c>
    </row>
    <row r="771" spans="1:28">
      <c r="A771" s="35">
        <v>760</v>
      </c>
      <c r="B771" s="35">
        <v>4.0774533018690185E-4</v>
      </c>
      <c r="C771" s="232">
        <v>51.35</v>
      </c>
      <c r="D771" s="35">
        <v>5.0593173720768583</v>
      </c>
      <c r="E771" s="232">
        <v>37.64</v>
      </c>
      <c r="F771" s="35">
        <v>5.0520770022957446</v>
      </c>
      <c r="G771" s="232">
        <v>9163.56</v>
      </c>
      <c r="H771" s="35">
        <v>8.5936688451928323</v>
      </c>
      <c r="I771" s="232">
        <v>9941.6200000000008</v>
      </c>
      <c r="J771" s="35">
        <v>7.3413991623199815</v>
      </c>
      <c r="K771" s="232">
        <v>13078.17</v>
      </c>
      <c r="L771" s="35">
        <v>8.6937074570688999</v>
      </c>
      <c r="M771" s="232">
        <v>39240.21</v>
      </c>
      <c r="N771" s="35">
        <v>7.6118667619442117</v>
      </c>
      <c r="P771" s="232">
        <v>-13.72</v>
      </c>
      <c r="Q771" s="35">
        <v>7.2403697811136425E-3</v>
      </c>
      <c r="R771" s="232">
        <v>778.06</v>
      </c>
      <c r="S771" s="35">
        <v>1.2522696828728508</v>
      </c>
      <c r="T771" s="232">
        <v>26162.04</v>
      </c>
      <c r="U771" s="35">
        <v>1.0818406951246882</v>
      </c>
      <c r="W771" s="35">
        <f t="shared" si="73"/>
        <v>375.73848905568218</v>
      </c>
      <c r="X771" s="35">
        <f t="shared" si="74"/>
        <v>61835.424143642544</v>
      </c>
      <c r="Y771" s="35">
        <f t="shared" si="75"/>
        <v>27929.99475623441</v>
      </c>
      <c r="Z771" s="35">
        <f t="shared" si="76"/>
        <v>0</v>
      </c>
      <c r="AA771" s="35">
        <f t="shared" si="77"/>
        <v>1</v>
      </c>
      <c r="AB771" s="35">
        <f t="shared" si="78"/>
        <v>0</v>
      </c>
    </row>
    <row r="772" spans="1:28">
      <c r="A772" s="35">
        <v>761</v>
      </c>
      <c r="B772" s="35">
        <v>3.7398308766613215E-4</v>
      </c>
      <c r="C772" s="232">
        <v>64.430000000000007</v>
      </c>
      <c r="D772" s="35">
        <v>5.0575533046022398</v>
      </c>
      <c r="E772" s="232">
        <v>36.69</v>
      </c>
      <c r="F772" s="35">
        <v>5.0479850142142899</v>
      </c>
      <c r="G772" s="232">
        <v>13856.73</v>
      </c>
      <c r="H772" s="35">
        <v>8.8454414949600331</v>
      </c>
      <c r="I772" s="232">
        <v>15244.51</v>
      </c>
      <c r="J772" s="35">
        <v>8.0439599650353539</v>
      </c>
      <c r="K772" s="232">
        <v>18163</v>
      </c>
      <c r="L772" s="35">
        <v>8.5832536082483468</v>
      </c>
      <c r="M772" s="232">
        <v>44386.77</v>
      </c>
      <c r="N772" s="35">
        <v>7.4930303282669941</v>
      </c>
      <c r="P772" s="232">
        <v>-27.74</v>
      </c>
      <c r="Q772" s="35">
        <v>9.5682903879499293E-3</v>
      </c>
      <c r="R772" s="232">
        <v>1387.77</v>
      </c>
      <c r="S772" s="35">
        <v>0.80148152992467914</v>
      </c>
      <c r="T772" s="232">
        <v>26223.77</v>
      </c>
      <c r="U772" s="35">
        <v>1.0902232799813527</v>
      </c>
      <c r="W772" s="35">
        <f t="shared" si="73"/>
        <v>506.15451939749647</v>
      </c>
      <c r="X772" s="35">
        <f t="shared" si="74"/>
        <v>38686.306496233963</v>
      </c>
      <c r="Y772" s="35">
        <f t="shared" si="75"/>
        <v>28287.393999067634</v>
      </c>
      <c r="Z772" s="35">
        <f t="shared" si="76"/>
        <v>0</v>
      </c>
      <c r="AA772" s="35">
        <f t="shared" si="77"/>
        <v>1</v>
      </c>
      <c r="AB772" s="35">
        <f t="shared" si="78"/>
        <v>0</v>
      </c>
    </row>
    <row r="773" spans="1:28">
      <c r="A773" s="35">
        <v>762</v>
      </c>
      <c r="B773" s="35">
        <v>3.6588038567635626E-4</v>
      </c>
      <c r="C773" s="232">
        <v>46.9</v>
      </c>
      <c r="D773" s="35">
        <v>5.0574216628122652</v>
      </c>
      <c r="E773" s="232">
        <v>29.84</v>
      </c>
      <c r="F773" s="35">
        <v>5.0488072751472233</v>
      </c>
      <c r="G773" s="232">
        <v>10157.290000000001</v>
      </c>
      <c r="H773" s="35">
        <v>8.9508794396766778</v>
      </c>
      <c r="I773" s="232">
        <v>12405.64</v>
      </c>
      <c r="J773" s="35">
        <v>8.9910117035633768</v>
      </c>
      <c r="K773" s="232">
        <v>11468</v>
      </c>
      <c r="L773" s="35">
        <v>8.6325965446747936</v>
      </c>
      <c r="M773" s="232">
        <v>37394.5</v>
      </c>
      <c r="N773" s="35">
        <v>7.5663334584231876</v>
      </c>
      <c r="P773" s="232">
        <v>-17.059999999999999</v>
      </c>
      <c r="Q773" s="35">
        <v>8.6143876650419671E-3</v>
      </c>
      <c r="R773" s="232">
        <v>2248.34</v>
      </c>
      <c r="S773" s="35">
        <v>-4.0132263886698993E-2</v>
      </c>
      <c r="T773" s="232">
        <v>25926.5</v>
      </c>
      <c r="U773" s="35">
        <v>1.066263086251606</v>
      </c>
      <c r="W773" s="35">
        <f t="shared" si="73"/>
        <v>447.77938325209834</v>
      </c>
      <c r="X773" s="35">
        <f t="shared" si="74"/>
        <v>-4254.9531943349502</v>
      </c>
      <c r="Y773" s="35">
        <f t="shared" si="75"/>
        <v>27386.6543125803</v>
      </c>
      <c r="Z773" s="35">
        <f t="shared" si="76"/>
        <v>0</v>
      </c>
      <c r="AA773" s="35">
        <f t="shared" si="77"/>
        <v>0</v>
      </c>
      <c r="AB773" s="35">
        <f t="shared" si="78"/>
        <v>1</v>
      </c>
    </row>
    <row r="774" spans="1:28">
      <c r="A774" s="35">
        <v>763</v>
      </c>
      <c r="B774" s="35">
        <v>5.2031450586764727E-4</v>
      </c>
      <c r="C774" s="232">
        <v>72.66</v>
      </c>
      <c r="D774" s="35">
        <v>5.0672511385897563</v>
      </c>
      <c r="E774" s="232">
        <v>45.52</v>
      </c>
      <c r="F774" s="35">
        <v>5.0548156965095048</v>
      </c>
      <c r="G774" s="232">
        <v>10536.11</v>
      </c>
      <c r="H774" s="35">
        <v>9.3180133124753866</v>
      </c>
      <c r="I774" s="232">
        <v>11540.96</v>
      </c>
      <c r="J774" s="35">
        <v>8.2697102378673542</v>
      </c>
      <c r="K774" s="232">
        <v>12903.31</v>
      </c>
      <c r="L774" s="35">
        <v>8.7718375934452926</v>
      </c>
      <c r="M774" s="232">
        <v>38765.79</v>
      </c>
      <c r="N774" s="35">
        <v>7.7468271013286145</v>
      </c>
      <c r="P774" s="232">
        <v>-27.14</v>
      </c>
      <c r="Q774" s="35">
        <v>1.2435442080251491E-2</v>
      </c>
      <c r="R774" s="232">
        <v>1004.86</v>
      </c>
      <c r="S774" s="35">
        <v>1.0483030746080324</v>
      </c>
      <c r="T774" s="232">
        <v>25862.48</v>
      </c>
      <c r="U774" s="35">
        <v>1.0250104921166781</v>
      </c>
      <c r="W774" s="35">
        <f t="shared" si="73"/>
        <v>648.91210401257456</v>
      </c>
      <c r="X774" s="35">
        <f t="shared" si="74"/>
        <v>51410.293730401623</v>
      </c>
      <c r="Y774" s="35">
        <f t="shared" si="75"/>
        <v>25388.044605833904</v>
      </c>
      <c r="Z774" s="35">
        <f t="shared" si="76"/>
        <v>0</v>
      </c>
      <c r="AA774" s="35">
        <f t="shared" si="77"/>
        <v>1</v>
      </c>
      <c r="AB774" s="35">
        <f t="shared" si="78"/>
        <v>0</v>
      </c>
    </row>
    <row r="775" spans="1:28">
      <c r="A775" s="35">
        <v>764</v>
      </c>
      <c r="B775" s="35">
        <v>5.1516245582283737E-4</v>
      </c>
      <c r="C775" s="232">
        <v>81.459999999999994</v>
      </c>
      <c r="D775" s="35">
        <v>5.0629071213476964</v>
      </c>
      <c r="E775" s="232">
        <v>54.77</v>
      </c>
      <c r="F775" s="35">
        <v>5.0535975102186299</v>
      </c>
      <c r="G775" s="232">
        <v>11497</v>
      </c>
      <c r="H775" s="35">
        <v>8.0686515013997351</v>
      </c>
      <c r="I775" s="232">
        <v>11640.75</v>
      </c>
      <c r="J775" s="35">
        <v>6.5856707239554249</v>
      </c>
      <c r="K775" s="232">
        <v>16468.990000000002</v>
      </c>
      <c r="L775" s="35">
        <v>8.6358196399550184</v>
      </c>
      <c r="M775" s="232">
        <v>42503.4</v>
      </c>
      <c r="N775" s="35">
        <v>7.4566598883293862</v>
      </c>
      <c r="P775" s="232">
        <v>-26.68</v>
      </c>
      <c r="Q775" s="35">
        <v>9.3096111290664751E-3</v>
      </c>
      <c r="R775" s="232">
        <v>143.75</v>
      </c>
      <c r="S775" s="35">
        <v>1.4829807774443102</v>
      </c>
      <c r="T775" s="232">
        <v>26034.41</v>
      </c>
      <c r="U775" s="35">
        <v>1.1791597516256322</v>
      </c>
      <c r="W775" s="35">
        <f t="shared" si="73"/>
        <v>492.16055645332375</v>
      </c>
      <c r="X775" s="35">
        <f t="shared" si="74"/>
        <v>74005.288872215518</v>
      </c>
      <c r="Y775" s="35">
        <f t="shared" si="75"/>
        <v>32923.577581281614</v>
      </c>
      <c r="Z775" s="35">
        <f t="shared" si="76"/>
        <v>0</v>
      </c>
      <c r="AA775" s="35">
        <f t="shared" si="77"/>
        <v>1</v>
      </c>
      <c r="AB775" s="35">
        <f t="shared" si="78"/>
        <v>0</v>
      </c>
    </row>
    <row r="776" spans="1:28">
      <c r="A776" s="35">
        <v>765</v>
      </c>
      <c r="B776" s="35">
        <v>5.7770165142057017E-4</v>
      </c>
      <c r="C776" s="232">
        <v>58.67</v>
      </c>
      <c r="D776" s="35">
        <v>5.0700198497065809</v>
      </c>
      <c r="E776" s="232">
        <v>35.64</v>
      </c>
      <c r="F776" s="35">
        <v>5.0554149650104252</v>
      </c>
      <c r="G776" s="232">
        <v>8251.98</v>
      </c>
      <c r="H776" s="35">
        <v>9.3025427534988889</v>
      </c>
      <c r="I776" s="232">
        <v>10433.16</v>
      </c>
      <c r="J776" s="35">
        <v>8.1655356683951847</v>
      </c>
      <c r="K776" s="232">
        <v>7341.29</v>
      </c>
      <c r="L776" s="35">
        <v>8.6675442351299559</v>
      </c>
      <c r="M776" s="232">
        <v>33057.910000000003</v>
      </c>
      <c r="N776" s="35">
        <v>7.6334990836101886</v>
      </c>
      <c r="P776" s="232">
        <v>-23.03</v>
      </c>
      <c r="Q776" s="35">
        <v>1.4604884696155729E-2</v>
      </c>
      <c r="R776" s="232">
        <v>2181.1799999999998</v>
      </c>
      <c r="S776" s="35">
        <v>1.1370070851037042</v>
      </c>
      <c r="T776" s="232">
        <v>25716.61</v>
      </c>
      <c r="U776" s="35">
        <v>1.0340451515197673</v>
      </c>
      <c r="W776" s="35">
        <f t="shared" si="73"/>
        <v>753.27423480778646</v>
      </c>
      <c r="X776" s="35">
        <f t="shared" si="74"/>
        <v>54669.174255185208</v>
      </c>
      <c r="Y776" s="35">
        <f t="shared" si="75"/>
        <v>25985.647575988361</v>
      </c>
      <c r="Z776" s="35">
        <f t="shared" si="76"/>
        <v>0</v>
      </c>
      <c r="AA776" s="35">
        <f t="shared" si="77"/>
        <v>1</v>
      </c>
      <c r="AB776" s="35">
        <f t="shared" si="78"/>
        <v>0</v>
      </c>
    </row>
    <row r="777" spans="1:28">
      <c r="A777" s="35">
        <v>766</v>
      </c>
      <c r="B777" s="35">
        <v>3.8194942762561767E-4</v>
      </c>
      <c r="C777" s="232">
        <v>65.239999999999995</v>
      </c>
      <c r="D777" s="35">
        <v>5.0592853087560909</v>
      </c>
      <c r="E777" s="232">
        <v>42.75</v>
      </c>
      <c r="F777" s="35">
        <v>5.0507229514502701</v>
      </c>
      <c r="G777" s="232">
        <v>13128.82</v>
      </c>
      <c r="H777" s="35">
        <v>9.0612726532999126</v>
      </c>
      <c r="I777" s="232">
        <v>14145.65</v>
      </c>
      <c r="J777" s="35">
        <v>7.7712989987462704</v>
      </c>
      <c r="K777" s="232">
        <v>15425.33</v>
      </c>
      <c r="L777" s="35">
        <v>8.9053889880067594</v>
      </c>
      <c r="M777" s="232">
        <v>41585.699999999997</v>
      </c>
      <c r="N777" s="35">
        <v>7.6897537565417418</v>
      </c>
      <c r="P777" s="232">
        <v>-22.48</v>
      </c>
      <c r="Q777" s="35">
        <v>8.5623573058208891E-3</v>
      </c>
      <c r="R777" s="232">
        <v>1016.83</v>
      </c>
      <c r="S777" s="35">
        <v>1.2899736545536422</v>
      </c>
      <c r="T777" s="232">
        <v>26160.37</v>
      </c>
      <c r="U777" s="35">
        <v>1.2156352314650176</v>
      </c>
      <c r="W777" s="35">
        <f t="shared" si="73"/>
        <v>450.59786529104446</v>
      </c>
      <c r="X777" s="35">
        <f t="shared" si="74"/>
        <v>63481.852727682111</v>
      </c>
      <c r="Y777" s="35">
        <f t="shared" si="75"/>
        <v>34621.391573250876</v>
      </c>
      <c r="Z777" s="35">
        <f t="shared" si="76"/>
        <v>0</v>
      </c>
      <c r="AA777" s="35">
        <f t="shared" si="77"/>
        <v>1</v>
      </c>
      <c r="AB777" s="35">
        <f t="shared" si="78"/>
        <v>0</v>
      </c>
    </row>
    <row r="778" spans="1:28">
      <c r="A778" s="35">
        <v>767</v>
      </c>
      <c r="B778" s="35">
        <v>5.6858337097354106E-4</v>
      </c>
      <c r="C778" s="232">
        <v>61.06</v>
      </c>
      <c r="D778" s="35">
        <v>5.0683000953530994</v>
      </c>
      <c r="E778" s="232">
        <v>35.479999999999997</v>
      </c>
      <c r="F778" s="35">
        <v>5.0537517856570791</v>
      </c>
      <c r="G778" s="232">
        <v>8527.77</v>
      </c>
      <c r="H778" s="35">
        <v>8.7327527851888522</v>
      </c>
      <c r="I778" s="232">
        <v>10803.83</v>
      </c>
      <c r="J778" s="35">
        <v>8.8360215436091796</v>
      </c>
      <c r="K778" s="232">
        <v>10064.5</v>
      </c>
      <c r="L778" s="35">
        <v>8.8933746170963968</v>
      </c>
      <c r="M778" s="232">
        <v>35884.99</v>
      </c>
      <c r="N778" s="35">
        <v>7.7232359052897745</v>
      </c>
      <c r="P778" s="232">
        <v>-25.58</v>
      </c>
      <c r="Q778" s="35">
        <v>1.4548309696020389E-2</v>
      </c>
      <c r="R778" s="232">
        <v>2276.06</v>
      </c>
      <c r="S778" s="35">
        <v>-0.10326875842032734</v>
      </c>
      <c r="T778" s="232">
        <v>25820.49</v>
      </c>
      <c r="U778" s="35">
        <v>1.1701387118066222</v>
      </c>
      <c r="W778" s="35">
        <f t="shared" si="73"/>
        <v>752.99548480101953</v>
      </c>
      <c r="X778" s="35">
        <f t="shared" si="74"/>
        <v>-7439.4979210163674</v>
      </c>
      <c r="Y778" s="35">
        <f t="shared" si="75"/>
        <v>32686.445590331106</v>
      </c>
      <c r="Z778" s="35">
        <f t="shared" si="76"/>
        <v>0</v>
      </c>
      <c r="AA778" s="35">
        <f t="shared" si="77"/>
        <v>0</v>
      </c>
      <c r="AB778" s="35">
        <f t="shared" si="78"/>
        <v>1</v>
      </c>
    </row>
    <row r="779" spans="1:28">
      <c r="A779" s="35">
        <v>768</v>
      </c>
      <c r="B779" s="35">
        <v>4.8473878706323248E-4</v>
      </c>
      <c r="C779" s="232">
        <v>97.69</v>
      </c>
      <c r="D779" s="35">
        <v>5.0642957483327056</v>
      </c>
      <c r="E779" s="232">
        <v>58.58</v>
      </c>
      <c r="F779" s="35">
        <v>5.0527469892362022</v>
      </c>
      <c r="G779" s="232">
        <v>14967.31</v>
      </c>
      <c r="H779" s="35">
        <v>9.1011633397501672</v>
      </c>
      <c r="I779" s="232">
        <v>14425.83</v>
      </c>
      <c r="J779" s="35">
        <v>7.8673691031285875</v>
      </c>
      <c r="K779" s="232">
        <v>21293.66</v>
      </c>
      <c r="L779" s="35">
        <v>8.6585189669217879</v>
      </c>
      <c r="M779" s="232">
        <v>47660.39</v>
      </c>
      <c r="N779" s="35">
        <v>7.577462120404892</v>
      </c>
      <c r="P779" s="232">
        <v>-39.11</v>
      </c>
      <c r="Q779" s="35">
        <v>1.1548759096503325E-2</v>
      </c>
      <c r="R779" s="232">
        <v>-541.49</v>
      </c>
      <c r="S779" s="35">
        <v>1.2337942366215797</v>
      </c>
      <c r="T779" s="232">
        <v>26366.74</v>
      </c>
      <c r="U779" s="35">
        <v>1.0810568465168959</v>
      </c>
      <c r="W779" s="35">
        <f t="shared" si="73"/>
        <v>616.54795482516624</v>
      </c>
      <c r="X779" s="35">
        <f t="shared" si="74"/>
        <v>62231.201831078986</v>
      </c>
      <c r="Y779" s="35">
        <f t="shared" si="75"/>
        <v>27686.102325844793</v>
      </c>
      <c r="Z779" s="35">
        <f t="shared" si="76"/>
        <v>0</v>
      </c>
      <c r="AA779" s="35">
        <f t="shared" si="77"/>
        <v>1</v>
      </c>
      <c r="AB779" s="35">
        <f t="shared" si="78"/>
        <v>0</v>
      </c>
    </row>
    <row r="780" spans="1:28">
      <c r="A780" s="35">
        <v>769</v>
      </c>
      <c r="B780" s="35">
        <v>4.3788093975915133E-4</v>
      </c>
      <c r="C780" s="232">
        <v>61.26</v>
      </c>
      <c r="D780" s="35">
        <v>5.0589973044376517</v>
      </c>
      <c r="E780" s="232">
        <v>34.22</v>
      </c>
      <c r="F780" s="35">
        <v>5.0484328908203597</v>
      </c>
      <c r="G780" s="232">
        <v>10938.08</v>
      </c>
      <c r="H780" s="35">
        <v>8.2536669868658059</v>
      </c>
      <c r="I780" s="232">
        <v>11605.76</v>
      </c>
      <c r="J780" s="35">
        <v>6.49174447764298</v>
      </c>
      <c r="K780" s="232">
        <v>13918.89</v>
      </c>
      <c r="L780" s="35">
        <v>8.5812070679373793</v>
      </c>
      <c r="M780" s="232">
        <v>39862.17</v>
      </c>
      <c r="N780" s="35">
        <v>7.5269861467132495</v>
      </c>
      <c r="P780" s="232">
        <v>-27.04</v>
      </c>
      <c r="Q780" s="35">
        <v>1.056441361729199E-2</v>
      </c>
      <c r="R780" s="232">
        <v>667.69</v>
      </c>
      <c r="S780" s="35">
        <v>1.7619225092228259</v>
      </c>
      <c r="T780" s="232">
        <v>25943.279999999999</v>
      </c>
      <c r="U780" s="35">
        <v>1.0542209212241298</v>
      </c>
      <c r="W780" s="35">
        <f t="shared" ref="W780:W843" si="79">$X$2*Q780-P780</f>
        <v>555.26068086459941</v>
      </c>
      <c r="X780" s="35">
        <f t="shared" ref="X780:X843" si="80">$X$2*S780-R780</f>
        <v>87428.435461141285</v>
      </c>
      <c r="Y780" s="35">
        <f t="shared" ref="Y780:Y843" si="81">$X$2*U780-T780</f>
        <v>26767.766061206494</v>
      </c>
      <c r="Z780" s="35">
        <f t="shared" ref="Z780:Z843" si="82">IF(W780=MAX($W780:$Y780), 1, 0)</f>
        <v>0</v>
      </c>
      <c r="AA780" s="35">
        <f t="shared" ref="AA780:AA843" si="83">IF(X780=MAX($W780:$Y780), 1, 0)</f>
        <v>1</v>
      </c>
      <c r="AB780" s="35">
        <f t="shared" ref="AB780:AB843" si="84">IF(Y780=MAX($W780:$Y780), 1, 0)</f>
        <v>0</v>
      </c>
    </row>
    <row r="781" spans="1:28">
      <c r="A781" s="35">
        <v>770</v>
      </c>
      <c r="B781" s="35">
        <v>3.6846149926725817E-4</v>
      </c>
      <c r="C781" s="232">
        <v>75.489999999999995</v>
      </c>
      <c r="D781" s="35">
        <v>5.0580265515065204</v>
      </c>
      <c r="E781" s="232">
        <v>48.15</v>
      </c>
      <c r="F781" s="35">
        <v>5.0497709997589286</v>
      </c>
      <c r="G781" s="232">
        <v>16096.63</v>
      </c>
      <c r="H781" s="35">
        <v>9.1251194851918278</v>
      </c>
      <c r="I781" s="232">
        <v>16662.53</v>
      </c>
      <c r="J781" s="35">
        <v>7.55198786244729</v>
      </c>
      <c r="K781" s="232">
        <v>18428.46</v>
      </c>
      <c r="L781" s="35">
        <v>8.5600821277530414</v>
      </c>
      <c r="M781" s="232">
        <v>44497.73</v>
      </c>
      <c r="N781" s="35">
        <v>7.4818849155310483</v>
      </c>
      <c r="P781" s="232">
        <v>-27.33</v>
      </c>
      <c r="Q781" s="35">
        <v>8.2555517475917384E-3</v>
      </c>
      <c r="R781" s="232">
        <v>565.9</v>
      </c>
      <c r="S781" s="35">
        <v>1.5731316227445378</v>
      </c>
      <c r="T781" s="232">
        <v>26069.27</v>
      </c>
      <c r="U781" s="35">
        <v>1.0781972122219932</v>
      </c>
      <c r="W781" s="35">
        <f t="shared" si="79"/>
        <v>440.1075873795869</v>
      </c>
      <c r="X781" s="35">
        <f t="shared" si="80"/>
        <v>78090.6811372269</v>
      </c>
      <c r="Y781" s="35">
        <f t="shared" si="81"/>
        <v>27840.590611099655</v>
      </c>
      <c r="Z781" s="35">
        <f t="shared" si="82"/>
        <v>0</v>
      </c>
      <c r="AA781" s="35">
        <f t="shared" si="83"/>
        <v>1</v>
      </c>
      <c r="AB781" s="35">
        <f t="shared" si="84"/>
        <v>0</v>
      </c>
    </row>
    <row r="782" spans="1:28">
      <c r="A782" s="35">
        <v>771</v>
      </c>
      <c r="B782" s="35">
        <v>4.6668092537938133E-4</v>
      </c>
      <c r="C782" s="232">
        <v>55.35</v>
      </c>
      <c r="D782" s="35">
        <v>5.0627023442841406</v>
      </c>
      <c r="E782" s="232">
        <v>34.869999999999997</v>
      </c>
      <c r="F782" s="35">
        <v>5.0518930109015265</v>
      </c>
      <c r="G782" s="232">
        <v>9639.16</v>
      </c>
      <c r="H782" s="35">
        <v>8.9220334468331632</v>
      </c>
      <c r="I782" s="232">
        <v>11645.42</v>
      </c>
      <c r="J782" s="35">
        <v>8.2873532696227521</v>
      </c>
      <c r="K782" s="232">
        <v>10631.25</v>
      </c>
      <c r="L782" s="35">
        <v>8.5075419404782835</v>
      </c>
      <c r="M782" s="232">
        <v>36522.61</v>
      </c>
      <c r="N782" s="35">
        <v>7.3441220997419956</v>
      </c>
      <c r="P782" s="232">
        <v>-20.48</v>
      </c>
      <c r="Q782" s="35">
        <v>1.0809333382614028E-2</v>
      </c>
      <c r="R782" s="232">
        <v>2006.26</v>
      </c>
      <c r="S782" s="35">
        <v>0.63468017721041114</v>
      </c>
      <c r="T782" s="232">
        <v>25891.360000000001</v>
      </c>
      <c r="U782" s="35">
        <v>1.1634198407362879</v>
      </c>
      <c r="W782" s="35">
        <f t="shared" si="79"/>
        <v>560.94666913070137</v>
      </c>
      <c r="X782" s="35">
        <f t="shared" si="80"/>
        <v>29727.748860520558</v>
      </c>
      <c r="Y782" s="35">
        <f t="shared" si="81"/>
        <v>32279.632036814393</v>
      </c>
      <c r="Z782" s="35">
        <f t="shared" si="82"/>
        <v>0</v>
      </c>
      <c r="AA782" s="35">
        <f t="shared" si="83"/>
        <v>0</v>
      </c>
      <c r="AB782" s="35">
        <f t="shared" si="84"/>
        <v>1</v>
      </c>
    </row>
    <row r="783" spans="1:28">
      <c r="A783" s="35">
        <v>772</v>
      </c>
      <c r="B783" s="35">
        <v>3.6570462860974808E-4</v>
      </c>
      <c r="C783" s="232">
        <v>58.25</v>
      </c>
      <c r="D783" s="35">
        <v>5.0574132157545844</v>
      </c>
      <c r="E783" s="232">
        <v>33.39</v>
      </c>
      <c r="F783" s="35">
        <v>5.0478699421855495</v>
      </c>
      <c r="G783" s="232">
        <v>12961.56</v>
      </c>
      <c r="H783" s="35">
        <v>8.9301590559175175</v>
      </c>
      <c r="I783" s="232">
        <v>14675.19</v>
      </c>
      <c r="J783" s="35">
        <v>8.2064701969296632</v>
      </c>
      <c r="K783" s="232">
        <v>15584.36</v>
      </c>
      <c r="L783" s="35">
        <v>8.6700345617904357</v>
      </c>
      <c r="M783" s="232">
        <v>41742.53</v>
      </c>
      <c r="N783" s="35">
        <v>7.563244245269817</v>
      </c>
      <c r="P783" s="232">
        <v>-24.86</v>
      </c>
      <c r="Q783" s="35">
        <v>9.543273569034838E-3</v>
      </c>
      <c r="R783" s="232">
        <v>1713.63</v>
      </c>
      <c r="S783" s="35">
        <v>0.72368885898785429</v>
      </c>
      <c r="T783" s="232">
        <v>26158.18</v>
      </c>
      <c r="U783" s="35">
        <v>1.1067903165206188</v>
      </c>
      <c r="W783" s="35">
        <f t="shared" si="79"/>
        <v>502.02367845174194</v>
      </c>
      <c r="X783" s="35">
        <f t="shared" si="80"/>
        <v>34470.812949392719</v>
      </c>
      <c r="Y783" s="35">
        <f t="shared" si="81"/>
        <v>29181.33582603094</v>
      </c>
      <c r="Z783" s="35">
        <f t="shared" si="82"/>
        <v>0</v>
      </c>
      <c r="AA783" s="35">
        <f t="shared" si="83"/>
        <v>1</v>
      </c>
      <c r="AB783" s="35">
        <f t="shared" si="84"/>
        <v>0</v>
      </c>
    </row>
    <row r="784" spans="1:28">
      <c r="A784" s="35">
        <v>773</v>
      </c>
      <c r="B784" s="35">
        <v>5.8476237632842931E-4</v>
      </c>
      <c r="C784" s="232">
        <v>87.53</v>
      </c>
      <c r="D784" s="35">
        <v>5.0685563891426666</v>
      </c>
      <c r="E784" s="232">
        <v>51.04</v>
      </c>
      <c r="F784" s="35">
        <v>5.0544994276006525</v>
      </c>
      <c r="G784" s="232">
        <v>11669.79</v>
      </c>
      <c r="H784" s="35">
        <v>8.8368843497287948</v>
      </c>
      <c r="I784" s="232">
        <v>12830.11</v>
      </c>
      <c r="J784" s="35">
        <v>7.7616290987984922</v>
      </c>
      <c r="K784" s="232">
        <v>14706.51</v>
      </c>
      <c r="L784" s="35">
        <v>8.5770143487558546</v>
      </c>
      <c r="M784" s="232">
        <v>40918.19</v>
      </c>
      <c r="N784" s="35">
        <v>7.4282406990267722</v>
      </c>
      <c r="P784" s="232">
        <v>-36.5</v>
      </c>
      <c r="Q784" s="35">
        <v>1.4056961542014079E-2</v>
      </c>
      <c r="R784" s="232">
        <v>1160.32</v>
      </c>
      <c r="S784" s="35">
        <v>1.0752552509303026</v>
      </c>
      <c r="T784" s="232">
        <v>26211.67</v>
      </c>
      <c r="U784" s="35">
        <v>1.1487736497290824</v>
      </c>
      <c r="W784" s="35">
        <f t="shared" si="79"/>
        <v>739.3480771007039</v>
      </c>
      <c r="X784" s="35">
        <f t="shared" si="80"/>
        <v>52602.442546515129</v>
      </c>
      <c r="Y784" s="35">
        <f t="shared" si="81"/>
        <v>31227.012486454121</v>
      </c>
      <c r="Z784" s="35">
        <f t="shared" si="82"/>
        <v>0</v>
      </c>
      <c r="AA784" s="35">
        <f t="shared" si="83"/>
        <v>1</v>
      </c>
      <c r="AB784" s="35">
        <f t="shared" si="84"/>
        <v>0</v>
      </c>
    </row>
    <row r="785" spans="1:28">
      <c r="A785" s="35">
        <v>774</v>
      </c>
      <c r="B785" s="35">
        <v>3.0038617177599141E-4</v>
      </c>
      <c r="C785" s="232">
        <v>44.07</v>
      </c>
      <c r="D785" s="35">
        <v>5.0542619559299302</v>
      </c>
      <c r="E785" s="232">
        <v>29.19</v>
      </c>
      <c r="F785" s="35">
        <v>5.0473887338494725</v>
      </c>
      <c r="G785" s="232">
        <v>10621.18</v>
      </c>
      <c r="H785" s="35">
        <v>8.8360244566503958</v>
      </c>
      <c r="I785" s="232">
        <v>9916.58</v>
      </c>
      <c r="J785" s="35">
        <v>7.0477010458522624</v>
      </c>
      <c r="K785" s="232">
        <v>16357.77</v>
      </c>
      <c r="L785" s="35">
        <v>9.0086822972185008</v>
      </c>
      <c r="M785" s="232">
        <v>42735.92</v>
      </c>
      <c r="N785" s="35">
        <v>7.9014953257397922</v>
      </c>
      <c r="P785" s="232">
        <v>-14.88</v>
      </c>
      <c r="Q785" s="35">
        <v>6.8732220804577082E-3</v>
      </c>
      <c r="R785" s="232">
        <v>-704.59</v>
      </c>
      <c r="S785" s="35">
        <v>1.7883234107981334</v>
      </c>
      <c r="T785" s="232">
        <v>26378.15</v>
      </c>
      <c r="U785" s="35">
        <v>1.1071869714787086</v>
      </c>
      <c r="W785" s="35">
        <f t="shared" si="79"/>
        <v>358.54110402288541</v>
      </c>
      <c r="X785" s="35">
        <f t="shared" si="80"/>
        <v>90120.760539906667</v>
      </c>
      <c r="Y785" s="35">
        <f t="shared" si="81"/>
        <v>28981.198573935428</v>
      </c>
      <c r="Z785" s="35">
        <f t="shared" si="82"/>
        <v>0</v>
      </c>
      <c r="AA785" s="35">
        <f t="shared" si="83"/>
        <v>1</v>
      </c>
      <c r="AB785" s="35">
        <f t="shared" si="84"/>
        <v>0</v>
      </c>
    </row>
    <row r="786" spans="1:28">
      <c r="A786" s="35">
        <v>775</v>
      </c>
      <c r="B786" s="35">
        <v>3.2647983651214359E-4</v>
      </c>
      <c r="C786" s="232">
        <v>53.96</v>
      </c>
      <c r="D786" s="35">
        <v>5.0562989121218402</v>
      </c>
      <c r="E786" s="232">
        <v>31.5</v>
      </c>
      <c r="F786" s="35">
        <v>5.0474029914052201</v>
      </c>
      <c r="G786" s="232">
        <v>12863.11</v>
      </c>
      <c r="H786" s="35">
        <v>9.3797499495188781</v>
      </c>
      <c r="I786" s="232">
        <v>13670.19</v>
      </c>
      <c r="J786" s="35">
        <v>8.4206880491769756</v>
      </c>
      <c r="K786" s="232">
        <v>17382.48</v>
      </c>
      <c r="L786" s="35">
        <v>8.6781584554033842</v>
      </c>
      <c r="M786" s="232">
        <v>43681.15</v>
      </c>
      <c r="N786" s="35">
        <v>7.6414840168734255</v>
      </c>
      <c r="P786" s="232">
        <v>-22.46</v>
      </c>
      <c r="Q786" s="35">
        <v>8.8959207166201537E-3</v>
      </c>
      <c r="R786" s="232">
        <v>807.08</v>
      </c>
      <c r="S786" s="35">
        <v>0.95906190034190253</v>
      </c>
      <c r="T786" s="232">
        <v>26298.67</v>
      </c>
      <c r="U786" s="35">
        <v>1.0366744385299587</v>
      </c>
      <c r="W786" s="35">
        <f t="shared" si="79"/>
        <v>467.25603583100764</v>
      </c>
      <c r="X786" s="35">
        <f t="shared" si="80"/>
        <v>47146.015017095124</v>
      </c>
      <c r="Y786" s="35">
        <f t="shared" si="81"/>
        <v>25535.051926497938</v>
      </c>
      <c r="Z786" s="35">
        <f t="shared" si="82"/>
        <v>0</v>
      </c>
      <c r="AA786" s="35">
        <f t="shared" si="83"/>
        <v>1</v>
      </c>
      <c r="AB786" s="35">
        <f t="shared" si="84"/>
        <v>0</v>
      </c>
    </row>
    <row r="787" spans="1:28">
      <c r="A787" s="35">
        <v>776</v>
      </c>
      <c r="B787" s="35">
        <v>4.9304016075146784E-4</v>
      </c>
      <c r="C787" s="232">
        <v>68.39</v>
      </c>
      <c r="D787" s="35">
        <v>5.0616733951137531</v>
      </c>
      <c r="E787" s="232">
        <v>36.119999999999997</v>
      </c>
      <c r="F787" s="35">
        <v>5.0491922940554375</v>
      </c>
      <c r="G787" s="232">
        <v>10955.81</v>
      </c>
      <c r="H787" s="35">
        <v>8.5412505105266074</v>
      </c>
      <c r="I787" s="232">
        <v>12450.67</v>
      </c>
      <c r="J787" s="35">
        <v>7.4064250945886254</v>
      </c>
      <c r="K787" s="232">
        <v>11717.43</v>
      </c>
      <c r="L787" s="35">
        <v>8.2402943938527908</v>
      </c>
      <c r="M787" s="232">
        <v>37539.589999999997</v>
      </c>
      <c r="N787" s="35">
        <v>7.1958676398270986</v>
      </c>
      <c r="P787" s="232">
        <v>-32.270000000000003</v>
      </c>
      <c r="Q787" s="35">
        <v>1.248110105831568E-2</v>
      </c>
      <c r="R787" s="232">
        <v>1494.86</v>
      </c>
      <c r="S787" s="35">
        <v>1.134825415937982</v>
      </c>
      <c r="T787" s="232">
        <v>25822.16</v>
      </c>
      <c r="U787" s="35">
        <v>1.0444267540256922</v>
      </c>
      <c r="W787" s="35">
        <f t="shared" si="79"/>
        <v>656.325052915784</v>
      </c>
      <c r="X787" s="35">
        <f t="shared" si="80"/>
        <v>55246.410796899101</v>
      </c>
      <c r="Y787" s="35">
        <f t="shared" si="81"/>
        <v>26399.177701284611</v>
      </c>
      <c r="Z787" s="35">
        <f t="shared" si="82"/>
        <v>0</v>
      </c>
      <c r="AA787" s="35">
        <f t="shared" si="83"/>
        <v>1</v>
      </c>
      <c r="AB787" s="35">
        <f t="shared" si="84"/>
        <v>0</v>
      </c>
    </row>
    <row r="788" spans="1:28">
      <c r="A788" s="35">
        <v>777</v>
      </c>
      <c r="B788" s="35">
        <v>4.7360985598166039E-4</v>
      </c>
      <c r="C788" s="232">
        <v>65.48</v>
      </c>
      <c r="D788" s="35">
        <v>5.0664010949872287</v>
      </c>
      <c r="E788" s="232">
        <v>37.22</v>
      </c>
      <c r="F788" s="35">
        <v>5.0525148553033992</v>
      </c>
      <c r="G788" s="232">
        <v>10906.83</v>
      </c>
      <c r="H788" s="35">
        <v>9.6857993469151538</v>
      </c>
      <c r="I788" s="232">
        <v>12255.93</v>
      </c>
      <c r="J788" s="35">
        <v>8.1273869992242318</v>
      </c>
      <c r="K788" s="232">
        <v>11651.92</v>
      </c>
      <c r="L788" s="35">
        <v>9.0047620555433401</v>
      </c>
      <c r="M788" s="232">
        <v>37749.019999999997</v>
      </c>
      <c r="N788" s="35">
        <v>7.7749599971567145</v>
      </c>
      <c r="P788" s="232">
        <v>-28.27</v>
      </c>
      <c r="Q788" s="35">
        <v>1.3886239683829515E-2</v>
      </c>
      <c r="R788" s="232">
        <v>1349.1</v>
      </c>
      <c r="S788" s="35">
        <v>1.558412347690922</v>
      </c>
      <c r="T788" s="232">
        <v>26097.09</v>
      </c>
      <c r="U788" s="35">
        <v>1.2298020583866256</v>
      </c>
      <c r="W788" s="35">
        <f t="shared" si="79"/>
        <v>722.58198419147573</v>
      </c>
      <c r="X788" s="35">
        <f t="shared" si="80"/>
        <v>76571.517384546096</v>
      </c>
      <c r="Y788" s="35">
        <f t="shared" si="81"/>
        <v>35393.012919331275</v>
      </c>
      <c r="Z788" s="35">
        <f t="shared" si="82"/>
        <v>0</v>
      </c>
      <c r="AA788" s="35">
        <f t="shared" si="83"/>
        <v>1</v>
      </c>
      <c r="AB788" s="35">
        <f t="shared" si="84"/>
        <v>0</v>
      </c>
    </row>
    <row r="789" spans="1:28">
      <c r="A789" s="35">
        <v>778</v>
      </c>
      <c r="B789" s="35">
        <v>5.4971307282791759E-4</v>
      </c>
      <c r="C789" s="232">
        <v>86.22</v>
      </c>
      <c r="D789" s="35">
        <v>5.0691138640992239</v>
      </c>
      <c r="E789" s="232">
        <v>54.44</v>
      </c>
      <c r="F789" s="35">
        <v>5.0562895153648615</v>
      </c>
      <c r="G789" s="232">
        <v>12207.83</v>
      </c>
      <c r="H789" s="35">
        <v>9.1902753905871712</v>
      </c>
      <c r="I789" s="232">
        <v>13652.35</v>
      </c>
      <c r="J789" s="35">
        <v>8.4349233916442827</v>
      </c>
      <c r="K789" s="232">
        <v>15564.99</v>
      </c>
      <c r="L789" s="35">
        <v>9.0306732276778909</v>
      </c>
      <c r="M789" s="232">
        <v>41693.120000000003</v>
      </c>
      <c r="N789" s="35">
        <v>7.9188684399556566</v>
      </c>
      <c r="P789" s="232">
        <v>-31.78</v>
      </c>
      <c r="Q789" s="35">
        <v>1.2824348734362445E-2</v>
      </c>
      <c r="R789" s="232">
        <v>1444.52</v>
      </c>
      <c r="S789" s="35">
        <v>0.75535199894288851</v>
      </c>
      <c r="T789" s="232">
        <v>26128.13</v>
      </c>
      <c r="U789" s="35">
        <v>1.1118047877222343</v>
      </c>
      <c r="W789" s="35">
        <f t="shared" si="79"/>
        <v>672.99743671812223</v>
      </c>
      <c r="X789" s="35">
        <f t="shared" si="80"/>
        <v>36323.079947144426</v>
      </c>
      <c r="Y789" s="35">
        <f t="shared" si="81"/>
        <v>29462.109386111715</v>
      </c>
      <c r="Z789" s="35">
        <f t="shared" si="82"/>
        <v>0</v>
      </c>
      <c r="AA789" s="35">
        <f t="shared" si="83"/>
        <v>1</v>
      </c>
      <c r="AB789" s="35">
        <f t="shared" si="84"/>
        <v>0</v>
      </c>
    </row>
    <row r="790" spans="1:28">
      <c r="A790" s="35">
        <v>779</v>
      </c>
      <c r="B790" s="35">
        <v>4.6372098792779592E-4</v>
      </c>
      <c r="C790" s="232">
        <v>71.52</v>
      </c>
      <c r="D790" s="35">
        <v>5.0639189241631053</v>
      </c>
      <c r="E790" s="232">
        <v>42.35</v>
      </c>
      <c r="F790" s="35">
        <v>5.0519826554052347</v>
      </c>
      <c r="G790" s="232">
        <v>11785.22</v>
      </c>
      <c r="H790" s="35">
        <v>9.2200835724754953</v>
      </c>
      <c r="I790" s="232">
        <v>13016.09</v>
      </c>
      <c r="J790" s="35">
        <v>8.3262471507975189</v>
      </c>
      <c r="K790" s="232">
        <v>14528.05</v>
      </c>
      <c r="L790" s="35">
        <v>8.8435133884164578</v>
      </c>
      <c r="M790" s="232">
        <v>40682.93</v>
      </c>
      <c r="N790" s="35">
        <v>7.7224275993115228</v>
      </c>
      <c r="P790" s="232">
        <v>-29.17</v>
      </c>
      <c r="Q790" s="35">
        <v>1.1936268757870572E-2</v>
      </c>
      <c r="R790" s="232">
        <v>1230.8699999999999</v>
      </c>
      <c r="S790" s="35">
        <v>0.89383642167797639</v>
      </c>
      <c r="T790" s="232">
        <v>26154.880000000001</v>
      </c>
      <c r="U790" s="35">
        <v>1.1210857891049351</v>
      </c>
      <c r="W790" s="35">
        <f t="shared" si="79"/>
        <v>625.9834378935285</v>
      </c>
      <c r="X790" s="35">
        <f t="shared" si="80"/>
        <v>43460.951083898814</v>
      </c>
      <c r="Y790" s="35">
        <f t="shared" si="81"/>
        <v>29899.409455246754</v>
      </c>
      <c r="Z790" s="35">
        <f t="shared" si="82"/>
        <v>0</v>
      </c>
      <c r="AA790" s="35">
        <f t="shared" si="83"/>
        <v>1</v>
      </c>
      <c r="AB790" s="35">
        <f t="shared" si="84"/>
        <v>0</v>
      </c>
    </row>
    <row r="791" spans="1:28">
      <c r="A791" s="35">
        <v>780</v>
      </c>
      <c r="B791" s="35">
        <v>3.7843500357207785E-4</v>
      </c>
      <c r="C791" s="232">
        <v>54.54</v>
      </c>
      <c r="D791" s="35">
        <v>5.0577026669152323</v>
      </c>
      <c r="E791" s="232">
        <v>34.44</v>
      </c>
      <c r="F791" s="35">
        <v>5.0490822530442774</v>
      </c>
      <c r="G791" s="232">
        <v>10507.79</v>
      </c>
      <c r="H791" s="35">
        <v>8.5880614564390232</v>
      </c>
      <c r="I791" s="232">
        <v>10836.83</v>
      </c>
      <c r="J791" s="35">
        <v>7.2431299188765799</v>
      </c>
      <c r="K791" s="232">
        <v>15291.58</v>
      </c>
      <c r="L791" s="35">
        <v>8.968942335876477</v>
      </c>
      <c r="M791" s="232">
        <v>41425.68</v>
      </c>
      <c r="N791" s="35">
        <v>7.9258321235537261</v>
      </c>
      <c r="P791" s="232">
        <v>-20.11</v>
      </c>
      <c r="Q791" s="35">
        <v>8.6204138709549127E-3</v>
      </c>
      <c r="R791" s="232">
        <v>329.04</v>
      </c>
      <c r="S791" s="35">
        <v>1.3449315375624433</v>
      </c>
      <c r="T791" s="232">
        <v>26134.1</v>
      </c>
      <c r="U791" s="35">
        <v>1.0431102123227509</v>
      </c>
      <c r="W791" s="35">
        <f t="shared" si="79"/>
        <v>451.13069354774564</v>
      </c>
      <c r="X791" s="35">
        <f t="shared" si="80"/>
        <v>66917.536878122177</v>
      </c>
      <c r="Y791" s="35">
        <f t="shared" si="81"/>
        <v>26021.410616137546</v>
      </c>
      <c r="Z791" s="35">
        <f t="shared" si="82"/>
        <v>0</v>
      </c>
      <c r="AA791" s="35">
        <f t="shared" si="83"/>
        <v>1</v>
      </c>
      <c r="AB791" s="35">
        <f t="shared" si="84"/>
        <v>0</v>
      </c>
    </row>
    <row r="792" spans="1:28">
      <c r="A792" s="35">
        <v>781</v>
      </c>
      <c r="B792" s="35">
        <v>4.7645372600824132E-4</v>
      </c>
      <c r="C792" s="232">
        <v>66.959999999999994</v>
      </c>
      <c r="D792" s="35">
        <v>5.0636406741779432</v>
      </c>
      <c r="E792" s="232">
        <v>48.9</v>
      </c>
      <c r="F792" s="35">
        <v>5.055294877869593</v>
      </c>
      <c r="G792" s="232">
        <v>10883.26</v>
      </c>
      <c r="H792" s="35">
        <v>8.9912184515082636</v>
      </c>
      <c r="I792" s="232">
        <v>11920.71</v>
      </c>
      <c r="J792" s="35">
        <v>7.7730726730629005</v>
      </c>
      <c r="K792" s="232">
        <v>13928.03</v>
      </c>
      <c r="L792" s="35">
        <v>8.6116899710268981</v>
      </c>
      <c r="M792" s="232">
        <v>39983.379999999997</v>
      </c>
      <c r="N792" s="35">
        <v>7.6122035952026534</v>
      </c>
      <c r="P792" s="232">
        <v>-18.07</v>
      </c>
      <c r="Q792" s="35">
        <v>8.3457963083501951E-3</v>
      </c>
      <c r="R792" s="232">
        <v>1037.45</v>
      </c>
      <c r="S792" s="35">
        <v>1.2181457784453631</v>
      </c>
      <c r="T792" s="232">
        <v>26055.35</v>
      </c>
      <c r="U792" s="35">
        <v>0.99948637582424471</v>
      </c>
      <c r="W792" s="35">
        <f t="shared" si="79"/>
        <v>435.35981541750976</v>
      </c>
      <c r="X792" s="35">
        <f t="shared" si="80"/>
        <v>59869.838922268158</v>
      </c>
      <c r="Y792" s="35">
        <f t="shared" si="81"/>
        <v>23918.968791212239</v>
      </c>
      <c r="Z792" s="35">
        <f t="shared" si="82"/>
        <v>0</v>
      </c>
      <c r="AA792" s="35">
        <f t="shared" si="83"/>
        <v>1</v>
      </c>
      <c r="AB792" s="35">
        <f t="shared" si="84"/>
        <v>0</v>
      </c>
    </row>
    <row r="793" spans="1:28">
      <c r="A793" s="35">
        <v>782</v>
      </c>
      <c r="B793" s="35">
        <v>4.5785088601935087E-4</v>
      </c>
      <c r="C793" s="232">
        <v>61.92</v>
      </c>
      <c r="D793" s="35">
        <v>5.0622901787616801</v>
      </c>
      <c r="E793" s="232">
        <v>39.76</v>
      </c>
      <c r="F793" s="35">
        <v>5.0521277677941647</v>
      </c>
      <c r="G793" s="232">
        <v>10607.07</v>
      </c>
      <c r="H793" s="35">
        <v>8.9530838714055623</v>
      </c>
      <c r="I793" s="232">
        <v>12612.49</v>
      </c>
      <c r="J793" s="35">
        <v>8.5267882222773981</v>
      </c>
      <c r="K793" s="232">
        <v>11374.05</v>
      </c>
      <c r="L793" s="35">
        <v>8.5225218570036478</v>
      </c>
      <c r="M793" s="232">
        <v>37273.46</v>
      </c>
      <c r="N793" s="35">
        <v>7.4009178760782204</v>
      </c>
      <c r="P793" s="232">
        <v>-22.16</v>
      </c>
      <c r="Q793" s="35">
        <v>1.0162410967515356E-2</v>
      </c>
      <c r="R793" s="232">
        <v>2005.42</v>
      </c>
      <c r="S793" s="35">
        <v>0.4262956491281642</v>
      </c>
      <c r="T793" s="232">
        <v>25899.41</v>
      </c>
      <c r="U793" s="35">
        <v>1.1216039809254275</v>
      </c>
      <c r="W793" s="35">
        <f t="shared" si="79"/>
        <v>530.28054837576781</v>
      </c>
      <c r="X793" s="35">
        <f t="shared" si="80"/>
        <v>19309.362456408213</v>
      </c>
      <c r="Y793" s="35">
        <f t="shared" si="81"/>
        <v>30180.789046271373</v>
      </c>
      <c r="Z793" s="35">
        <f t="shared" si="82"/>
        <v>0</v>
      </c>
      <c r="AA793" s="35">
        <f t="shared" si="83"/>
        <v>0</v>
      </c>
      <c r="AB793" s="35">
        <f t="shared" si="84"/>
        <v>1</v>
      </c>
    </row>
    <row r="794" spans="1:28">
      <c r="A794" s="35">
        <v>783</v>
      </c>
      <c r="B794" s="35">
        <v>3.6681524684913558E-4</v>
      </c>
      <c r="C794" s="232">
        <v>46.44</v>
      </c>
      <c r="D794" s="35">
        <v>5.0561035911501762</v>
      </c>
      <c r="E794" s="232">
        <v>30.3</v>
      </c>
      <c r="F794" s="35">
        <v>5.0483503430604442</v>
      </c>
      <c r="G794" s="232">
        <v>9135.01</v>
      </c>
      <c r="H794" s="35">
        <v>8.4390297742376195</v>
      </c>
      <c r="I794" s="232">
        <v>9096.51</v>
      </c>
      <c r="J794" s="35">
        <v>6.6198717970266348</v>
      </c>
      <c r="K794" s="232">
        <v>12155.95</v>
      </c>
      <c r="L794" s="35">
        <v>8.5049704830816726</v>
      </c>
      <c r="M794" s="232">
        <v>38139.08</v>
      </c>
      <c r="N794" s="35">
        <v>7.4124227504753293</v>
      </c>
      <c r="P794" s="232">
        <v>-16.14</v>
      </c>
      <c r="Q794" s="35">
        <v>7.75324808973199E-3</v>
      </c>
      <c r="R794" s="232">
        <v>-38.5</v>
      </c>
      <c r="S794" s="35">
        <v>1.8191579772109847</v>
      </c>
      <c r="T794" s="232">
        <v>25983.13</v>
      </c>
      <c r="U794" s="35">
        <v>1.0925477326063433</v>
      </c>
      <c r="W794" s="35">
        <f t="shared" si="79"/>
        <v>403.80240448659947</v>
      </c>
      <c r="X794" s="35">
        <f t="shared" si="80"/>
        <v>90996.398860549234</v>
      </c>
      <c r="Y794" s="35">
        <f t="shared" si="81"/>
        <v>28644.256630317166</v>
      </c>
      <c r="Z794" s="35">
        <f t="shared" si="82"/>
        <v>0</v>
      </c>
      <c r="AA794" s="35">
        <f t="shared" si="83"/>
        <v>1</v>
      </c>
      <c r="AB794" s="35">
        <f t="shared" si="84"/>
        <v>0</v>
      </c>
    </row>
    <row r="795" spans="1:28">
      <c r="A795" s="35">
        <v>784</v>
      </c>
      <c r="B795" s="35">
        <v>4.412877735382667E-4</v>
      </c>
      <c r="C795" s="232">
        <v>70.739999999999995</v>
      </c>
      <c r="D795" s="35">
        <v>5.0600769147791036</v>
      </c>
      <c r="E795" s="232">
        <v>48.8</v>
      </c>
      <c r="F795" s="35">
        <v>5.052057424367054</v>
      </c>
      <c r="G795" s="232">
        <v>12331.04</v>
      </c>
      <c r="H795" s="35">
        <v>8.462407889548432</v>
      </c>
      <c r="I795" s="232">
        <v>14131.9</v>
      </c>
      <c r="J795" s="35">
        <v>7.9991431219741056</v>
      </c>
      <c r="K795" s="232">
        <v>15202.67</v>
      </c>
      <c r="L795" s="35">
        <v>8.4758880701351735</v>
      </c>
      <c r="M795" s="232">
        <v>41428.1</v>
      </c>
      <c r="N795" s="35">
        <v>7.3529011894971621</v>
      </c>
      <c r="P795" s="232">
        <v>-21.94</v>
      </c>
      <c r="Q795" s="35">
        <v>8.0194904120496346E-3</v>
      </c>
      <c r="R795" s="232">
        <v>1800.86</v>
      </c>
      <c r="S795" s="35">
        <v>0.46326476757432644</v>
      </c>
      <c r="T795" s="232">
        <v>26225.43</v>
      </c>
      <c r="U795" s="35">
        <v>1.1229868806380114</v>
      </c>
      <c r="W795" s="35">
        <f t="shared" si="79"/>
        <v>422.91452060248173</v>
      </c>
      <c r="X795" s="35">
        <f t="shared" si="80"/>
        <v>21362.378378716323</v>
      </c>
      <c r="Y795" s="35">
        <f t="shared" si="81"/>
        <v>29923.914031900575</v>
      </c>
      <c r="Z795" s="35">
        <f t="shared" si="82"/>
        <v>0</v>
      </c>
      <c r="AA795" s="35">
        <f t="shared" si="83"/>
        <v>0</v>
      </c>
      <c r="AB795" s="35">
        <f t="shared" si="84"/>
        <v>1</v>
      </c>
    </row>
    <row r="796" spans="1:28">
      <c r="A796" s="35">
        <v>785</v>
      </c>
      <c r="B796" s="35">
        <v>5.3974021187808141E-4</v>
      </c>
      <c r="C796" s="232">
        <v>80.16</v>
      </c>
      <c r="D796" s="35">
        <v>5.0672719406812243</v>
      </c>
      <c r="E796" s="232">
        <v>55.17</v>
      </c>
      <c r="F796" s="35">
        <v>5.0567795994446136</v>
      </c>
      <c r="G796" s="232">
        <v>11007.14</v>
      </c>
      <c r="H796" s="35">
        <v>8.8751473645929089</v>
      </c>
      <c r="I796" s="232">
        <v>11966.59</v>
      </c>
      <c r="J796" s="35">
        <v>7.8207482467676686</v>
      </c>
      <c r="K796" s="232">
        <v>14624.9</v>
      </c>
      <c r="L796" s="35">
        <v>8.7057885698227651</v>
      </c>
      <c r="M796" s="232">
        <v>40765.760000000002</v>
      </c>
      <c r="N796" s="35">
        <v>7.5982036100454673</v>
      </c>
      <c r="P796" s="232">
        <v>-24.99</v>
      </c>
      <c r="Q796" s="35">
        <v>1.0492341236610692E-2</v>
      </c>
      <c r="R796" s="232">
        <v>959.45</v>
      </c>
      <c r="S796" s="35">
        <v>1.0543991178252403</v>
      </c>
      <c r="T796" s="232">
        <v>26140.86</v>
      </c>
      <c r="U796" s="35">
        <v>1.1075849597772978</v>
      </c>
      <c r="W796" s="35">
        <f t="shared" si="79"/>
        <v>549.60706183053458</v>
      </c>
      <c r="X796" s="35">
        <f t="shared" si="80"/>
        <v>51760.505891262015</v>
      </c>
      <c r="Y796" s="35">
        <f t="shared" si="81"/>
        <v>29238.387988864888</v>
      </c>
      <c r="Z796" s="35">
        <f t="shared" si="82"/>
        <v>0</v>
      </c>
      <c r="AA796" s="35">
        <f t="shared" si="83"/>
        <v>1</v>
      </c>
      <c r="AB796" s="35">
        <f t="shared" si="84"/>
        <v>0</v>
      </c>
    </row>
    <row r="797" spans="1:28">
      <c r="A797" s="35">
        <v>786</v>
      </c>
      <c r="B797" s="35">
        <v>3.1996433054591649E-4</v>
      </c>
      <c r="C797" s="232">
        <v>55.43</v>
      </c>
      <c r="D797" s="35">
        <v>5.0556591949811205</v>
      </c>
      <c r="E797" s="232">
        <v>34.06</v>
      </c>
      <c r="F797" s="35">
        <v>5.0476469631798677</v>
      </c>
      <c r="G797" s="232">
        <v>13544.65</v>
      </c>
      <c r="H797" s="35">
        <v>9.1107451303447089</v>
      </c>
      <c r="I797" s="232">
        <v>13707.22</v>
      </c>
      <c r="J797" s="35">
        <v>7.190773392125946</v>
      </c>
      <c r="K797" s="232">
        <v>16566.29</v>
      </c>
      <c r="L797" s="35">
        <v>8.9147996732645627</v>
      </c>
      <c r="M797" s="232">
        <v>42784.62</v>
      </c>
      <c r="N797" s="35">
        <v>7.827165875405977</v>
      </c>
      <c r="P797" s="232">
        <v>-21.38</v>
      </c>
      <c r="Q797" s="35">
        <v>8.0122318012527671E-3</v>
      </c>
      <c r="R797" s="232">
        <v>162.57</v>
      </c>
      <c r="S797" s="35">
        <v>1.9199717382187629</v>
      </c>
      <c r="T797" s="232">
        <v>26218.32</v>
      </c>
      <c r="U797" s="35">
        <v>1.0876337978585857</v>
      </c>
      <c r="W797" s="35">
        <f t="shared" si="79"/>
        <v>421.99159006263835</v>
      </c>
      <c r="X797" s="35">
        <f t="shared" si="80"/>
        <v>95836.016910938139</v>
      </c>
      <c r="Y797" s="35">
        <f t="shared" si="81"/>
        <v>28163.369892929288</v>
      </c>
      <c r="Z797" s="35">
        <f t="shared" si="82"/>
        <v>0</v>
      </c>
      <c r="AA797" s="35">
        <f t="shared" si="83"/>
        <v>1</v>
      </c>
      <c r="AB797" s="35">
        <f t="shared" si="84"/>
        <v>0</v>
      </c>
    </row>
    <row r="798" spans="1:28">
      <c r="A798" s="35">
        <v>787</v>
      </c>
      <c r="B798" s="35">
        <v>4.2001772657792154E-4</v>
      </c>
      <c r="C798" s="232">
        <v>68.11</v>
      </c>
      <c r="D798" s="35">
        <v>5.0616808841845238</v>
      </c>
      <c r="E798" s="232">
        <v>40.36</v>
      </c>
      <c r="F798" s="35">
        <v>5.0507234362918965</v>
      </c>
      <c r="G798" s="232">
        <v>12599.06</v>
      </c>
      <c r="H798" s="35">
        <v>8.9399681837001594</v>
      </c>
      <c r="I798" s="232">
        <v>13016.27</v>
      </c>
      <c r="J798" s="35">
        <v>7.4350973279978749</v>
      </c>
      <c r="K798" s="232">
        <v>18008.95</v>
      </c>
      <c r="L798" s="35">
        <v>9.489256587758149</v>
      </c>
      <c r="M798" s="232">
        <v>44254.31</v>
      </c>
      <c r="N798" s="35">
        <v>8.4192265396742165</v>
      </c>
      <c r="P798" s="232">
        <v>-27.75</v>
      </c>
      <c r="Q798" s="35">
        <v>1.0957447892627314E-2</v>
      </c>
      <c r="R798" s="232">
        <v>417.21</v>
      </c>
      <c r="S798" s="35">
        <v>1.5048708557022845</v>
      </c>
      <c r="T798" s="232">
        <v>26245.360000000001</v>
      </c>
      <c r="U798" s="35">
        <v>1.0700300480839324</v>
      </c>
      <c r="W798" s="35">
        <f t="shared" si="79"/>
        <v>575.62239463136575</v>
      </c>
      <c r="X798" s="35">
        <f t="shared" si="80"/>
        <v>74826.332785114224</v>
      </c>
      <c r="Y798" s="35">
        <f t="shared" si="81"/>
        <v>27256.142404196624</v>
      </c>
      <c r="Z798" s="35">
        <f t="shared" si="82"/>
        <v>0</v>
      </c>
      <c r="AA798" s="35">
        <f t="shared" si="83"/>
        <v>1</v>
      </c>
      <c r="AB798" s="35">
        <f t="shared" si="84"/>
        <v>0</v>
      </c>
    </row>
    <row r="799" spans="1:28">
      <c r="A799" s="35">
        <v>788</v>
      </c>
      <c r="B799" s="35">
        <v>3.347433536380452E-4</v>
      </c>
      <c r="C799" s="232">
        <v>49.88</v>
      </c>
      <c r="D799" s="35">
        <v>5.0576522490543727</v>
      </c>
      <c r="E799" s="232">
        <v>37.11</v>
      </c>
      <c r="F799" s="35">
        <v>5.0511536258348579</v>
      </c>
      <c r="G799" s="232">
        <v>11564.23</v>
      </c>
      <c r="H799" s="35">
        <v>9.2485385063789973</v>
      </c>
      <c r="I799" s="232">
        <v>12629.1</v>
      </c>
      <c r="J799" s="35">
        <v>7.7214932611735625</v>
      </c>
      <c r="K799" s="232">
        <v>14053.34</v>
      </c>
      <c r="L799" s="35">
        <v>9.129707621115756</v>
      </c>
      <c r="M799" s="232">
        <v>40176.9</v>
      </c>
      <c r="N799" s="35">
        <v>7.9550110283679469</v>
      </c>
      <c r="P799" s="232">
        <v>-12.77</v>
      </c>
      <c r="Q799" s="35">
        <v>6.4986232195147764E-3</v>
      </c>
      <c r="R799" s="232">
        <v>1064.8699999999999</v>
      </c>
      <c r="S799" s="35">
        <v>1.5270452452054348</v>
      </c>
      <c r="T799" s="232">
        <v>26123.56</v>
      </c>
      <c r="U799" s="35">
        <v>1.174696592747809</v>
      </c>
      <c r="W799" s="35">
        <f t="shared" si="79"/>
        <v>337.70116097573879</v>
      </c>
      <c r="X799" s="35">
        <f t="shared" si="80"/>
        <v>75287.39226027175</v>
      </c>
      <c r="Y799" s="35">
        <f t="shared" si="81"/>
        <v>32611.269637390451</v>
      </c>
      <c r="Z799" s="35">
        <f t="shared" si="82"/>
        <v>0</v>
      </c>
      <c r="AA799" s="35">
        <f t="shared" si="83"/>
        <v>1</v>
      </c>
      <c r="AB799" s="35">
        <f t="shared" si="84"/>
        <v>0</v>
      </c>
    </row>
    <row r="800" spans="1:28">
      <c r="A800" s="35">
        <v>789</v>
      </c>
      <c r="B800" s="35">
        <v>5.980981531841234E-4</v>
      </c>
      <c r="C800" s="232">
        <v>69.209999999999994</v>
      </c>
      <c r="D800" s="35">
        <v>5.0678593810095505</v>
      </c>
      <c r="E800" s="232">
        <v>43.27</v>
      </c>
      <c r="F800" s="35">
        <v>5.0550545898981412</v>
      </c>
      <c r="G800" s="232">
        <v>9103.4</v>
      </c>
      <c r="H800" s="35">
        <v>8.2106110413441247</v>
      </c>
      <c r="I800" s="232">
        <v>10909.71</v>
      </c>
      <c r="J800" s="35">
        <v>7.4996834992228942</v>
      </c>
      <c r="K800" s="232">
        <v>11607.59</v>
      </c>
      <c r="L800" s="35">
        <v>8.9207710020723336</v>
      </c>
      <c r="M800" s="232">
        <v>37606.120000000003</v>
      </c>
      <c r="N800" s="35">
        <v>7.7824181434882478</v>
      </c>
      <c r="P800" s="232">
        <v>-25.94</v>
      </c>
      <c r="Q800" s="35">
        <v>1.2804791111409308E-2</v>
      </c>
      <c r="R800" s="232">
        <v>1806.31</v>
      </c>
      <c r="S800" s="35">
        <v>0.71092754212123044</v>
      </c>
      <c r="T800" s="232">
        <v>25998.53</v>
      </c>
      <c r="U800" s="35">
        <v>1.1383528585840859</v>
      </c>
      <c r="W800" s="35">
        <f t="shared" si="79"/>
        <v>666.17955557046548</v>
      </c>
      <c r="X800" s="35">
        <f t="shared" si="80"/>
        <v>33740.067106061528</v>
      </c>
      <c r="Y800" s="35">
        <f t="shared" si="81"/>
        <v>30919.112929204297</v>
      </c>
      <c r="Z800" s="35">
        <f t="shared" si="82"/>
        <v>0</v>
      </c>
      <c r="AA800" s="35">
        <f t="shared" si="83"/>
        <v>1</v>
      </c>
      <c r="AB800" s="35">
        <f t="shared" si="84"/>
        <v>0</v>
      </c>
    </row>
    <row r="801" spans="1:28">
      <c r="A801" s="35">
        <v>790</v>
      </c>
      <c r="B801" s="35">
        <v>5.3802147094794694E-4</v>
      </c>
      <c r="C801" s="232">
        <v>81.47</v>
      </c>
      <c r="D801" s="35">
        <v>5.067711271094236</v>
      </c>
      <c r="E801" s="232">
        <v>44.45</v>
      </c>
      <c r="F801" s="35">
        <v>5.0528351092025927</v>
      </c>
      <c r="G801" s="232">
        <v>12074.14</v>
      </c>
      <c r="H801" s="35">
        <v>9.0424313274434898</v>
      </c>
      <c r="I801" s="232">
        <v>13619.57</v>
      </c>
      <c r="J801" s="35">
        <v>8.0380504655369744</v>
      </c>
      <c r="K801" s="232">
        <v>14077.77</v>
      </c>
      <c r="L801" s="35">
        <v>9.0794270624876159</v>
      </c>
      <c r="M801" s="232">
        <v>40110.03</v>
      </c>
      <c r="N801" s="35">
        <v>8.0074954078013736</v>
      </c>
      <c r="P801" s="232">
        <v>-37.020000000000003</v>
      </c>
      <c r="Q801" s="35">
        <v>1.4876161891643314E-2</v>
      </c>
      <c r="R801" s="232">
        <v>1545.42</v>
      </c>
      <c r="S801" s="35">
        <v>1.0043808619065153</v>
      </c>
      <c r="T801" s="232">
        <v>26032.25</v>
      </c>
      <c r="U801" s="35">
        <v>1.0719316546862423</v>
      </c>
      <c r="W801" s="35">
        <f t="shared" si="79"/>
        <v>780.8280945821657</v>
      </c>
      <c r="X801" s="35">
        <f t="shared" si="80"/>
        <v>48673.623095325769</v>
      </c>
      <c r="Y801" s="35">
        <f t="shared" si="81"/>
        <v>27564.332734312113</v>
      </c>
      <c r="Z801" s="35">
        <f t="shared" si="82"/>
        <v>0</v>
      </c>
      <c r="AA801" s="35">
        <f t="shared" si="83"/>
        <v>1</v>
      </c>
      <c r="AB801" s="35">
        <f t="shared" si="84"/>
        <v>0</v>
      </c>
    </row>
    <row r="802" spans="1:28">
      <c r="A802" s="35">
        <v>791</v>
      </c>
      <c r="B802" s="35">
        <v>3.4825218638819894E-4</v>
      </c>
      <c r="C802" s="232">
        <v>47.17</v>
      </c>
      <c r="D802" s="35">
        <v>5.0549106027572677</v>
      </c>
      <c r="E802" s="232">
        <v>31.58</v>
      </c>
      <c r="F802" s="35">
        <v>5.0479756126869866</v>
      </c>
      <c r="G802" s="232">
        <v>11069.04</v>
      </c>
      <c r="H802" s="35">
        <v>8.2484826389730213</v>
      </c>
      <c r="I802" s="232">
        <v>13059.99</v>
      </c>
      <c r="J802" s="35">
        <v>7.0518281996675922</v>
      </c>
      <c r="K802" s="232">
        <v>11454.49</v>
      </c>
      <c r="L802" s="35">
        <v>8.6412619050153587</v>
      </c>
      <c r="M802" s="232">
        <v>37379.85</v>
      </c>
      <c r="N802" s="35">
        <v>7.5558073312234928</v>
      </c>
      <c r="P802" s="232">
        <v>-15.59</v>
      </c>
      <c r="Q802" s="35">
        <v>6.9349900702810885E-3</v>
      </c>
      <c r="R802" s="232">
        <v>1990.96</v>
      </c>
      <c r="S802" s="35">
        <v>1.196654439305429</v>
      </c>
      <c r="T802" s="232">
        <v>25925.360000000001</v>
      </c>
      <c r="U802" s="35">
        <v>1.0854545737918659</v>
      </c>
      <c r="W802" s="35">
        <f t="shared" si="79"/>
        <v>362.3395035140544</v>
      </c>
      <c r="X802" s="35">
        <f t="shared" si="80"/>
        <v>57841.761965271449</v>
      </c>
      <c r="Y802" s="35">
        <f t="shared" si="81"/>
        <v>28347.368689593299</v>
      </c>
      <c r="Z802" s="35">
        <f t="shared" si="82"/>
        <v>0</v>
      </c>
      <c r="AA802" s="35">
        <f t="shared" si="83"/>
        <v>1</v>
      </c>
      <c r="AB802" s="35">
        <f t="shared" si="84"/>
        <v>0</v>
      </c>
    </row>
    <row r="803" spans="1:28">
      <c r="A803" s="35">
        <v>792</v>
      </c>
      <c r="B803" s="35">
        <v>4.1492542256228547E-4</v>
      </c>
      <c r="C803" s="232">
        <v>71.97</v>
      </c>
      <c r="D803" s="35">
        <v>5.0581766374959143</v>
      </c>
      <c r="E803" s="232">
        <v>46.32</v>
      </c>
      <c r="F803" s="35">
        <v>5.0499265000502849</v>
      </c>
      <c r="G803" s="232">
        <v>13264.06</v>
      </c>
      <c r="H803" s="35">
        <v>8.3955131532167595</v>
      </c>
      <c r="I803" s="232">
        <v>12550.2</v>
      </c>
      <c r="J803" s="35">
        <v>6.517002485272104</v>
      </c>
      <c r="K803" s="232">
        <v>18742.95</v>
      </c>
      <c r="L803" s="35">
        <v>8.4456523518345197</v>
      </c>
      <c r="M803" s="232">
        <v>45054.18</v>
      </c>
      <c r="N803" s="35">
        <v>7.376947727123496</v>
      </c>
      <c r="P803" s="232">
        <v>-25.65</v>
      </c>
      <c r="Q803" s="35">
        <v>8.250137445629413E-3</v>
      </c>
      <c r="R803" s="232">
        <v>-713.85</v>
      </c>
      <c r="S803" s="35">
        <v>1.8785106679446555</v>
      </c>
      <c r="T803" s="232">
        <v>26311.23</v>
      </c>
      <c r="U803" s="35">
        <v>1.0687046247110237</v>
      </c>
      <c r="W803" s="35">
        <f t="shared" si="79"/>
        <v>438.15687228147061</v>
      </c>
      <c r="X803" s="35">
        <f t="shared" si="80"/>
        <v>94639.383397232785</v>
      </c>
      <c r="Y803" s="35">
        <f t="shared" si="81"/>
        <v>27124.001235551183</v>
      </c>
      <c r="Z803" s="35">
        <f t="shared" si="82"/>
        <v>0</v>
      </c>
      <c r="AA803" s="35">
        <f t="shared" si="83"/>
        <v>1</v>
      </c>
      <c r="AB803" s="35">
        <f t="shared" si="84"/>
        <v>0</v>
      </c>
    </row>
    <row r="804" spans="1:28">
      <c r="A804" s="35">
        <v>793</v>
      </c>
      <c r="B804" s="35">
        <v>3.9544343427469784E-4</v>
      </c>
      <c r="C804" s="232">
        <v>47.7</v>
      </c>
      <c r="D804" s="35">
        <v>5.0565019635208079</v>
      </c>
      <c r="E804" s="232">
        <v>32.81</v>
      </c>
      <c r="F804" s="35">
        <v>5.0492732478459095</v>
      </c>
      <c r="G804" s="232">
        <v>9890.32</v>
      </c>
      <c r="H804" s="35">
        <v>8.0018364638501698</v>
      </c>
      <c r="I804" s="232">
        <v>11736</v>
      </c>
      <c r="J804" s="35">
        <v>6.5496049793795796</v>
      </c>
      <c r="K804" s="232">
        <v>11086.05</v>
      </c>
      <c r="L804" s="35">
        <v>8.6699917625046456</v>
      </c>
      <c r="M804" s="232">
        <v>37051.800000000003</v>
      </c>
      <c r="N804" s="35">
        <v>7.5810750555983901</v>
      </c>
      <c r="P804" s="232">
        <v>-14.9</v>
      </c>
      <c r="Q804" s="35">
        <v>7.2287156748984671E-3</v>
      </c>
      <c r="R804" s="232">
        <v>1845.68</v>
      </c>
      <c r="S804" s="35">
        <v>1.4522314844705901</v>
      </c>
      <c r="T804" s="232">
        <v>25965.75</v>
      </c>
      <c r="U804" s="35">
        <v>1.0889167069062555</v>
      </c>
      <c r="W804" s="35">
        <f t="shared" si="79"/>
        <v>376.33578374492333</v>
      </c>
      <c r="X804" s="35">
        <f t="shared" si="80"/>
        <v>70765.894223529511</v>
      </c>
      <c r="Y804" s="35">
        <f t="shared" si="81"/>
        <v>28480.085345312778</v>
      </c>
      <c r="Z804" s="35">
        <f t="shared" si="82"/>
        <v>0</v>
      </c>
      <c r="AA804" s="35">
        <f t="shared" si="83"/>
        <v>1</v>
      </c>
      <c r="AB804" s="35">
        <f t="shared" si="84"/>
        <v>0</v>
      </c>
    </row>
    <row r="805" spans="1:28">
      <c r="A805" s="35">
        <v>794</v>
      </c>
      <c r="B805" s="35">
        <v>5.0968536438800172E-4</v>
      </c>
      <c r="C805" s="232">
        <v>60.97</v>
      </c>
      <c r="D805" s="35">
        <v>5.066444482330037</v>
      </c>
      <c r="E805" s="232">
        <v>37.270000000000003</v>
      </c>
      <c r="F805" s="35">
        <v>5.0536425261268896</v>
      </c>
      <c r="G805" s="232">
        <v>9201.7800000000007</v>
      </c>
      <c r="H805" s="35">
        <v>9.1386249494649174</v>
      </c>
      <c r="I805" s="232">
        <v>10918.17</v>
      </c>
      <c r="J805" s="35">
        <v>8.3650906450377978</v>
      </c>
      <c r="K805" s="232">
        <v>10554.75</v>
      </c>
      <c r="L805" s="35">
        <v>8.849730050563938</v>
      </c>
      <c r="M805" s="232">
        <v>36461.5</v>
      </c>
      <c r="N805" s="35">
        <v>7.7294285844076187</v>
      </c>
      <c r="P805" s="232">
        <v>-23.7</v>
      </c>
      <c r="Q805" s="35">
        <v>1.2801956203147391E-2</v>
      </c>
      <c r="R805" s="232">
        <v>1716.39</v>
      </c>
      <c r="S805" s="35">
        <v>0.77353430442711968</v>
      </c>
      <c r="T805" s="232">
        <v>25906.74</v>
      </c>
      <c r="U805" s="35">
        <v>1.1203014661563193</v>
      </c>
      <c r="W805" s="35">
        <f t="shared" si="79"/>
        <v>663.79781015736955</v>
      </c>
      <c r="X805" s="35">
        <f t="shared" si="80"/>
        <v>36960.325221355983</v>
      </c>
      <c r="Y805" s="35">
        <f t="shared" si="81"/>
        <v>30108.333307815967</v>
      </c>
      <c r="Z805" s="35">
        <f t="shared" si="82"/>
        <v>0</v>
      </c>
      <c r="AA805" s="35">
        <f t="shared" si="83"/>
        <v>1</v>
      </c>
      <c r="AB805" s="35">
        <f t="shared" si="84"/>
        <v>0</v>
      </c>
    </row>
    <row r="806" spans="1:28">
      <c r="A806" s="35">
        <v>795</v>
      </c>
      <c r="B806" s="35">
        <v>3.710268148113487E-4</v>
      </c>
      <c r="C806" s="232">
        <v>58.43</v>
      </c>
      <c r="D806" s="35">
        <v>5.0562067058977354</v>
      </c>
      <c r="E806" s="232">
        <v>36.590000000000003</v>
      </c>
      <c r="F806" s="35">
        <v>5.0482237369401108</v>
      </c>
      <c r="G806" s="232">
        <v>12561.18</v>
      </c>
      <c r="H806" s="35">
        <v>8.3792035136966145</v>
      </c>
      <c r="I806" s="232">
        <v>14425.24</v>
      </c>
      <c r="J806" s="35">
        <v>7.8735975750515825</v>
      </c>
      <c r="K806" s="232">
        <v>15247.17</v>
      </c>
      <c r="L806" s="35">
        <v>8.5587141899213801</v>
      </c>
      <c r="M806" s="232">
        <v>41380.910000000003</v>
      </c>
      <c r="N806" s="35">
        <v>7.4904346454319137</v>
      </c>
      <c r="P806" s="232">
        <v>-21.85</v>
      </c>
      <c r="Q806" s="35">
        <v>7.9829689576245144E-3</v>
      </c>
      <c r="R806" s="232">
        <v>1864.06</v>
      </c>
      <c r="S806" s="35">
        <v>0.505605938645032</v>
      </c>
      <c r="T806" s="232">
        <v>26133.74</v>
      </c>
      <c r="U806" s="35">
        <v>1.0682795444894664</v>
      </c>
      <c r="W806" s="35">
        <f t="shared" si="79"/>
        <v>420.99844788122573</v>
      </c>
      <c r="X806" s="35">
        <f t="shared" si="80"/>
        <v>23416.236932251599</v>
      </c>
      <c r="Y806" s="35">
        <f t="shared" si="81"/>
        <v>27280.237224473316</v>
      </c>
      <c r="Z806" s="35">
        <f t="shared" si="82"/>
        <v>0</v>
      </c>
      <c r="AA806" s="35">
        <f t="shared" si="83"/>
        <v>0</v>
      </c>
      <c r="AB806" s="35">
        <f t="shared" si="84"/>
        <v>1</v>
      </c>
    </row>
    <row r="807" spans="1:28">
      <c r="A807" s="35">
        <v>796</v>
      </c>
      <c r="B807" s="35">
        <v>5.347569804785568E-4</v>
      </c>
      <c r="C807" s="232">
        <v>87.15</v>
      </c>
      <c r="D807" s="35">
        <v>5.0666368787948795</v>
      </c>
      <c r="E807" s="232">
        <v>58.18</v>
      </c>
      <c r="F807" s="35">
        <v>5.0558825219901831</v>
      </c>
      <c r="G807" s="232">
        <v>12102.55</v>
      </c>
      <c r="H807" s="35">
        <v>8.8796172304995906</v>
      </c>
      <c r="I807" s="232">
        <v>12714.22</v>
      </c>
      <c r="J807" s="35">
        <v>7.9275785312869678</v>
      </c>
      <c r="K807" s="232">
        <v>18085.98</v>
      </c>
      <c r="L807" s="35">
        <v>8.5429790650260102</v>
      </c>
      <c r="M807" s="232">
        <v>44459.92</v>
      </c>
      <c r="N807" s="35">
        <v>7.4024074521337546</v>
      </c>
      <c r="P807" s="232">
        <v>-28.97</v>
      </c>
      <c r="Q807" s="35">
        <v>1.0754356804696386E-2</v>
      </c>
      <c r="R807" s="232">
        <v>611.66999999999996</v>
      </c>
      <c r="S807" s="35">
        <v>0.95203869921262285</v>
      </c>
      <c r="T807" s="232">
        <v>26373.95</v>
      </c>
      <c r="U807" s="35">
        <v>1.1405716128922556</v>
      </c>
      <c r="W807" s="35">
        <f t="shared" si="79"/>
        <v>566.6878402348193</v>
      </c>
      <c r="X807" s="35">
        <f t="shared" si="80"/>
        <v>46990.264960631146</v>
      </c>
      <c r="Y807" s="35">
        <f t="shared" si="81"/>
        <v>30654.630644612782</v>
      </c>
      <c r="Z807" s="35">
        <f t="shared" si="82"/>
        <v>0</v>
      </c>
      <c r="AA807" s="35">
        <f t="shared" si="83"/>
        <v>1</v>
      </c>
      <c r="AB807" s="35">
        <f t="shared" si="84"/>
        <v>0</v>
      </c>
    </row>
    <row r="808" spans="1:28">
      <c r="A808" s="35">
        <v>797</v>
      </c>
      <c r="B808" s="35">
        <v>5.4949196843556702E-4</v>
      </c>
      <c r="C808" s="232">
        <v>86.01</v>
      </c>
      <c r="D808" s="35">
        <v>5.0699500602809069</v>
      </c>
      <c r="E808" s="232">
        <v>59.39</v>
      </c>
      <c r="F808" s="35">
        <v>5.0586741539230111</v>
      </c>
      <c r="G808" s="232">
        <v>11740.57</v>
      </c>
      <c r="H808" s="35">
        <v>9.3916869038273205</v>
      </c>
      <c r="I808" s="232">
        <v>12432.08</v>
      </c>
      <c r="J808" s="35">
        <v>8.4597608709804533</v>
      </c>
      <c r="K808" s="232">
        <v>17136.75</v>
      </c>
      <c r="L808" s="35">
        <v>8.7993183632632608</v>
      </c>
      <c r="M808" s="232">
        <v>43448.68</v>
      </c>
      <c r="N808" s="35">
        <v>7.6446976169746534</v>
      </c>
      <c r="P808" s="232">
        <v>-26.61</v>
      </c>
      <c r="Q808" s="35">
        <v>1.1275906357895771E-2</v>
      </c>
      <c r="R808" s="232">
        <v>691.52</v>
      </c>
      <c r="S808" s="35">
        <v>0.93192603284686726</v>
      </c>
      <c r="T808" s="232">
        <v>26311.94</v>
      </c>
      <c r="U808" s="35">
        <v>1.1546207462886073</v>
      </c>
      <c r="W808" s="35">
        <f t="shared" si="79"/>
        <v>590.4053178947886</v>
      </c>
      <c r="X808" s="35">
        <f t="shared" si="80"/>
        <v>45904.781642343369</v>
      </c>
      <c r="Y808" s="35">
        <f t="shared" si="81"/>
        <v>31419.097314430368</v>
      </c>
      <c r="Z808" s="35">
        <f t="shared" si="82"/>
        <v>0</v>
      </c>
      <c r="AA808" s="35">
        <f t="shared" si="83"/>
        <v>1</v>
      </c>
      <c r="AB808" s="35">
        <f t="shared" si="84"/>
        <v>0</v>
      </c>
    </row>
    <row r="809" spans="1:28">
      <c r="A809" s="35">
        <v>798</v>
      </c>
      <c r="B809" s="35">
        <v>4.3891417500928939E-4</v>
      </c>
      <c r="C809" s="232">
        <v>56.88</v>
      </c>
      <c r="D809" s="35">
        <v>5.0613048710810187</v>
      </c>
      <c r="E809" s="232">
        <v>31.78</v>
      </c>
      <c r="F809" s="35">
        <v>5.0494784121673169</v>
      </c>
      <c r="G809" s="232">
        <v>10206.91</v>
      </c>
      <c r="H809" s="35">
        <v>8.9622678655260977</v>
      </c>
      <c r="I809" s="232">
        <v>11428.78</v>
      </c>
      <c r="J809" s="35">
        <v>7.6658974819788854</v>
      </c>
      <c r="K809" s="232">
        <v>12134.41</v>
      </c>
      <c r="L809" s="35">
        <v>8.6536034780464721</v>
      </c>
      <c r="M809" s="232">
        <v>38136.94</v>
      </c>
      <c r="N809" s="35">
        <v>7.5921422812948673</v>
      </c>
      <c r="P809" s="232">
        <v>-25.11</v>
      </c>
      <c r="Q809" s="35">
        <v>1.1826458913701821E-2</v>
      </c>
      <c r="R809" s="232">
        <v>1221.8699999999999</v>
      </c>
      <c r="S809" s="35">
        <v>1.2963703835472122</v>
      </c>
      <c r="T809" s="232">
        <v>26002.53</v>
      </c>
      <c r="U809" s="35">
        <v>1.0614611967516048</v>
      </c>
      <c r="W809" s="35">
        <f t="shared" si="79"/>
        <v>616.432945685091</v>
      </c>
      <c r="X809" s="35">
        <f t="shared" si="80"/>
        <v>63596.64917736061</v>
      </c>
      <c r="Y809" s="35">
        <f t="shared" si="81"/>
        <v>27070.529837580238</v>
      </c>
      <c r="Z809" s="35">
        <f t="shared" si="82"/>
        <v>0</v>
      </c>
      <c r="AA809" s="35">
        <f t="shared" si="83"/>
        <v>1</v>
      </c>
      <c r="AB809" s="35">
        <f t="shared" si="84"/>
        <v>0</v>
      </c>
    </row>
    <row r="810" spans="1:28">
      <c r="A810" s="35">
        <v>799</v>
      </c>
      <c r="B810" s="35">
        <v>4.7595075713469104E-4</v>
      </c>
      <c r="C810" s="232">
        <v>71.760000000000005</v>
      </c>
      <c r="D810" s="35">
        <v>5.0608843375866055</v>
      </c>
      <c r="E810" s="232">
        <v>41.18</v>
      </c>
      <c r="F810" s="35">
        <v>5.0499266640513634</v>
      </c>
      <c r="G810" s="232">
        <v>11690.15</v>
      </c>
      <c r="H810" s="35">
        <v>8.2861328694014116</v>
      </c>
      <c r="I810" s="232">
        <v>12774.79</v>
      </c>
      <c r="J810" s="35">
        <v>7.2116558643691135</v>
      </c>
      <c r="K810" s="232">
        <v>15379.27</v>
      </c>
      <c r="L810" s="35">
        <v>8.527896763307286</v>
      </c>
      <c r="M810" s="232">
        <v>41585.89</v>
      </c>
      <c r="N810" s="35">
        <v>7.3990534185571892</v>
      </c>
      <c r="P810" s="232">
        <v>-30.58</v>
      </c>
      <c r="Q810" s="35">
        <v>1.095767353524213E-2</v>
      </c>
      <c r="R810" s="232">
        <v>1084.6400000000001</v>
      </c>
      <c r="S810" s="35">
        <v>1.074477005032298</v>
      </c>
      <c r="T810" s="232">
        <v>26206.62</v>
      </c>
      <c r="U810" s="35">
        <v>1.1288433447500967</v>
      </c>
      <c r="W810" s="35">
        <f t="shared" si="79"/>
        <v>578.4636767621065</v>
      </c>
      <c r="X810" s="35">
        <f t="shared" si="80"/>
        <v>52639.210251614903</v>
      </c>
      <c r="Y810" s="35">
        <f t="shared" si="81"/>
        <v>30235.547237504838</v>
      </c>
      <c r="Z810" s="35">
        <f t="shared" si="82"/>
        <v>0</v>
      </c>
      <c r="AA810" s="35">
        <f t="shared" si="83"/>
        <v>1</v>
      </c>
      <c r="AB810" s="35">
        <f t="shared" si="84"/>
        <v>0</v>
      </c>
    </row>
    <row r="811" spans="1:28">
      <c r="A811" s="35">
        <v>800</v>
      </c>
      <c r="B811" s="35">
        <v>4.6518214630386634E-4</v>
      </c>
      <c r="C811" s="232">
        <v>58.27</v>
      </c>
      <c r="D811" s="35">
        <v>5.0618750010279356</v>
      </c>
      <c r="E811" s="232">
        <v>32.81</v>
      </c>
      <c r="F811" s="35">
        <v>5.0499050616968439</v>
      </c>
      <c r="G811" s="232">
        <v>10185.790000000001</v>
      </c>
      <c r="H811" s="35">
        <v>9.0319283244189545</v>
      </c>
      <c r="I811" s="232">
        <v>12273.65</v>
      </c>
      <c r="J811" s="35">
        <v>8.7472172697690258</v>
      </c>
      <c r="K811" s="232">
        <v>11068.89</v>
      </c>
      <c r="L811" s="35">
        <v>8.2269821060662753</v>
      </c>
      <c r="M811" s="232">
        <v>36824.699999999997</v>
      </c>
      <c r="N811" s="35">
        <v>7.2489543293019958</v>
      </c>
      <c r="P811" s="232">
        <v>-25.45</v>
      </c>
      <c r="Q811" s="35">
        <v>1.1969939331091695E-2</v>
      </c>
      <c r="R811" s="232">
        <v>2087.86</v>
      </c>
      <c r="S811" s="35">
        <v>0.28471105464992874</v>
      </c>
      <c r="T811" s="232">
        <v>25755.81</v>
      </c>
      <c r="U811" s="35">
        <v>0.97802777676427954</v>
      </c>
      <c r="W811" s="35">
        <f t="shared" si="79"/>
        <v>623.94696655458483</v>
      </c>
      <c r="X811" s="35">
        <f t="shared" si="80"/>
        <v>12147.692732496436</v>
      </c>
      <c r="Y811" s="35">
        <f t="shared" si="81"/>
        <v>23145.578838213976</v>
      </c>
      <c r="Z811" s="35">
        <f t="shared" si="82"/>
        <v>0</v>
      </c>
      <c r="AA811" s="35">
        <f t="shared" si="83"/>
        <v>0</v>
      </c>
      <c r="AB811" s="35">
        <f t="shared" si="84"/>
        <v>1</v>
      </c>
    </row>
    <row r="812" spans="1:28">
      <c r="A812" s="35">
        <v>801</v>
      </c>
      <c r="B812" s="35">
        <v>5.2590039765165741E-4</v>
      </c>
      <c r="C812" s="232">
        <v>70.34</v>
      </c>
      <c r="D812" s="35">
        <v>5.0642127544323028</v>
      </c>
      <c r="E812" s="232">
        <v>46.13</v>
      </c>
      <c r="F812" s="35">
        <v>5.0537964667278512</v>
      </c>
      <c r="G812" s="232">
        <v>10401.290000000001</v>
      </c>
      <c r="H812" s="35">
        <v>8.5148665309857385</v>
      </c>
      <c r="I812" s="232">
        <v>11356.23</v>
      </c>
      <c r="J812" s="35">
        <v>7.0624620210298774</v>
      </c>
      <c r="K812" s="232">
        <v>13306.66</v>
      </c>
      <c r="L812" s="35">
        <v>8.4170028263906289</v>
      </c>
      <c r="M812" s="232">
        <v>39337.31</v>
      </c>
      <c r="N812" s="35">
        <v>7.3188655615994751</v>
      </c>
      <c r="P812" s="232">
        <v>-24.2</v>
      </c>
      <c r="Q812" s="35">
        <v>1.0416287704451577E-2</v>
      </c>
      <c r="R812" s="232">
        <v>954.94</v>
      </c>
      <c r="S812" s="35">
        <v>1.4524045099558611</v>
      </c>
      <c r="T812" s="232">
        <v>26030.65</v>
      </c>
      <c r="U812" s="35">
        <v>1.0981372647911538</v>
      </c>
      <c r="W812" s="35">
        <f t="shared" si="79"/>
        <v>545.01438522257888</v>
      </c>
      <c r="X812" s="35">
        <f t="shared" si="80"/>
        <v>71665.285497793055</v>
      </c>
      <c r="Y812" s="35">
        <f t="shared" si="81"/>
        <v>28876.213239557692</v>
      </c>
      <c r="Z812" s="35">
        <f t="shared" si="82"/>
        <v>0</v>
      </c>
      <c r="AA812" s="35">
        <f t="shared" si="83"/>
        <v>1</v>
      </c>
      <c r="AB812" s="35">
        <f t="shared" si="84"/>
        <v>0</v>
      </c>
    </row>
    <row r="813" spans="1:28">
      <c r="A813" s="35">
        <v>802</v>
      </c>
      <c r="B813" s="35">
        <v>5.6436410050619834E-4</v>
      </c>
      <c r="C813" s="232">
        <v>96.22</v>
      </c>
      <c r="D813" s="35">
        <v>5.0704849611758629</v>
      </c>
      <c r="E813" s="232">
        <v>60.79</v>
      </c>
      <c r="F813" s="35">
        <v>5.0572524398949756</v>
      </c>
      <c r="G813" s="232">
        <v>14035.78</v>
      </c>
      <c r="H813" s="35">
        <v>9.3487136168853411</v>
      </c>
      <c r="I813" s="232">
        <v>15915.72</v>
      </c>
      <c r="J813" s="35">
        <v>8.4129881552263441</v>
      </c>
      <c r="K813" s="232">
        <v>15477.81</v>
      </c>
      <c r="L813" s="35">
        <v>8.8809424709744835</v>
      </c>
      <c r="M813" s="232">
        <v>41508.69</v>
      </c>
      <c r="N813" s="35">
        <v>7.7984840751329454</v>
      </c>
      <c r="P813" s="232">
        <v>-35.43</v>
      </c>
      <c r="Q813" s="35">
        <v>1.3232521280887255E-2</v>
      </c>
      <c r="R813" s="232">
        <v>1879.94</v>
      </c>
      <c r="S813" s="35">
        <v>0.93572546165899695</v>
      </c>
      <c r="T813" s="232">
        <v>26030.880000000001</v>
      </c>
      <c r="U813" s="35">
        <v>1.0824583958415381</v>
      </c>
      <c r="W813" s="35">
        <f t="shared" si="79"/>
        <v>697.05606404436264</v>
      </c>
      <c r="X813" s="35">
        <f t="shared" si="80"/>
        <v>44906.333082949845</v>
      </c>
      <c r="Y813" s="35">
        <f t="shared" si="81"/>
        <v>28092.039792076906</v>
      </c>
      <c r="Z813" s="35">
        <f t="shared" si="82"/>
        <v>0</v>
      </c>
      <c r="AA813" s="35">
        <f t="shared" si="83"/>
        <v>1</v>
      </c>
      <c r="AB813" s="35">
        <f t="shared" si="84"/>
        <v>0</v>
      </c>
    </row>
    <row r="814" spans="1:28">
      <c r="A814" s="35">
        <v>803</v>
      </c>
      <c r="B814" s="35">
        <v>4.1816085771973882E-4</v>
      </c>
      <c r="C814" s="232">
        <v>66.37</v>
      </c>
      <c r="D814" s="35">
        <v>5.0575143917630418</v>
      </c>
      <c r="E814" s="232">
        <v>38.159999999999997</v>
      </c>
      <c r="F814" s="35">
        <v>5.0481030552253614</v>
      </c>
      <c r="G814" s="232">
        <v>12556.95</v>
      </c>
      <c r="H814" s="35">
        <v>8.2261471200095269</v>
      </c>
      <c r="I814" s="232">
        <v>13904.33</v>
      </c>
      <c r="J814" s="35">
        <v>7.390456952950867</v>
      </c>
      <c r="K814" s="232">
        <v>16675.54</v>
      </c>
      <c r="L814" s="35">
        <v>8.2505044503726168</v>
      </c>
      <c r="M814" s="232">
        <v>42901.66</v>
      </c>
      <c r="N814" s="35">
        <v>7.1928506265441046</v>
      </c>
      <c r="P814" s="232">
        <v>-28.22</v>
      </c>
      <c r="Q814" s="35">
        <v>9.4113365376804481E-3</v>
      </c>
      <c r="R814" s="232">
        <v>1347.38</v>
      </c>
      <c r="S814" s="35">
        <v>0.83569016705865984</v>
      </c>
      <c r="T814" s="232">
        <v>26226.12</v>
      </c>
      <c r="U814" s="35">
        <v>1.0576538238285123</v>
      </c>
      <c r="W814" s="35">
        <f t="shared" si="79"/>
        <v>498.78682688402239</v>
      </c>
      <c r="X814" s="35">
        <f t="shared" si="80"/>
        <v>40437.128352932996</v>
      </c>
      <c r="Y814" s="35">
        <f t="shared" si="81"/>
        <v>26656.571191425614</v>
      </c>
      <c r="Z814" s="35">
        <f t="shared" si="82"/>
        <v>0</v>
      </c>
      <c r="AA814" s="35">
        <f t="shared" si="83"/>
        <v>1</v>
      </c>
      <c r="AB814" s="35">
        <f t="shared" si="84"/>
        <v>0</v>
      </c>
    </row>
    <row r="815" spans="1:28">
      <c r="A815" s="35">
        <v>804</v>
      </c>
      <c r="B815" s="35">
        <v>4.4105256515911655E-4</v>
      </c>
      <c r="C815" s="232">
        <v>78.41</v>
      </c>
      <c r="D815" s="35">
        <v>5.061391645430696</v>
      </c>
      <c r="E815" s="232">
        <v>44.25</v>
      </c>
      <c r="F815" s="35">
        <v>5.0500708709006057</v>
      </c>
      <c r="G815" s="232">
        <v>13288.65</v>
      </c>
      <c r="H815" s="35">
        <v>8.8873182551596166</v>
      </c>
      <c r="I815" s="232">
        <v>13162.76</v>
      </c>
      <c r="J815" s="35">
        <v>7.681497755764334</v>
      </c>
      <c r="K815" s="232">
        <v>19907.34</v>
      </c>
      <c r="L815" s="35">
        <v>8.7571486771235314</v>
      </c>
      <c r="M815" s="232">
        <v>46345.1</v>
      </c>
      <c r="N815" s="35">
        <v>7.6098393728534077</v>
      </c>
      <c r="P815" s="232">
        <v>-34.15</v>
      </c>
      <c r="Q815" s="35">
        <v>1.1320774530090283E-2</v>
      </c>
      <c r="R815" s="232">
        <v>-125.89</v>
      </c>
      <c r="S815" s="35">
        <v>1.2058204993952826</v>
      </c>
      <c r="T815" s="232">
        <v>26437.759999999998</v>
      </c>
      <c r="U815" s="35">
        <v>1.1473093042701237</v>
      </c>
      <c r="W815" s="35">
        <f t="shared" si="79"/>
        <v>600.18872650451408</v>
      </c>
      <c r="X815" s="35">
        <f t="shared" si="80"/>
        <v>60416.914969764126</v>
      </c>
      <c r="Y815" s="35">
        <f t="shared" si="81"/>
        <v>30927.705213506186</v>
      </c>
      <c r="Z815" s="35">
        <f t="shared" si="82"/>
        <v>0</v>
      </c>
      <c r="AA815" s="35">
        <f t="shared" si="83"/>
        <v>1</v>
      </c>
      <c r="AB815" s="35">
        <f t="shared" si="84"/>
        <v>0</v>
      </c>
    </row>
    <row r="816" spans="1:28">
      <c r="A816" s="35">
        <v>805</v>
      </c>
      <c r="B816" s="35">
        <v>3.7216625907064113E-4</v>
      </c>
      <c r="C816" s="232">
        <v>51.15</v>
      </c>
      <c r="D816" s="35">
        <v>5.0549721003977055</v>
      </c>
      <c r="E816" s="232">
        <v>35.53</v>
      </c>
      <c r="F816" s="35">
        <v>5.0485453754297085</v>
      </c>
      <c r="G816" s="232">
        <v>10531.94</v>
      </c>
      <c r="H816" s="35">
        <v>8.0005455733385666</v>
      </c>
      <c r="I816" s="232">
        <v>11454.97</v>
      </c>
      <c r="J816" s="35">
        <v>6.6280032488381613</v>
      </c>
      <c r="K816" s="232">
        <v>13840.69</v>
      </c>
      <c r="L816" s="35">
        <v>8.2707038952198069</v>
      </c>
      <c r="M816" s="232">
        <v>39902.129999999997</v>
      </c>
      <c r="N816" s="35">
        <v>7.2000101346315883</v>
      </c>
      <c r="P816" s="232">
        <v>-15.62</v>
      </c>
      <c r="Q816" s="35">
        <v>6.4267249679970107E-3</v>
      </c>
      <c r="R816" s="232">
        <v>923.02</v>
      </c>
      <c r="S816" s="35">
        <v>1.3725423245004054</v>
      </c>
      <c r="T816" s="232">
        <v>26061.439999999999</v>
      </c>
      <c r="U816" s="35">
        <v>1.0706937605882185</v>
      </c>
      <c r="W816" s="35">
        <f t="shared" si="79"/>
        <v>336.95624839985055</v>
      </c>
      <c r="X816" s="35">
        <f t="shared" si="80"/>
        <v>67704.096225020257</v>
      </c>
      <c r="Y816" s="35">
        <f t="shared" si="81"/>
        <v>27473.24802941093</v>
      </c>
      <c r="Z816" s="35">
        <f t="shared" si="82"/>
        <v>0</v>
      </c>
      <c r="AA816" s="35">
        <f t="shared" si="83"/>
        <v>1</v>
      </c>
      <c r="AB816" s="35">
        <f t="shared" si="84"/>
        <v>0</v>
      </c>
    </row>
    <row r="817" spans="1:28">
      <c r="A817" s="35">
        <v>806</v>
      </c>
      <c r="B817" s="35">
        <v>4.5764595755093396E-4</v>
      </c>
      <c r="C817" s="232">
        <v>64.150000000000006</v>
      </c>
      <c r="D817" s="35">
        <v>5.063525672532494</v>
      </c>
      <c r="E817" s="232">
        <v>42.99</v>
      </c>
      <c r="F817" s="35">
        <v>5.0536202545685818</v>
      </c>
      <c r="G817" s="232">
        <v>11194.09</v>
      </c>
      <c r="H817" s="35">
        <v>9.2839451111565907</v>
      </c>
      <c r="I817" s="232">
        <v>12614.41</v>
      </c>
      <c r="J817" s="35">
        <v>7.9160429799698022</v>
      </c>
      <c r="K817" s="232">
        <v>12558.56</v>
      </c>
      <c r="L817" s="35">
        <v>8.5662022844161267</v>
      </c>
      <c r="M817" s="232">
        <v>38485.160000000003</v>
      </c>
      <c r="N817" s="35">
        <v>7.4963497375887576</v>
      </c>
      <c r="P817" s="232">
        <v>-21.15</v>
      </c>
      <c r="Q817" s="35">
        <v>9.9054179639121998E-3</v>
      </c>
      <c r="R817" s="232">
        <v>1420.32</v>
      </c>
      <c r="S817" s="35">
        <v>1.3679021311867885</v>
      </c>
      <c r="T817" s="232">
        <v>25926.6</v>
      </c>
      <c r="U817" s="35">
        <v>1.0698525468273692</v>
      </c>
      <c r="W817" s="35">
        <f t="shared" si="79"/>
        <v>516.42089819560999</v>
      </c>
      <c r="X817" s="35">
        <f t="shared" si="80"/>
        <v>66974.786559339424</v>
      </c>
      <c r="Y817" s="35">
        <f t="shared" si="81"/>
        <v>27566.027341368463</v>
      </c>
      <c r="Z817" s="35">
        <f t="shared" si="82"/>
        <v>0</v>
      </c>
      <c r="AA817" s="35">
        <f t="shared" si="83"/>
        <v>1</v>
      </c>
      <c r="AB817" s="35">
        <f t="shared" si="84"/>
        <v>0</v>
      </c>
    </row>
    <row r="818" spans="1:28">
      <c r="A818" s="35">
        <v>807</v>
      </c>
      <c r="B818" s="35">
        <v>6.4171551973613017E-4</v>
      </c>
      <c r="C818" s="232">
        <v>91.46</v>
      </c>
      <c r="D818" s="35">
        <v>5.0712273317130796</v>
      </c>
      <c r="E818" s="232">
        <v>50.06</v>
      </c>
      <c r="F818" s="35">
        <v>5.054816232647652</v>
      </c>
      <c r="G818" s="232">
        <v>11038.59</v>
      </c>
      <c r="H818" s="35">
        <v>8.8667722168071794</v>
      </c>
      <c r="I818" s="232">
        <v>10974.16</v>
      </c>
      <c r="J818" s="35">
        <v>7.0014632279373696</v>
      </c>
      <c r="K818" s="232">
        <v>14638.59</v>
      </c>
      <c r="L818" s="35">
        <v>8.5172059770991613</v>
      </c>
      <c r="M818" s="232">
        <v>40835.699999999997</v>
      </c>
      <c r="N818" s="35">
        <v>7.3673429180833807</v>
      </c>
      <c r="P818" s="232">
        <v>-41.4</v>
      </c>
      <c r="Q818" s="35">
        <v>1.6411099065427592E-2</v>
      </c>
      <c r="R818" s="232">
        <v>-64.430000000000007</v>
      </c>
      <c r="S818" s="35">
        <v>1.8653089888698098</v>
      </c>
      <c r="T818" s="232">
        <v>26197.11</v>
      </c>
      <c r="U818" s="35">
        <v>1.1498630590157806</v>
      </c>
      <c r="W818" s="35">
        <f t="shared" si="79"/>
        <v>861.95495327137962</v>
      </c>
      <c r="X818" s="35">
        <f t="shared" si="80"/>
        <v>93329.879443490485</v>
      </c>
      <c r="Y818" s="35">
        <f t="shared" si="81"/>
        <v>31296.042950789029</v>
      </c>
      <c r="Z818" s="35">
        <f t="shared" si="82"/>
        <v>0</v>
      </c>
      <c r="AA818" s="35">
        <f t="shared" si="83"/>
        <v>1</v>
      </c>
      <c r="AB818" s="35">
        <f t="shared" si="84"/>
        <v>0</v>
      </c>
    </row>
    <row r="819" spans="1:28">
      <c r="A819" s="35">
        <v>808</v>
      </c>
      <c r="B819" s="35">
        <v>4.1782173736398646E-4</v>
      </c>
      <c r="C819" s="232">
        <v>74.930000000000007</v>
      </c>
      <c r="D819" s="35">
        <v>5.0605298550957949</v>
      </c>
      <c r="E819" s="232">
        <v>41.75</v>
      </c>
      <c r="F819" s="35">
        <v>5.0494122559512675</v>
      </c>
      <c r="G819" s="232">
        <v>14337.89</v>
      </c>
      <c r="H819" s="35">
        <v>8.9494227631600882</v>
      </c>
      <c r="I819" s="232">
        <v>14533.15</v>
      </c>
      <c r="J819" s="35">
        <v>7.2413765252754105</v>
      </c>
      <c r="K819" s="232">
        <v>18956.37</v>
      </c>
      <c r="L819" s="35">
        <v>8.9877293287344244</v>
      </c>
      <c r="M819" s="232">
        <v>45317.79</v>
      </c>
      <c r="N819" s="35">
        <v>7.8553834214891713</v>
      </c>
      <c r="P819" s="232">
        <v>-33.18</v>
      </c>
      <c r="Q819" s="35">
        <v>1.1117599144527368E-2</v>
      </c>
      <c r="R819" s="232">
        <v>195.26</v>
      </c>
      <c r="S819" s="35">
        <v>1.7080462378846777</v>
      </c>
      <c r="T819" s="232">
        <v>26361.42</v>
      </c>
      <c r="U819" s="35">
        <v>1.1323459072452531</v>
      </c>
      <c r="W819" s="35">
        <f t="shared" si="79"/>
        <v>589.0599572263684</v>
      </c>
      <c r="X819" s="35">
        <f t="shared" si="80"/>
        <v>85207.051894233897</v>
      </c>
      <c r="Y819" s="35">
        <f t="shared" si="81"/>
        <v>30255.875362262654</v>
      </c>
      <c r="Z819" s="35">
        <f t="shared" si="82"/>
        <v>0</v>
      </c>
      <c r="AA819" s="35">
        <f t="shared" si="83"/>
        <v>1</v>
      </c>
      <c r="AB819" s="35">
        <f t="shared" si="84"/>
        <v>0</v>
      </c>
    </row>
    <row r="820" spans="1:28">
      <c r="A820" s="35">
        <v>809</v>
      </c>
      <c r="B820" s="35">
        <v>4.9606838445015455E-4</v>
      </c>
      <c r="C820" s="232">
        <v>80.61</v>
      </c>
      <c r="D820" s="35">
        <v>5.0658179669259793</v>
      </c>
      <c r="E820" s="232">
        <v>55.45</v>
      </c>
      <c r="F820" s="35">
        <v>5.0558401938018385</v>
      </c>
      <c r="G820" s="232">
        <v>12484.37</v>
      </c>
      <c r="H820" s="35">
        <v>9.1704601330118152</v>
      </c>
      <c r="I820" s="232">
        <v>14076.6</v>
      </c>
      <c r="J820" s="35">
        <v>8.5966926579153817</v>
      </c>
      <c r="K820" s="232">
        <v>16185.46</v>
      </c>
      <c r="L820" s="35">
        <v>8.6620427798878854</v>
      </c>
      <c r="M820" s="232">
        <v>42471.1</v>
      </c>
      <c r="N820" s="35">
        <v>7.5026469049012077</v>
      </c>
      <c r="P820" s="232">
        <v>-25.17</v>
      </c>
      <c r="Q820" s="35">
        <v>9.9777731241408318E-3</v>
      </c>
      <c r="R820" s="232">
        <v>1592.22</v>
      </c>
      <c r="S820" s="35">
        <v>0.57376747509643344</v>
      </c>
      <c r="T820" s="232">
        <v>26285.64</v>
      </c>
      <c r="U820" s="35">
        <v>1.1593958749866777</v>
      </c>
      <c r="W820" s="35">
        <f t="shared" si="79"/>
        <v>524.05865620704162</v>
      </c>
      <c r="X820" s="35">
        <f t="shared" si="80"/>
        <v>27096.153754821669</v>
      </c>
      <c r="Y820" s="35">
        <f t="shared" si="81"/>
        <v>31684.153749333884</v>
      </c>
      <c r="Z820" s="35">
        <f t="shared" si="82"/>
        <v>0</v>
      </c>
      <c r="AA820" s="35">
        <f t="shared" si="83"/>
        <v>0</v>
      </c>
      <c r="AB820" s="35">
        <f t="shared" si="84"/>
        <v>1</v>
      </c>
    </row>
    <row r="821" spans="1:28">
      <c r="A821" s="35">
        <v>810</v>
      </c>
      <c r="B821" s="35">
        <v>5.4858130789769977E-4</v>
      </c>
      <c r="C821" s="232">
        <v>59.8</v>
      </c>
      <c r="D821" s="35">
        <v>5.0693030380223716</v>
      </c>
      <c r="E821" s="232">
        <v>34.42</v>
      </c>
      <c r="F821" s="35">
        <v>5.0540582115137456</v>
      </c>
      <c r="G821" s="232">
        <v>8157.21</v>
      </c>
      <c r="H821" s="35">
        <v>9.356338810455874</v>
      </c>
      <c r="I821" s="232">
        <v>10302.81</v>
      </c>
      <c r="J821" s="35">
        <v>9.1601077123348222</v>
      </c>
      <c r="K821" s="232">
        <v>7124.63</v>
      </c>
      <c r="L821" s="35">
        <v>9.0363322429228568</v>
      </c>
      <c r="M821" s="232">
        <v>32816.51</v>
      </c>
      <c r="N821" s="35">
        <v>7.9566241008292842</v>
      </c>
      <c r="P821" s="232">
        <v>-25.39</v>
      </c>
      <c r="Q821" s="35">
        <v>1.5244826508626019E-2</v>
      </c>
      <c r="R821" s="232">
        <v>2145.61</v>
      </c>
      <c r="S821" s="35">
        <v>0.19623109812105177</v>
      </c>
      <c r="T821" s="232">
        <v>25691.88</v>
      </c>
      <c r="U821" s="35">
        <v>1.0797081420935726</v>
      </c>
      <c r="W821" s="35">
        <f t="shared" si="79"/>
        <v>787.63132543130098</v>
      </c>
      <c r="X821" s="35">
        <f t="shared" si="80"/>
        <v>7665.9449060525876</v>
      </c>
      <c r="Y821" s="35">
        <f t="shared" si="81"/>
        <v>28293.527104678626</v>
      </c>
      <c r="Z821" s="35">
        <f t="shared" si="82"/>
        <v>0</v>
      </c>
      <c r="AA821" s="35">
        <f t="shared" si="83"/>
        <v>0</v>
      </c>
      <c r="AB821" s="35">
        <f t="shared" si="84"/>
        <v>1</v>
      </c>
    </row>
    <row r="822" spans="1:28">
      <c r="A822" s="35">
        <v>811</v>
      </c>
      <c r="B822" s="35">
        <v>4.4470078652747566E-4</v>
      </c>
      <c r="C822" s="232">
        <v>61.06</v>
      </c>
      <c r="D822" s="35">
        <v>5.0623230955082805</v>
      </c>
      <c r="E822" s="232">
        <v>43.69</v>
      </c>
      <c r="F822" s="35">
        <v>5.0539185801977462</v>
      </c>
      <c r="G822" s="232">
        <v>10944.72</v>
      </c>
      <c r="H822" s="35">
        <v>9.0775865271455078</v>
      </c>
      <c r="I822" s="232">
        <v>12566.94</v>
      </c>
      <c r="J822" s="35">
        <v>8.2413632146470359</v>
      </c>
      <c r="K822" s="232">
        <v>13559.04</v>
      </c>
      <c r="L822" s="35">
        <v>8.5354921065439147</v>
      </c>
      <c r="M822" s="232">
        <v>39583.32</v>
      </c>
      <c r="N822" s="35">
        <v>7.430856797805669</v>
      </c>
      <c r="P822" s="232">
        <v>-17.37</v>
      </c>
      <c r="Q822" s="35">
        <v>8.4045153105343218E-3</v>
      </c>
      <c r="R822" s="232">
        <v>1622.22</v>
      </c>
      <c r="S822" s="35">
        <v>0.83622331249847193</v>
      </c>
      <c r="T822" s="232">
        <v>26024.27</v>
      </c>
      <c r="U822" s="35">
        <v>1.1046353087382457</v>
      </c>
      <c r="W822" s="35">
        <f t="shared" si="79"/>
        <v>437.59576552671609</v>
      </c>
      <c r="X822" s="35">
        <f t="shared" si="80"/>
        <v>40188.945624923595</v>
      </c>
      <c r="Y822" s="35">
        <f t="shared" si="81"/>
        <v>29207.495436912282</v>
      </c>
      <c r="Z822" s="35">
        <f t="shared" si="82"/>
        <v>0</v>
      </c>
      <c r="AA822" s="35">
        <f t="shared" si="83"/>
        <v>1</v>
      </c>
      <c r="AB822" s="35">
        <f t="shared" si="84"/>
        <v>0</v>
      </c>
    </row>
    <row r="823" spans="1:28">
      <c r="A823" s="35">
        <v>812</v>
      </c>
      <c r="B823" s="35">
        <v>3.1163127049894864E-4</v>
      </c>
      <c r="C823" s="232">
        <v>48.45</v>
      </c>
      <c r="D823" s="35">
        <v>5.0547734379750944</v>
      </c>
      <c r="E823" s="232">
        <v>30.12</v>
      </c>
      <c r="F823" s="35">
        <v>5.0471236068103469</v>
      </c>
      <c r="G823" s="232">
        <v>11737.93</v>
      </c>
      <c r="H823" s="35">
        <v>9.0478713818186769</v>
      </c>
      <c r="I823" s="232">
        <v>12742.51</v>
      </c>
      <c r="J823" s="35">
        <v>8.162899939781477</v>
      </c>
      <c r="K823" s="232">
        <v>15490.64</v>
      </c>
      <c r="L823" s="35">
        <v>8.5581549922575135</v>
      </c>
      <c r="M823" s="232">
        <v>41558.43</v>
      </c>
      <c r="N823" s="35">
        <v>7.4731758089541298</v>
      </c>
      <c r="P823" s="232">
        <v>-18.329999999999998</v>
      </c>
      <c r="Q823" s="35">
        <v>7.6498311647474893E-3</v>
      </c>
      <c r="R823" s="232">
        <v>1004.58</v>
      </c>
      <c r="S823" s="35">
        <v>0.88497144203719991</v>
      </c>
      <c r="T823" s="232">
        <v>26067.79</v>
      </c>
      <c r="U823" s="35">
        <v>1.0849791833033837</v>
      </c>
      <c r="W823" s="35">
        <f t="shared" si="79"/>
        <v>400.82155823737446</v>
      </c>
      <c r="X823" s="35">
        <f t="shared" si="80"/>
        <v>43243.992101859993</v>
      </c>
      <c r="Y823" s="35">
        <f t="shared" si="81"/>
        <v>28181.169165169187</v>
      </c>
      <c r="Z823" s="35">
        <f t="shared" si="82"/>
        <v>0</v>
      </c>
      <c r="AA823" s="35">
        <f t="shared" si="83"/>
        <v>1</v>
      </c>
      <c r="AB823" s="35">
        <f t="shared" si="84"/>
        <v>0</v>
      </c>
    </row>
    <row r="824" spans="1:28">
      <c r="A824" s="35">
        <v>813</v>
      </c>
      <c r="B824" s="35">
        <v>4.8151234035676005E-4</v>
      </c>
      <c r="C824" s="232">
        <v>54.51</v>
      </c>
      <c r="D824" s="35">
        <v>5.0636652307507815</v>
      </c>
      <c r="E824" s="232">
        <v>33.79</v>
      </c>
      <c r="F824" s="35">
        <v>5.0521474672100855</v>
      </c>
      <c r="G824" s="232">
        <v>8766.2000000000007</v>
      </c>
      <c r="H824" s="35">
        <v>8.7280911719892753</v>
      </c>
      <c r="I824" s="232">
        <v>10059.73</v>
      </c>
      <c r="J824" s="35">
        <v>7.3654287609613185</v>
      </c>
      <c r="K824" s="232">
        <v>10745.56</v>
      </c>
      <c r="L824" s="35">
        <v>8.9635999096026922</v>
      </c>
      <c r="M824" s="232">
        <v>36480.629999999997</v>
      </c>
      <c r="N824" s="35">
        <v>7.8724660198071144</v>
      </c>
      <c r="P824" s="232">
        <v>-20.73</v>
      </c>
      <c r="Q824" s="35">
        <v>1.1517763540696002E-2</v>
      </c>
      <c r="R824" s="232">
        <v>1293.53</v>
      </c>
      <c r="S824" s="35">
        <v>1.3626624110279568</v>
      </c>
      <c r="T824" s="232">
        <v>25735.08</v>
      </c>
      <c r="U824" s="35">
        <v>1.0911338897955778</v>
      </c>
      <c r="W824" s="35">
        <f t="shared" si="79"/>
        <v>596.61817703480017</v>
      </c>
      <c r="X824" s="35">
        <f t="shared" si="80"/>
        <v>66839.590551397836</v>
      </c>
      <c r="Y824" s="35">
        <f t="shared" si="81"/>
        <v>28821.614489778891</v>
      </c>
      <c r="Z824" s="35">
        <f t="shared" si="82"/>
        <v>0</v>
      </c>
      <c r="AA824" s="35">
        <f t="shared" si="83"/>
        <v>1</v>
      </c>
      <c r="AB824" s="35">
        <f t="shared" si="84"/>
        <v>0</v>
      </c>
    </row>
    <row r="825" spans="1:28">
      <c r="A825" s="35">
        <v>814</v>
      </c>
      <c r="B825" s="35">
        <v>4.3395147780406695E-4</v>
      </c>
      <c r="C825" s="232">
        <v>41.36</v>
      </c>
      <c r="D825" s="35">
        <v>5.0627625446414291</v>
      </c>
      <c r="E825" s="232">
        <v>24.87</v>
      </c>
      <c r="F825" s="35">
        <v>5.0506569586952574</v>
      </c>
      <c r="G825" s="232">
        <v>7741.26</v>
      </c>
      <c r="H825" s="35">
        <v>9.338416056900817</v>
      </c>
      <c r="I825" s="232">
        <v>9974.01</v>
      </c>
      <c r="J825" s="35">
        <v>9.3834736794076932</v>
      </c>
      <c r="K825" s="232">
        <v>7513.94</v>
      </c>
      <c r="L825" s="35">
        <v>8.842958246431639</v>
      </c>
      <c r="M825" s="232">
        <v>33277.94</v>
      </c>
      <c r="N825" s="35">
        <v>7.6763394488811505</v>
      </c>
      <c r="P825" s="232">
        <v>-16.5</v>
      </c>
      <c r="Q825" s="35">
        <v>1.2105585946171615E-2</v>
      </c>
      <c r="R825" s="232">
        <v>2232.75</v>
      </c>
      <c r="S825" s="35">
        <v>-4.5057622506876172E-2</v>
      </c>
      <c r="T825" s="232">
        <v>25764</v>
      </c>
      <c r="U825" s="35">
        <v>1.1666187975504885</v>
      </c>
      <c r="W825" s="35">
        <f t="shared" si="79"/>
        <v>621.77929730858079</v>
      </c>
      <c r="X825" s="35">
        <f t="shared" si="80"/>
        <v>-4485.6311253438089</v>
      </c>
      <c r="Y825" s="35">
        <f t="shared" si="81"/>
        <v>32566.939877524426</v>
      </c>
      <c r="Z825" s="35">
        <f t="shared" si="82"/>
        <v>0</v>
      </c>
      <c r="AA825" s="35">
        <f t="shared" si="83"/>
        <v>0</v>
      </c>
      <c r="AB825" s="35">
        <f t="shared" si="84"/>
        <v>1</v>
      </c>
    </row>
    <row r="826" spans="1:28">
      <c r="A826" s="35">
        <v>815</v>
      </c>
      <c r="B826" s="35">
        <v>4.2539385882187775E-4</v>
      </c>
      <c r="C826" s="232">
        <v>65.260000000000005</v>
      </c>
      <c r="D826" s="35">
        <v>5.0595605092792866</v>
      </c>
      <c r="E826" s="232">
        <v>40.74</v>
      </c>
      <c r="F826" s="35">
        <v>5.0502167561376732</v>
      </c>
      <c r="G826" s="232">
        <v>11646.25</v>
      </c>
      <c r="H826" s="35">
        <v>8.5064678148801249</v>
      </c>
      <c r="I826" s="232">
        <v>12384.32</v>
      </c>
      <c r="J826" s="35">
        <v>7.0663117695164708</v>
      </c>
      <c r="K826" s="232">
        <v>14721.54</v>
      </c>
      <c r="L826" s="35">
        <v>8.7215889359359942</v>
      </c>
      <c r="M826" s="232">
        <v>40852.050000000003</v>
      </c>
      <c r="N826" s="35">
        <v>7.6753738338320536</v>
      </c>
      <c r="P826" s="232">
        <v>-24.51</v>
      </c>
      <c r="Q826" s="35">
        <v>9.3437531416133979E-3</v>
      </c>
      <c r="R826" s="232">
        <v>738.08</v>
      </c>
      <c r="S826" s="35">
        <v>1.4401560453636542</v>
      </c>
      <c r="T826" s="232">
        <v>26130.5</v>
      </c>
      <c r="U826" s="35">
        <v>1.0462151021039405</v>
      </c>
      <c r="W826" s="35">
        <f t="shared" si="79"/>
        <v>491.6976570806699</v>
      </c>
      <c r="X826" s="35">
        <f t="shared" si="80"/>
        <v>71269.722268182712</v>
      </c>
      <c r="Y826" s="35">
        <f t="shared" si="81"/>
        <v>26180.255105197029</v>
      </c>
      <c r="Z826" s="35">
        <f t="shared" si="82"/>
        <v>0</v>
      </c>
      <c r="AA826" s="35">
        <f t="shared" si="83"/>
        <v>1</v>
      </c>
      <c r="AB826" s="35">
        <f t="shared" si="84"/>
        <v>0</v>
      </c>
    </row>
    <row r="827" spans="1:28">
      <c r="A827" s="35">
        <v>816</v>
      </c>
      <c r="B827" s="35">
        <v>4.0735784071229211E-4</v>
      </c>
      <c r="C827" s="232">
        <v>66.510000000000005</v>
      </c>
      <c r="D827" s="35">
        <v>5.0581030426451026</v>
      </c>
      <c r="E827" s="232">
        <v>40.24</v>
      </c>
      <c r="F827" s="35">
        <v>5.0490216721354644</v>
      </c>
      <c r="G827" s="232">
        <v>12064.94</v>
      </c>
      <c r="H827" s="35">
        <v>8.3658576584384097</v>
      </c>
      <c r="I827" s="232">
        <v>11879.35</v>
      </c>
      <c r="J827" s="35">
        <v>6.560105907848337</v>
      </c>
      <c r="K827" s="232">
        <v>15456.59</v>
      </c>
      <c r="L827" s="35">
        <v>8.781115266695549</v>
      </c>
      <c r="M827" s="232">
        <v>41680.910000000003</v>
      </c>
      <c r="N827" s="35">
        <v>7.6996009105829986</v>
      </c>
      <c r="P827" s="232">
        <v>-26.26</v>
      </c>
      <c r="Q827" s="35">
        <v>9.081370509638198E-3</v>
      </c>
      <c r="R827" s="232">
        <v>-185.6</v>
      </c>
      <c r="S827" s="35">
        <v>1.8057517505900726</v>
      </c>
      <c r="T827" s="232">
        <v>26224.32</v>
      </c>
      <c r="U827" s="35">
        <v>1.0815143561125504</v>
      </c>
      <c r="W827" s="35">
        <f t="shared" si="79"/>
        <v>480.32852548190988</v>
      </c>
      <c r="X827" s="35">
        <f t="shared" si="80"/>
        <v>90473.187529503644</v>
      </c>
      <c r="Y827" s="35">
        <f t="shared" si="81"/>
        <v>27851.397805627523</v>
      </c>
      <c r="Z827" s="35">
        <f t="shared" si="82"/>
        <v>0</v>
      </c>
      <c r="AA827" s="35">
        <f t="shared" si="83"/>
        <v>1</v>
      </c>
      <c r="AB827" s="35">
        <f t="shared" si="84"/>
        <v>0</v>
      </c>
    </row>
    <row r="828" spans="1:28">
      <c r="A828" s="35">
        <v>817</v>
      </c>
      <c r="B828" s="35">
        <v>4.3845196917301844E-4</v>
      </c>
      <c r="C828" s="232">
        <v>60.9</v>
      </c>
      <c r="D828" s="35">
        <v>5.0621196202553804</v>
      </c>
      <c r="E828" s="232">
        <v>37.659999999999997</v>
      </c>
      <c r="F828" s="35">
        <v>5.0514300072696718</v>
      </c>
      <c r="G828" s="232">
        <v>10733.76</v>
      </c>
      <c r="H828" s="35">
        <v>8.9369685604994231</v>
      </c>
      <c r="I828" s="232">
        <v>11913.62</v>
      </c>
      <c r="J828" s="35">
        <v>7.8918721415587081</v>
      </c>
      <c r="K828" s="232">
        <v>14381.59</v>
      </c>
      <c r="L828" s="35">
        <v>8.9632763319427546</v>
      </c>
      <c r="M828" s="232">
        <v>40443.29</v>
      </c>
      <c r="N828" s="35">
        <v>7.8403622202026151</v>
      </c>
      <c r="P828" s="232">
        <v>-23.24</v>
      </c>
      <c r="Q828" s="35">
        <v>1.0689612985708585E-2</v>
      </c>
      <c r="R828" s="232">
        <v>1179.8599999999999</v>
      </c>
      <c r="S828" s="35">
        <v>1.045096418940715</v>
      </c>
      <c r="T828" s="232">
        <v>26061.7</v>
      </c>
      <c r="U828" s="35">
        <v>1.1229141117401396</v>
      </c>
      <c r="W828" s="35">
        <f t="shared" si="79"/>
        <v>557.72064928542932</v>
      </c>
      <c r="X828" s="35">
        <f t="shared" si="80"/>
        <v>51074.960947035754</v>
      </c>
      <c r="Y828" s="35">
        <f t="shared" si="81"/>
        <v>30084.005587006974</v>
      </c>
      <c r="Z828" s="35">
        <f t="shared" si="82"/>
        <v>0</v>
      </c>
      <c r="AA828" s="35">
        <f t="shared" si="83"/>
        <v>1</v>
      </c>
      <c r="AB828" s="35">
        <f t="shared" si="84"/>
        <v>0</v>
      </c>
    </row>
    <row r="829" spans="1:28">
      <c r="A829" s="35">
        <v>818</v>
      </c>
      <c r="B829" s="35">
        <v>3.895337786493206E-4</v>
      </c>
      <c r="C829" s="232">
        <v>54.56</v>
      </c>
      <c r="D829" s="35">
        <v>5.0593462118441295</v>
      </c>
      <c r="E829" s="232">
        <v>34.299999999999997</v>
      </c>
      <c r="F829" s="35">
        <v>5.0499521323815504</v>
      </c>
      <c r="G829" s="232">
        <v>10706.06</v>
      </c>
      <c r="H829" s="35">
        <v>9.0415232439991939</v>
      </c>
      <c r="I829" s="232">
        <v>10721.09</v>
      </c>
      <c r="J829" s="35">
        <v>7.0736956612570125</v>
      </c>
      <c r="K829" s="232">
        <v>14201.15</v>
      </c>
      <c r="L829" s="35">
        <v>8.7943164691926814</v>
      </c>
      <c r="M829" s="232">
        <v>40326.57</v>
      </c>
      <c r="N829" s="35">
        <v>7.7215485971813642</v>
      </c>
      <c r="P829" s="232">
        <v>-20.260000000000002</v>
      </c>
      <c r="Q829" s="35">
        <v>9.3940794625790858E-3</v>
      </c>
      <c r="R829" s="232">
        <v>15.03</v>
      </c>
      <c r="S829" s="35">
        <v>1.9678275827421814</v>
      </c>
      <c r="T829" s="232">
        <v>26125.41</v>
      </c>
      <c r="U829" s="35">
        <v>1.0727678720113172</v>
      </c>
      <c r="W829" s="35">
        <f t="shared" si="79"/>
        <v>489.96397312895431</v>
      </c>
      <c r="X829" s="35">
        <f t="shared" si="80"/>
        <v>98376.349137109064</v>
      </c>
      <c r="Y829" s="35">
        <f t="shared" si="81"/>
        <v>27512.983600565862</v>
      </c>
      <c r="Z829" s="35">
        <f t="shared" si="82"/>
        <v>0</v>
      </c>
      <c r="AA829" s="35">
        <f t="shared" si="83"/>
        <v>1</v>
      </c>
      <c r="AB829" s="35">
        <f t="shared" si="84"/>
        <v>0</v>
      </c>
    </row>
    <row r="830" spans="1:28">
      <c r="A830" s="35">
        <v>819</v>
      </c>
      <c r="B830" s="35">
        <v>3.3626636291230464E-4</v>
      </c>
      <c r="C830" s="232">
        <v>58.12</v>
      </c>
      <c r="D830" s="35">
        <v>5.0544239114152489</v>
      </c>
      <c r="E830" s="232">
        <v>34.119999999999997</v>
      </c>
      <c r="F830" s="35">
        <v>5.0465694034252691</v>
      </c>
      <c r="G830" s="232">
        <v>12506.21</v>
      </c>
      <c r="H830" s="35">
        <v>8.3934160267893674</v>
      </c>
      <c r="I830" s="232">
        <v>12236.88</v>
      </c>
      <c r="J830" s="35">
        <v>7.1440028430116236</v>
      </c>
      <c r="K830" s="232">
        <v>18854.03</v>
      </c>
      <c r="L830" s="35">
        <v>8.5349313538995997</v>
      </c>
      <c r="M830" s="232">
        <v>45133.67</v>
      </c>
      <c r="N830" s="35">
        <v>7.4528194599678113</v>
      </c>
      <c r="P830" s="232">
        <v>-24</v>
      </c>
      <c r="Q830" s="35">
        <v>7.8545079899798864E-3</v>
      </c>
      <c r="R830" s="232">
        <v>-269.33</v>
      </c>
      <c r="S830" s="35">
        <v>1.2494131837777438</v>
      </c>
      <c r="T830" s="232">
        <v>26279.65</v>
      </c>
      <c r="U830" s="35">
        <v>1.0821118939317884</v>
      </c>
      <c r="W830" s="35">
        <f t="shared" si="79"/>
        <v>416.72539949899431</v>
      </c>
      <c r="X830" s="35">
        <f t="shared" si="80"/>
        <v>62739.989188887193</v>
      </c>
      <c r="Y830" s="35">
        <f t="shared" si="81"/>
        <v>27825.944696589417</v>
      </c>
      <c r="Z830" s="35">
        <f t="shared" si="82"/>
        <v>0</v>
      </c>
      <c r="AA830" s="35">
        <f t="shared" si="83"/>
        <v>1</v>
      </c>
      <c r="AB830" s="35">
        <f t="shared" si="84"/>
        <v>0</v>
      </c>
    </row>
    <row r="831" spans="1:28">
      <c r="A831" s="35">
        <v>820</v>
      </c>
      <c r="B831" s="35">
        <v>4.9417280917007922E-4</v>
      </c>
      <c r="C831" s="232">
        <v>65.959999999999994</v>
      </c>
      <c r="D831" s="35">
        <v>5.0671356807992893</v>
      </c>
      <c r="E831" s="232">
        <v>41.71</v>
      </c>
      <c r="F831" s="35">
        <v>5.0547710342909733</v>
      </c>
      <c r="G831" s="232">
        <v>10481.56</v>
      </c>
      <c r="H831" s="35">
        <v>9.4518625026602283</v>
      </c>
      <c r="I831" s="232">
        <v>11604.1</v>
      </c>
      <c r="J831" s="35">
        <v>7.5043922472704168</v>
      </c>
      <c r="K831" s="232">
        <v>11488.01</v>
      </c>
      <c r="L831" s="35">
        <v>9.0855832738450797</v>
      </c>
      <c r="M831" s="232">
        <v>37429.18</v>
      </c>
      <c r="N831" s="35">
        <v>7.9158829607714116</v>
      </c>
      <c r="P831" s="232">
        <v>-24.25</v>
      </c>
      <c r="Q831" s="35">
        <v>1.2364646508316035E-2</v>
      </c>
      <c r="R831" s="232">
        <v>1122.54</v>
      </c>
      <c r="S831" s="35">
        <v>1.9474702553898116</v>
      </c>
      <c r="T831" s="232">
        <v>25941.17</v>
      </c>
      <c r="U831" s="35">
        <v>1.1697003130736681</v>
      </c>
      <c r="W831" s="35">
        <f t="shared" si="79"/>
        <v>642.48232541580171</v>
      </c>
      <c r="X831" s="35">
        <f t="shared" si="80"/>
        <v>96250.972769490589</v>
      </c>
      <c r="Y831" s="35">
        <f t="shared" si="81"/>
        <v>32543.845653683406</v>
      </c>
      <c r="Z831" s="35">
        <f t="shared" si="82"/>
        <v>0</v>
      </c>
      <c r="AA831" s="35">
        <f t="shared" si="83"/>
        <v>1</v>
      </c>
      <c r="AB831" s="35">
        <f t="shared" si="84"/>
        <v>0</v>
      </c>
    </row>
    <row r="832" spans="1:28">
      <c r="A832" s="35">
        <v>821</v>
      </c>
      <c r="B832" s="35">
        <v>4.5462645199556562E-4</v>
      </c>
      <c r="C832" s="232">
        <v>76.34</v>
      </c>
      <c r="D832" s="35">
        <v>5.0602221517028774</v>
      </c>
      <c r="E832" s="232">
        <v>44.94</v>
      </c>
      <c r="F832" s="35">
        <v>5.0499792643590142</v>
      </c>
      <c r="G832" s="232">
        <v>13084.53</v>
      </c>
      <c r="H832" s="35">
        <v>8.302802350093657</v>
      </c>
      <c r="I832" s="232">
        <v>14101.13</v>
      </c>
      <c r="J832" s="35">
        <v>7.0760059646984752</v>
      </c>
      <c r="K832" s="232">
        <v>16418.400000000001</v>
      </c>
      <c r="L832" s="35">
        <v>8.6388484948776174</v>
      </c>
      <c r="M832" s="232">
        <v>42577.25</v>
      </c>
      <c r="N832" s="35">
        <v>7.5998319621813506</v>
      </c>
      <c r="P832" s="232">
        <v>-31.4</v>
      </c>
      <c r="Q832" s="35">
        <v>1.0242887343863138E-2</v>
      </c>
      <c r="R832" s="232">
        <v>1016.6</v>
      </c>
      <c r="S832" s="35">
        <v>1.2267963853951818</v>
      </c>
      <c r="T832" s="232">
        <v>26158.85</v>
      </c>
      <c r="U832" s="35">
        <v>1.0390165326962668</v>
      </c>
      <c r="W832" s="35">
        <f t="shared" si="79"/>
        <v>543.54436719315686</v>
      </c>
      <c r="X832" s="35">
        <f t="shared" si="80"/>
        <v>60323.219269759087</v>
      </c>
      <c r="Y832" s="35">
        <f t="shared" si="81"/>
        <v>25791.976634813342</v>
      </c>
      <c r="Z832" s="35">
        <f t="shared" si="82"/>
        <v>0</v>
      </c>
      <c r="AA832" s="35">
        <f t="shared" si="83"/>
        <v>1</v>
      </c>
      <c r="AB832" s="35">
        <f t="shared" si="84"/>
        <v>0</v>
      </c>
    </row>
    <row r="833" spans="1:28">
      <c r="A833" s="35">
        <v>822</v>
      </c>
      <c r="B833" s="35">
        <v>5.0203450913632874E-4</v>
      </c>
      <c r="C833" s="232">
        <v>88.21</v>
      </c>
      <c r="D833" s="35">
        <v>5.06403687959269</v>
      </c>
      <c r="E833" s="232">
        <v>48.6</v>
      </c>
      <c r="F833" s="35">
        <v>5.0512258316859633</v>
      </c>
      <c r="G833" s="232">
        <v>13500.84</v>
      </c>
      <c r="H833" s="35">
        <v>8.805126691088347</v>
      </c>
      <c r="I833" s="232">
        <v>14099.59</v>
      </c>
      <c r="J833" s="35">
        <v>7.8630405274320934</v>
      </c>
      <c r="K833" s="232">
        <v>19636.36</v>
      </c>
      <c r="L833" s="35">
        <v>8.5435017262583646</v>
      </c>
      <c r="M833" s="232">
        <v>45869.98</v>
      </c>
      <c r="N833" s="35">
        <v>7.4932618990380853</v>
      </c>
      <c r="P833" s="232">
        <v>-39.6</v>
      </c>
      <c r="Q833" s="35">
        <v>1.2811047906726714E-2</v>
      </c>
      <c r="R833" s="232">
        <v>598.75</v>
      </c>
      <c r="S833" s="35">
        <v>0.94208616365625364</v>
      </c>
      <c r="T833" s="232">
        <v>26233.62</v>
      </c>
      <c r="U833" s="35">
        <v>1.0502398272202793</v>
      </c>
      <c r="W833" s="35">
        <f t="shared" si="79"/>
        <v>680.15239533633564</v>
      </c>
      <c r="X833" s="35">
        <f t="shared" si="80"/>
        <v>46505.558182812681</v>
      </c>
      <c r="Y833" s="35">
        <f t="shared" si="81"/>
        <v>26278.371361013964</v>
      </c>
      <c r="Z833" s="35">
        <f t="shared" si="82"/>
        <v>0</v>
      </c>
      <c r="AA833" s="35">
        <f t="shared" si="83"/>
        <v>1</v>
      </c>
      <c r="AB833" s="35">
        <f t="shared" si="84"/>
        <v>0</v>
      </c>
    </row>
    <row r="834" spans="1:28">
      <c r="A834" s="35">
        <v>823</v>
      </c>
      <c r="B834" s="35">
        <v>5.8853710946271676E-4</v>
      </c>
      <c r="C834" s="232">
        <v>89.86</v>
      </c>
      <c r="D834" s="35">
        <v>5.0693082955063975</v>
      </c>
      <c r="E834" s="232">
        <v>55.45</v>
      </c>
      <c r="F834" s="35">
        <v>5.0560091288667905</v>
      </c>
      <c r="G834" s="232">
        <v>11641.1</v>
      </c>
      <c r="H834" s="35">
        <v>8.9302300259508129</v>
      </c>
      <c r="I834" s="232">
        <v>11110.47</v>
      </c>
      <c r="J834" s="35">
        <v>6.8471023972459033</v>
      </c>
      <c r="K834" s="232">
        <v>15517.07</v>
      </c>
      <c r="L834" s="35">
        <v>8.5717867500569582</v>
      </c>
      <c r="M834" s="232">
        <v>41716.379999999997</v>
      </c>
      <c r="N834" s="35">
        <v>7.4227734365176303</v>
      </c>
      <c r="P834" s="232">
        <v>-34.409999999999997</v>
      </c>
      <c r="Q834" s="35">
        <v>1.3299166639606952E-2</v>
      </c>
      <c r="R834" s="232">
        <v>-530.63</v>
      </c>
      <c r="S834" s="35">
        <v>2.0831276287049096</v>
      </c>
      <c r="T834" s="232">
        <v>26199.31</v>
      </c>
      <c r="U834" s="35">
        <v>1.1490133135393279</v>
      </c>
      <c r="W834" s="35">
        <f t="shared" si="79"/>
        <v>699.36833198034753</v>
      </c>
      <c r="X834" s="35">
        <f t="shared" si="80"/>
        <v>104687.01143524548</v>
      </c>
      <c r="Y834" s="35">
        <f t="shared" si="81"/>
        <v>31251.355676966396</v>
      </c>
      <c r="Z834" s="35">
        <f t="shared" si="82"/>
        <v>0</v>
      </c>
      <c r="AA834" s="35">
        <f t="shared" si="83"/>
        <v>1</v>
      </c>
      <c r="AB834" s="35">
        <f t="shared" si="84"/>
        <v>0</v>
      </c>
    </row>
    <row r="835" spans="1:28">
      <c r="A835" s="35">
        <v>824</v>
      </c>
      <c r="B835" s="35">
        <v>4.1804590055387125E-4</v>
      </c>
      <c r="C835" s="232">
        <v>91.42</v>
      </c>
      <c r="D835" s="35">
        <v>5.0593710387871758</v>
      </c>
      <c r="E835" s="232">
        <v>62.94</v>
      </c>
      <c r="F835" s="35">
        <v>5.051830289494819</v>
      </c>
      <c r="G835" s="232">
        <v>17300.97</v>
      </c>
      <c r="H835" s="35">
        <v>8.6262349432925163</v>
      </c>
      <c r="I835" s="232">
        <v>17821.45</v>
      </c>
      <c r="J835" s="35">
        <v>7.0787914743918492</v>
      </c>
      <c r="K835" s="232">
        <v>21504.68</v>
      </c>
      <c r="L835" s="35">
        <v>8.4726860617051702</v>
      </c>
      <c r="M835" s="232">
        <v>48060.74</v>
      </c>
      <c r="N835" s="35">
        <v>7.3945041021673505</v>
      </c>
      <c r="P835" s="232">
        <v>-28.47</v>
      </c>
      <c r="Q835" s="35">
        <v>7.5407492923567077E-3</v>
      </c>
      <c r="R835" s="232">
        <v>520.48</v>
      </c>
      <c r="S835" s="35">
        <v>1.5474434689006671</v>
      </c>
      <c r="T835" s="232">
        <v>26556.05</v>
      </c>
      <c r="U835" s="35">
        <v>1.0781819595378197</v>
      </c>
      <c r="W835" s="35">
        <f t="shared" si="79"/>
        <v>405.50746461783535</v>
      </c>
      <c r="X835" s="35">
        <f t="shared" si="80"/>
        <v>76851.693445033365</v>
      </c>
      <c r="Y835" s="35">
        <f t="shared" si="81"/>
        <v>27353.047976890983</v>
      </c>
      <c r="Z835" s="35">
        <f t="shared" si="82"/>
        <v>0</v>
      </c>
      <c r="AA835" s="35">
        <f t="shared" si="83"/>
        <v>1</v>
      </c>
      <c r="AB835" s="35">
        <f t="shared" si="84"/>
        <v>0</v>
      </c>
    </row>
    <row r="836" spans="1:28">
      <c r="A836" s="35">
        <v>825</v>
      </c>
      <c r="B836" s="35">
        <v>4.711122025566894E-4</v>
      </c>
      <c r="C836" s="232">
        <v>64.75</v>
      </c>
      <c r="D836" s="35">
        <v>5.0614975479652893</v>
      </c>
      <c r="E836" s="232">
        <v>40.69</v>
      </c>
      <c r="F836" s="35">
        <v>5.0514029555196727</v>
      </c>
      <c r="G836" s="232">
        <v>11140.52</v>
      </c>
      <c r="H836" s="35">
        <v>8.5692991083134089</v>
      </c>
      <c r="I836" s="232">
        <v>12796.87</v>
      </c>
      <c r="J836" s="35">
        <v>7.5517404742488905</v>
      </c>
      <c r="K836" s="232">
        <v>13243.26</v>
      </c>
      <c r="L836" s="35">
        <v>8.4085766675322482</v>
      </c>
      <c r="M836" s="232">
        <v>39286.43</v>
      </c>
      <c r="N836" s="35">
        <v>7.3024144500392296</v>
      </c>
      <c r="P836" s="232">
        <v>-24.06</v>
      </c>
      <c r="Q836" s="35">
        <v>1.0094592445616613E-2</v>
      </c>
      <c r="R836" s="232">
        <v>1656.35</v>
      </c>
      <c r="S836" s="35">
        <v>1.0175586340645184</v>
      </c>
      <c r="T836" s="232">
        <v>26043.17</v>
      </c>
      <c r="U836" s="35">
        <v>1.1061622174930186</v>
      </c>
      <c r="W836" s="35">
        <f t="shared" si="79"/>
        <v>528.7896222808306</v>
      </c>
      <c r="X836" s="35">
        <f t="shared" si="80"/>
        <v>49221.581703225922</v>
      </c>
      <c r="Y836" s="35">
        <f t="shared" si="81"/>
        <v>29264.940874650929</v>
      </c>
      <c r="Z836" s="35">
        <f t="shared" si="82"/>
        <v>0</v>
      </c>
      <c r="AA836" s="35">
        <f t="shared" si="83"/>
        <v>1</v>
      </c>
      <c r="AB836" s="35">
        <f t="shared" si="84"/>
        <v>0</v>
      </c>
    </row>
    <row r="837" spans="1:28">
      <c r="A837" s="35">
        <v>826</v>
      </c>
      <c r="B837" s="35">
        <v>3.738765406018713E-4</v>
      </c>
      <c r="C837" s="232">
        <v>48.36</v>
      </c>
      <c r="D837" s="35">
        <v>5.0599227778781568</v>
      </c>
      <c r="E837" s="232">
        <v>32.06</v>
      </c>
      <c r="F837" s="35">
        <v>5.0508418585744677</v>
      </c>
      <c r="G837" s="232">
        <v>10097.44</v>
      </c>
      <c r="H837" s="35">
        <v>9.2403404502471602</v>
      </c>
      <c r="I837" s="232">
        <v>11233.15</v>
      </c>
      <c r="J837" s="35">
        <v>7.5049442298105973</v>
      </c>
      <c r="K837" s="232">
        <v>11871.69</v>
      </c>
      <c r="L837" s="35">
        <v>9.3821896424561917</v>
      </c>
      <c r="M837" s="232">
        <v>37821.93</v>
      </c>
      <c r="N837" s="35">
        <v>8.2401511273667793</v>
      </c>
      <c r="P837" s="232">
        <v>-16.3</v>
      </c>
      <c r="Q837" s="35">
        <v>9.08091930368915E-3</v>
      </c>
      <c r="R837" s="232">
        <v>1135.71</v>
      </c>
      <c r="S837" s="35">
        <v>1.7353962204365629</v>
      </c>
      <c r="T837" s="232">
        <v>25950.25</v>
      </c>
      <c r="U837" s="35">
        <v>1.1420385150894123</v>
      </c>
      <c r="W837" s="35">
        <f t="shared" si="79"/>
        <v>470.3459651844575</v>
      </c>
      <c r="X837" s="35">
        <f t="shared" si="80"/>
        <v>85634.101021828144</v>
      </c>
      <c r="Y837" s="35">
        <f t="shared" si="81"/>
        <v>31151.67575447062</v>
      </c>
      <c r="Z837" s="35">
        <f t="shared" si="82"/>
        <v>0</v>
      </c>
      <c r="AA837" s="35">
        <f t="shared" si="83"/>
        <v>1</v>
      </c>
      <c r="AB837" s="35">
        <f t="shared" si="84"/>
        <v>0</v>
      </c>
    </row>
    <row r="838" spans="1:28">
      <c r="A838" s="35">
        <v>827</v>
      </c>
      <c r="B838" s="35">
        <v>5.0776266376517665E-4</v>
      </c>
      <c r="C838" s="232">
        <v>87.45</v>
      </c>
      <c r="D838" s="35">
        <v>5.0634313230256316</v>
      </c>
      <c r="E838" s="232">
        <v>48.91</v>
      </c>
      <c r="F838" s="35">
        <v>5.0511212200422095</v>
      </c>
      <c r="G838" s="232">
        <v>12512.1</v>
      </c>
      <c r="H838" s="35">
        <v>8.5203237180817197</v>
      </c>
      <c r="I838" s="232">
        <v>11703.44</v>
      </c>
      <c r="J838" s="35">
        <v>6.8885573510230884</v>
      </c>
      <c r="K838" s="232">
        <v>17672.36</v>
      </c>
      <c r="L838" s="35">
        <v>8.6775672335200813</v>
      </c>
      <c r="M838" s="232">
        <v>43719.32</v>
      </c>
      <c r="N838" s="35">
        <v>7.6189315293549296</v>
      </c>
      <c r="P838" s="232">
        <v>-38.53</v>
      </c>
      <c r="Q838" s="35">
        <v>1.2310102983422055E-2</v>
      </c>
      <c r="R838" s="232">
        <v>-808.66</v>
      </c>
      <c r="S838" s="35">
        <v>1.6317663670586313</v>
      </c>
      <c r="T838" s="232">
        <v>26046.959999999999</v>
      </c>
      <c r="U838" s="35">
        <v>1.0586357041651517</v>
      </c>
      <c r="W838" s="35">
        <f t="shared" si="79"/>
        <v>654.03514917110272</v>
      </c>
      <c r="X838" s="35">
        <f t="shared" si="80"/>
        <v>82396.978352931576</v>
      </c>
      <c r="Y838" s="35">
        <f t="shared" si="81"/>
        <v>26884.825208257585</v>
      </c>
      <c r="Z838" s="35">
        <f t="shared" si="82"/>
        <v>0</v>
      </c>
      <c r="AA838" s="35">
        <f t="shared" si="83"/>
        <v>1</v>
      </c>
      <c r="AB838" s="35">
        <f t="shared" si="84"/>
        <v>0</v>
      </c>
    </row>
    <row r="839" spans="1:28">
      <c r="A839" s="35">
        <v>828</v>
      </c>
      <c r="B839" s="35">
        <v>4.9903848462762301E-4</v>
      </c>
      <c r="C839" s="232">
        <v>101.29</v>
      </c>
      <c r="D839" s="35">
        <v>5.061887999781562</v>
      </c>
      <c r="E839" s="232">
        <v>58.44</v>
      </c>
      <c r="F839" s="35">
        <v>5.050880878489008</v>
      </c>
      <c r="G839" s="232">
        <v>15239.33</v>
      </c>
      <c r="H839" s="35">
        <v>8.1673555339377604</v>
      </c>
      <c r="I839" s="232">
        <v>14426.11</v>
      </c>
      <c r="J839" s="35">
        <v>6.7201200682459428</v>
      </c>
      <c r="K839" s="232">
        <v>23720.69</v>
      </c>
      <c r="L839" s="35">
        <v>8.6441602994542137</v>
      </c>
      <c r="M839" s="232">
        <v>50080.2</v>
      </c>
      <c r="N839" s="35">
        <v>7.6157214808544653</v>
      </c>
      <c r="P839" s="232">
        <v>-42.85</v>
      </c>
      <c r="Q839" s="35">
        <v>1.100712129255399E-2</v>
      </c>
      <c r="R839" s="232">
        <v>-813.23</v>
      </c>
      <c r="S839" s="35">
        <v>1.4472354656918176</v>
      </c>
      <c r="T839" s="232">
        <v>26359.51</v>
      </c>
      <c r="U839" s="35">
        <v>1.0284388185997484</v>
      </c>
      <c r="W839" s="35">
        <f t="shared" si="79"/>
        <v>593.20606462769945</v>
      </c>
      <c r="X839" s="35">
        <f t="shared" si="80"/>
        <v>73175.003284590872</v>
      </c>
      <c r="Y839" s="35">
        <f t="shared" si="81"/>
        <v>25062.430929987418</v>
      </c>
      <c r="Z839" s="35">
        <f t="shared" si="82"/>
        <v>0</v>
      </c>
      <c r="AA839" s="35">
        <f t="shared" si="83"/>
        <v>1</v>
      </c>
      <c r="AB839" s="35">
        <f t="shared" si="84"/>
        <v>0</v>
      </c>
    </row>
    <row r="840" spans="1:28">
      <c r="A840" s="35">
        <v>829</v>
      </c>
      <c r="B840" s="35">
        <v>5.4420747946870573E-4</v>
      </c>
      <c r="C840" s="232">
        <v>56.74</v>
      </c>
      <c r="D840" s="35">
        <v>5.0675114399369532</v>
      </c>
      <c r="E840" s="232">
        <v>36.14</v>
      </c>
      <c r="F840" s="35">
        <v>5.0548583238354023</v>
      </c>
      <c r="G840" s="232">
        <v>8747.2800000000007</v>
      </c>
      <c r="H840" s="35">
        <v>8.8848383741251435</v>
      </c>
      <c r="I840" s="232">
        <v>11218.87</v>
      </c>
      <c r="J840" s="35">
        <v>7.6253702110692645</v>
      </c>
      <c r="K840" s="232">
        <v>7287.83</v>
      </c>
      <c r="L840" s="35">
        <v>8.7841638926495165</v>
      </c>
      <c r="M840" s="232">
        <v>32984.199999999997</v>
      </c>
      <c r="N840" s="35">
        <v>7.6509289912739336</v>
      </c>
      <c r="P840" s="232">
        <v>-20.6</v>
      </c>
      <c r="Q840" s="35">
        <v>1.2653116101550843E-2</v>
      </c>
      <c r="R840" s="232">
        <v>2471.59</v>
      </c>
      <c r="S840" s="35">
        <v>1.2594681630558791</v>
      </c>
      <c r="T840" s="232">
        <v>25696.37</v>
      </c>
      <c r="U840" s="35">
        <v>1.1332349013755829</v>
      </c>
      <c r="W840" s="35">
        <f t="shared" si="79"/>
        <v>653.25580507754216</v>
      </c>
      <c r="X840" s="35">
        <f t="shared" si="80"/>
        <v>60501.81815279396</v>
      </c>
      <c r="Y840" s="35">
        <f t="shared" si="81"/>
        <v>30965.375068779143</v>
      </c>
      <c r="Z840" s="35">
        <f t="shared" si="82"/>
        <v>0</v>
      </c>
      <c r="AA840" s="35">
        <f t="shared" si="83"/>
        <v>1</v>
      </c>
      <c r="AB840" s="35">
        <f t="shared" si="84"/>
        <v>0</v>
      </c>
    </row>
    <row r="841" spans="1:28">
      <c r="A841" s="35">
        <v>830</v>
      </c>
      <c r="B841" s="35">
        <v>5.5234020745320578E-4</v>
      </c>
      <c r="C841" s="232">
        <v>94.41</v>
      </c>
      <c r="D841" s="35">
        <v>5.0683035172894213</v>
      </c>
      <c r="E841" s="232">
        <v>59</v>
      </c>
      <c r="F841" s="35">
        <v>5.0557292710087074</v>
      </c>
      <c r="G841" s="232">
        <v>12835.77</v>
      </c>
      <c r="H841" s="35">
        <v>9.0678091857697289</v>
      </c>
      <c r="I841" s="232">
        <v>12458.29</v>
      </c>
      <c r="J841" s="35">
        <v>7.2919962883945511</v>
      </c>
      <c r="K841" s="232">
        <v>16607.88</v>
      </c>
      <c r="L841" s="35">
        <v>8.7264134723774891</v>
      </c>
      <c r="M841" s="232">
        <v>42693.49</v>
      </c>
      <c r="N841" s="35">
        <v>7.5549995817054487</v>
      </c>
      <c r="P841" s="232">
        <v>-35.4</v>
      </c>
      <c r="Q841" s="35">
        <v>1.2574246280713908E-2</v>
      </c>
      <c r="R841" s="232">
        <v>-377.48</v>
      </c>
      <c r="S841" s="35">
        <v>1.7758128973751779</v>
      </c>
      <c r="T841" s="232">
        <v>26085.61</v>
      </c>
      <c r="U841" s="35">
        <v>1.1714138906720404</v>
      </c>
      <c r="W841" s="35">
        <f t="shared" si="79"/>
        <v>664.11231403569536</v>
      </c>
      <c r="X841" s="35">
        <f t="shared" si="80"/>
        <v>89168.124868758896</v>
      </c>
      <c r="Y841" s="35">
        <f t="shared" si="81"/>
        <v>32485.084533602021</v>
      </c>
      <c r="Z841" s="35">
        <f t="shared" si="82"/>
        <v>0</v>
      </c>
      <c r="AA841" s="35">
        <f t="shared" si="83"/>
        <v>1</v>
      </c>
      <c r="AB841" s="35">
        <f t="shared" si="84"/>
        <v>0</v>
      </c>
    </row>
    <row r="842" spans="1:28">
      <c r="A842" s="35">
        <v>831</v>
      </c>
      <c r="B842" s="35">
        <v>4.1307992139369952E-4</v>
      </c>
      <c r="C842" s="232">
        <v>71.45</v>
      </c>
      <c r="D842" s="35">
        <v>5.0600761362392541</v>
      </c>
      <c r="E842" s="232">
        <v>38.700000000000003</v>
      </c>
      <c r="F842" s="35">
        <v>5.0487847095672107</v>
      </c>
      <c r="G842" s="232">
        <v>13744.9</v>
      </c>
      <c r="H842" s="35">
        <v>9.0105835792211835</v>
      </c>
      <c r="I842" s="232">
        <v>15173.84</v>
      </c>
      <c r="J842" s="35">
        <v>8.3634225320896523</v>
      </c>
      <c r="K842" s="232">
        <v>18324.32</v>
      </c>
      <c r="L842" s="35">
        <v>8.7209852833459465</v>
      </c>
      <c r="M842" s="232">
        <v>44626.9</v>
      </c>
      <c r="N842" s="35">
        <v>7.6042737073400115</v>
      </c>
      <c r="P842" s="232">
        <v>-32.75</v>
      </c>
      <c r="Q842" s="35">
        <v>1.1291426672043414E-2</v>
      </c>
      <c r="R842" s="232">
        <v>1428.94</v>
      </c>
      <c r="S842" s="35">
        <v>0.64716104713153122</v>
      </c>
      <c r="T842" s="232">
        <v>26302.58</v>
      </c>
      <c r="U842" s="35">
        <v>1.116711576005935</v>
      </c>
      <c r="W842" s="35">
        <f t="shared" si="79"/>
        <v>597.32133360217074</v>
      </c>
      <c r="X842" s="35">
        <f t="shared" si="80"/>
        <v>30929.112356576563</v>
      </c>
      <c r="Y842" s="35">
        <f t="shared" si="81"/>
        <v>29532.998800296744</v>
      </c>
      <c r="Z842" s="35">
        <f t="shared" si="82"/>
        <v>0</v>
      </c>
      <c r="AA842" s="35">
        <f t="shared" si="83"/>
        <v>1</v>
      </c>
      <c r="AB842" s="35">
        <f t="shared" si="84"/>
        <v>0</v>
      </c>
    </row>
    <row r="843" spans="1:28">
      <c r="A843" s="35">
        <v>832</v>
      </c>
      <c r="B843" s="35">
        <v>4.9726184480147761E-4</v>
      </c>
      <c r="C843" s="232">
        <v>93.8</v>
      </c>
      <c r="D843" s="35">
        <v>5.0637924289321887</v>
      </c>
      <c r="E843" s="232">
        <v>55.71</v>
      </c>
      <c r="F843" s="35">
        <v>5.0522762086917803</v>
      </c>
      <c r="G843" s="232">
        <v>13782.81</v>
      </c>
      <c r="H843" s="35">
        <v>8.5629539340135565</v>
      </c>
      <c r="I843" s="232">
        <v>15544.48</v>
      </c>
      <c r="J843" s="35">
        <v>8.3418123562401352</v>
      </c>
      <c r="K843" s="232">
        <v>22370.18</v>
      </c>
      <c r="L843" s="35">
        <v>8.8356627641399506</v>
      </c>
      <c r="M843" s="232">
        <v>48880.32</v>
      </c>
      <c r="N843" s="35">
        <v>7.72381422780912</v>
      </c>
      <c r="P843" s="232">
        <v>-38.090000000000003</v>
      </c>
      <c r="Q843" s="35">
        <v>1.1516220240408437E-2</v>
      </c>
      <c r="R843" s="232">
        <v>1761.67</v>
      </c>
      <c r="S843" s="35">
        <v>0.22114157777342136</v>
      </c>
      <c r="T843" s="232">
        <v>26510.14</v>
      </c>
      <c r="U843" s="35">
        <v>1.1118485363308306</v>
      </c>
      <c r="W843" s="35">
        <f t="shared" si="79"/>
        <v>613.90101202042183</v>
      </c>
      <c r="X843" s="35">
        <f t="shared" si="80"/>
        <v>9295.4088886710688</v>
      </c>
      <c r="Y843" s="35">
        <f t="shared" si="81"/>
        <v>29082.286816541528</v>
      </c>
      <c r="Z843" s="35">
        <f t="shared" si="82"/>
        <v>0</v>
      </c>
      <c r="AA843" s="35">
        <f t="shared" si="83"/>
        <v>0</v>
      </c>
      <c r="AB843" s="35">
        <f t="shared" si="84"/>
        <v>1</v>
      </c>
    </row>
    <row r="844" spans="1:28">
      <c r="A844" s="35">
        <v>833</v>
      </c>
      <c r="B844" s="35">
        <v>5.2217114242048002E-4</v>
      </c>
      <c r="C844" s="232">
        <v>75.069999999999993</v>
      </c>
      <c r="D844" s="35">
        <v>5.0629130964693809</v>
      </c>
      <c r="E844" s="232">
        <v>42.05</v>
      </c>
      <c r="F844" s="35">
        <v>5.0507008846822217</v>
      </c>
      <c r="G844" s="232">
        <v>10540.32</v>
      </c>
      <c r="H844" s="35">
        <v>8.2916039927073228</v>
      </c>
      <c r="I844" s="232">
        <v>10708.62</v>
      </c>
      <c r="J844" s="35">
        <v>6.6750034722282248</v>
      </c>
      <c r="K844" s="232">
        <v>13279.95</v>
      </c>
      <c r="L844" s="35">
        <v>8.4559781555882942</v>
      </c>
      <c r="M844" s="232">
        <v>39198.46</v>
      </c>
      <c r="N844" s="35">
        <v>7.3592756682176521</v>
      </c>
      <c r="P844" s="232">
        <v>-33.020000000000003</v>
      </c>
      <c r="Q844" s="35">
        <v>1.2212211787159255E-2</v>
      </c>
      <c r="R844" s="232">
        <v>168.3</v>
      </c>
      <c r="S844" s="35">
        <v>1.6166005204790981</v>
      </c>
      <c r="T844" s="232">
        <v>25918.51</v>
      </c>
      <c r="U844" s="35">
        <v>1.0967024873706421</v>
      </c>
      <c r="W844" s="35">
        <f t="shared" ref="W844:W907" si="85">$X$2*Q844-P844</f>
        <v>643.63058935796278</v>
      </c>
      <c r="X844" s="35">
        <f t="shared" ref="X844:X907" si="86">$X$2*S844-R844</f>
        <v>80661.726023954907</v>
      </c>
      <c r="Y844" s="35">
        <f t="shared" ref="Y844:Y907" si="87">$X$2*U844-T844</f>
        <v>28916.614368532111</v>
      </c>
      <c r="Z844" s="35">
        <f t="shared" ref="Z844:Z907" si="88">IF(W844=MAX($W844:$Y844), 1, 0)</f>
        <v>0</v>
      </c>
      <c r="AA844" s="35">
        <f t="shared" ref="AA844:AA907" si="89">IF(X844=MAX($W844:$Y844), 1, 0)</f>
        <v>1</v>
      </c>
      <c r="AB844" s="35">
        <f t="shared" ref="AB844:AB907" si="90">IF(Y844=MAX($W844:$Y844), 1, 0)</f>
        <v>0</v>
      </c>
    </row>
    <row r="845" spans="1:28">
      <c r="A845" s="35">
        <v>834</v>
      </c>
      <c r="B845" s="35">
        <v>3.5421541670557349E-4</v>
      </c>
      <c r="C845" s="232">
        <v>57.04</v>
      </c>
      <c r="D845" s="35">
        <v>5.0546076648545837</v>
      </c>
      <c r="E845" s="232">
        <v>32.979999999999997</v>
      </c>
      <c r="F845" s="35">
        <v>5.0464988899564913</v>
      </c>
      <c r="G845" s="232">
        <v>12426.49</v>
      </c>
      <c r="H845" s="35">
        <v>8.2488994282968822</v>
      </c>
      <c r="I845" s="232">
        <v>13731.46</v>
      </c>
      <c r="J845" s="35">
        <v>7.4025780021847023</v>
      </c>
      <c r="K845" s="232">
        <v>15467.84</v>
      </c>
      <c r="L845" s="35">
        <v>8.3100276883374562</v>
      </c>
      <c r="M845" s="232">
        <v>41610.300000000003</v>
      </c>
      <c r="N845" s="35">
        <v>7.2854828279330626</v>
      </c>
      <c r="P845" s="232">
        <v>-24.05</v>
      </c>
      <c r="Q845" s="35">
        <v>8.1087748980923635E-3</v>
      </c>
      <c r="R845" s="232">
        <v>1304.97</v>
      </c>
      <c r="S845" s="35">
        <v>0.84632142611217986</v>
      </c>
      <c r="T845" s="232">
        <v>26142.46</v>
      </c>
      <c r="U845" s="35">
        <v>1.0245448604043936</v>
      </c>
      <c r="W845" s="35">
        <f t="shared" si="85"/>
        <v>429.48874490461816</v>
      </c>
      <c r="X845" s="35">
        <f t="shared" si="86"/>
        <v>41011.101305608994</v>
      </c>
      <c r="Y845" s="35">
        <f t="shared" si="87"/>
        <v>25084.783020219686</v>
      </c>
      <c r="Z845" s="35">
        <f t="shared" si="88"/>
        <v>0</v>
      </c>
      <c r="AA845" s="35">
        <f t="shared" si="89"/>
        <v>1</v>
      </c>
      <c r="AB845" s="35">
        <f t="shared" si="90"/>
        <v>0</v>
      </c>
    </row>
    <row r="846" spans="1:28">
      <c r="A846" s="35">
        <v>835</v>
      </c>
      <c r="B846" s="35">
        <v>6.3380505366084083E-4</v>
      </c>
      <c r="C846" s="232">
        <v>106.15</v>
      </c>
      <c r="D846" s="35">
        <v>5.0701691390832693</v>
      </c>
      <c r="E846" s="232">
        <v>57.17</v>
      </c>
      <c r="F846" s="35">
        <v>5.0541733789613312</v>
      </c>
      <c r="G846" s="232">
        <v>12704.47</v>
      </c>
      <c r="H846" s="35">
        <v>8.7091509761746568</v>
      </c>
      <c r="I846" s="232">
        <v>13317.15</v>
      </c>
      <c r="J846" s="35">
        <v>7.7832942722726068</v>
      </c>
      <c r="K846" s="232">
        <v>18620.97</v>
      </c>
      <c r="L846" s="35">
        <v>8.4698262332036158</v>
      </c>
      <c r="M846" s="232">
        <v>44828.95</v>
      </c>
      <c r="N846" s="35">
        <v>7.3647782393852177</v>
      </c>
      <c r="P846" s="232">
        <v>-48.98</v>
      </c>
      <c r="Q846" s="35">
        <v>1.5995760121938041E-2</v>
      </c>
      <c r="R846" s="232">
        <v>612.69000000000005</v>
      </c>
      <c r="S846" s="35">
        <v>0.92585670390204999</v>
      </c>
      <c r="T846" s="232">
        <v>26207.99</v>
      </c>
      <c r="U846" s="35">
        <v>1.1050479938183981</v>
      </c>
      <c r="W846" s="35">
        <f t="shared" si="85"/>
        <v>848.76800609690201</v>
      </c>
      <c r="X846" s="35">
        <f t="shared" si="86"/>
        <v>45680.145195102494</v>
      </c>
      <c r="Y846" s="35">
        <f t="shared" si="87"/>
        <v>29044.409690919903</v>
      </c>
      <c r="Z846" s="35">
        <f t="shared" si="88"/>
        <v>0</v>
      </c>
      <c r="AA846" s="35">
        <f t="shared" si="89"/>
        <v>1</v>
      </c>
      <c r="AB846" s="35">
        <f t="shared" si="90"/>
        <v>0</v>
      </c>
    </row>
    <row r="847" spans="1:28">
      <c r="A847" s="35">
        <v>836</v>
      </c>
      <c r="B847" s="35">
        <v>4.8174591255023547E-4</v>
      </c>
      <c r="C847" s="232">
        <v>70.56</v>
      </c>
      <c r="D847" s="35">
        <v>5.0634483444671172</v>
      </c>
      <c r="E847" s="232">
        <v>45.07</v>
      </c>
      <c r="F847" s="35">
        <v>5.0529015817603611</v>
      </c>
      <c r="G847" s="232">
        <v>11704.9</v>
      </c>
      <c r="H847" s="35">
        <v>8.868720564719073</v>
      </c>
      <c r="I847" s="232">
        <v>13525.13</v>
      </c>
      <c r="J847" s="35">
        <v>7.8737501187572434</v>
      </c>
      <c r="K847" s="232">
        <v>12203.45</v>
      </c>
      <c r="L847" s="35">
        <v>8.6013854700801691</v>
      </c>
      <c r="M847" s="232">
        <v>38035.269999999997</v>
      </c>
      <c r="N847" s="35">
        <v>7.5312822065589238</v>
      </c>
      <c r="P847" s="232">
        <v>-25.49</v>
      </c>
      <c r="Q847" s="35">
        <v>1.0546762706756141E-2</v>
      </c>
      <c r="R847" s="232">
        <v>1820.23</v>
      </c>
      <c r="S847" s="35">
        <v>0.9949704459618296</v>
      </c>
      <c r="T847" s="232">
        <v>25831.82</v>
      </c>
      <c r="U847" s="35">
        <v>1.0701032635212453</v>
      </c>
      <c r="W847" s="35">
        <f t="shared" si="85"/>
        <v>552.828135337807</v>
      </c>
      <c r="X847" s="35">
        <f t="shared" si="86"/>
        <v>47928.292298091474</v>
      </c>
      <c r="Y847" s="35">
        <f t="shared" si="87"/>
        <v>27673.343176062263</v>
      </c>
      <c r="Z847" s="35">
        <f t="shared" si="88"/>
        <v>0</v>
      </c>
      <c r="AA847" s="35">
        <f t="shared" si="89"/>
        <v>1</v>
      </c>
      <c r="AB847" s="35">
        <f t="shared" si="90"/>
        <v>0</v>
      </c>
    </row>
    <row r="848" spans="1:28">
      <c r="A848" s="35">
        <v>837</v>
      </c>
      <c r="B848" s="35">
        <v>4.4166651270040102E-4</v>
      </c>
      <c r="C848" s="232">
        <v>43.95</v>
      </c>
      <c r="D848" s="35">
        <v>5.0625677377333496</v>
      </c>
      <c r="E848" s="232">
        <v>29.62</v>
      </c>
      <c r="F848" s="35">
        <v>5.0524807281642197</v>
      </c>
      <c r="G848" s="232">
        <v>7732.06</v>
      </c>
      <c r="H848" s="35">
        <v>9.2295587900514491</v>
      </c>
      <c r="I848" s="232">
        <v>9197.32</v>
      </c>
      <c r="J848" s="35">
        <v>7.7149663471307504</v>
      </c>
      <c r="K848" s="232">
        <v>8416.9699999999993</v>
      </c>
      <c r="L848" s="35">
        <v>8.6360281546020179</v>
      </c>
      <c r="M848" s="232">
        <v>34208.33</v>
      </c>
      <c r="N848" s="35">
        <v>7.5440087525023669</v>
      </c>
      <c r="P848" s="232">
        <v>-14.33</v>
      </c>
      <c r="Q848" s="35">
        <v>1.008700956912989E-2</v>
      </c>
      <c r="R848" s="232">
        <v>1465.26</v>
      </c>
      <c r="S848" s="35">
        <v>1.5145924429206987</v>
      </c>
      <c r="T848" s="232">
        <v>25791.360000000001</v>
      </c>
      <c r="U848" s="35">
        <v>1.092019402099651</v>
      </c>
      <c r="W848" s="35">
        <f t="shared" si="85"/>
        <v>518.68047845649448</v>
      </c>
      <c r="X848" s="35">
        <f t="shared" si="86"/>
        <v>74264.362146034939</v>
      </c>
      <c r="Y848" s="35">
        <f t="shared" si="87"/>
        <v>28809.610104982552</v>
      </c>
      <c r="Z848" s="35">
        <f t="shared" si="88"/>
        <v>0</v>
      </c>
      <c r="AA848" s="35">
        <f t="shared" si="89"/>
        <v>1</v>
      </c>
      <c r="AB848" s="35">
        <f t="shared" si="90"/>
        <v>0</v>
      </c>
    </row>
    <row r="849" spans="1:28">
      <c r="A849" s="35">
        <v>838</v>
      </c>
      <c r="B849" s="35">
        <v>5.2131580510483833E-4</v>
      </c>
      <c r="C849" s="232">
        <v>64.650000000000006</v>
      </c>
      <c r="D849" s="35">
        <v>5.0668381857341283</v>
      </c>
      <c r="E849" s="232">
        <v>37.880000000000003</v>
      </c>
      <c r="F849" s="35">
        <v>5.0532238305058437</v>
      </c>
      <c r="G849" s="232">
        <v>10268.6</v>
      </c>
      <c r="H849" s="35">
        <v>9.0966497893778833</v>
      </c>
      <c r="I849" s="232">
        <v>12289.42</v>
      </c>
      <c r="J849" s="35">
        <v>8.2747706305101634</v>
      </c>
      <c r="K849" s="232">
        <v>11125.15</v>
      </c>
      <c r="L849" s="35">
        <v>8.8544203702541111</v>
      </c>
      <c r="M849" s="232">
        <v>36994.11</v>
      </c>
      <c r="N849" s="35">
        <v>7.7048348978938366</v>
      </c>
      <c r="P849" s="232">
        <v>-26.77</v>
      </c>
      <c r="Q849" s="35">
        <v>1.361435522828458E-2</v>
      </c>
      <c r="R849" s="232">
        <v>2020.83</v>
      </c>
      <c r="S849" s="35">
        <v>0.82187915886771989</v>
      </c>
      <c r="T849" s="232">
        <v>25868.959999999999</v>
      </c>
      <c r="U849" s="35">
        <v>1.1495854723602745</v>
      </c>
      <c r="W849" s="35">
        <f t="shared" si="85"/>
        <v>707.487761414229</v>
      </c>
      <c r="X849" s="35">
        <f t="shared" si="86"/>
        <v>39073.127943385996</v>
      </c>
      <c r="Y849" s="35">
        <f t="shared" si="87"/>
        <v>31610.31361801373</v>
      </c>
      <c r="Z849" s="35">
        <f t="shared" si="88"/>
        <v>0</v>
      </c>
      <c r="AA849" s="35">
        <f t="shared" si="89"/>
        <v>1</v>
      </c>
      <c r="AB849" s="35">
        <f t="shared" si="90"/>
        <v>0</v>
      </c>
    </row>
    <row r="850" spans="1:28">
      <c r="A850" s="35">
        <v>839</v>
      </c>
      <c r="B850" s="35">
        <v>3.7881152556098395E-4</v>
      </c>
      <c r="C850" s="232">
        <v>75.84</v>
      </c>
      <c r="D850" s="35">
        <v>5.057680134368904</v>
      </c>
      <c r="E850" s="232">
        <v>48.89</v>
      </c>
      <c r="F850" s="35">
        <v>5.0497032628937442</v>
      </c>
      <c r="G850" s="232">
        <v>15410.86</v>
      </c>
      <c r="H850" s="35">
        <v>8.6462367518948131</v>
      </c>
      <c r="I850" s="232">
        <v>16214.12</v>
      </c>
      <c r="J850" s="35">
        <v>7.724847883901429</v>
      </c>
      <c r="K850" s="232">
        <v>21395.65</v>
      </c>
      <c r="L850" s="35">
        <v>8.792110773925069</v>
      </c>
      <c r="M850" s="232">
        <v>47885.95</v>
      </c>
      <c r="N850" s="35">
        <v>7.7018198053586246</v>
      </c>
      <c r="P850" s="232">
        <v>-26.95</v>
      </c>
      <c r="Q850" s="35">
        <v>7.9768714751597969E-3</v>
      </c>
      <c r="R850" s="232">
        <v>803.26</v>
      </c>
      <c r="S850" s="35">
        <v>0.92138886799338415</v>
      </c>
      <c r="T850" s="232">
        <v>26490.3</v>
      </c>
      <c r="U850" s="35">
        <v>1.0902909685664444</v>
      </c>
      <c r="W850" s="35">
        <f t="shared" si="85"/>
        <v>425.7935737579898</v>
      </c>
      <c r="X850" s="35">
        <f t="shared" si="86"/>
        <v>45266.183399669208</v>
      </c>
      <c r="Y850" s="35">
        <f t="shared" si="87"/>
        <v>28024.248428322218</v>
      </c>
      <c r="Z850" s="35">
        <f t="shared" si="88"/>
        <v>0</v>
      </c>
      <c r="AA850" s="35">
        <f t="shared" si="89"/>
        <v>1</v>
      </c>
      <c r="AB850" s="35">
        <f t="shared" si="90"/>
        <v>0</v>
      </c>
    </row>
    <row r="851" spans="1:28">
      <c r="A851" s="35">
        <v>840</v>
      </c>
      <c r="B851" s="35">
        <v>4.1684490969258958E-4</v>
      </c>
      <c r="C851" s="232">
        <v>75.16</v>
      </c>
      <c r="D851" s="35">
        <v>5.0599755887711666</v>
      </c>
      <c r="E851" s="232">
        <v>50.44</v>
      </c>
      <c r="F851" s="35">
        <v>5.0516475823925768</v>
      </c>
      <c r="G851" s="232">
        <v>13891.43</v>
      </c>
      <c r="H851" s="35">
        <v>8.8480670037158173</v>
      </c>
      <c r="I851" s="232">
        <v>12936.58</v>
      </c>
      <c r="J851" s="35">
        <v>6.4924800408877479</v>
      </c>
      <c r="K851" s="232">
        <v>17904.53</v>
      </c>
      <c r="L851" s="35">
        <v>8.4648487132122288</v>
      </c>
      <c r="M851" s="232">
        <v>44185.23</v>
      </c>
      <c r="N851" s="35">
        <v>7.3640972557691375</v>
      </c>
      <c r="P851" s="232">
        <v>-24.72</v>
      </c>
      <c r="Q851" s="35">
        <v>8.3280063785897696E-3</v>
      </c>
      <c r="R851" s="232">
        <v>-954.85</v>
      </c>
      <c r="S851" s="35">
        <v>2.3555869628280695</v>
      </c>
      <c r="T851" s="232">
        <v>26280.7</v>
      </c>
      <c r="U851" s="35">
        <v>1.1007514574430912</v>
      </c>
      <c r="W851" s="35">
        <f t="shared" si="85"/>
        <v>441.12031892948846</v>
      </c>
      <c r="X851" s="35">
        <f t="shared" si="86"/>
        <v>118734.19814140348</v>
      </c>
      <c r="Y851" s="35">
        <f t="shared" si="87"/>
        <v>28756.872872154559</v>
      </c>
      <c r="Z851" s="35">
        <f t="shared" si="88"/>
        <v>0</v>
      </c>
      <c r="AA851" s="35">
        <f t="shared" si="89"/>
        <v>1</v>
      </c>
      <c r="AB851" s="35">
        <f t="shared" si="90"/>
        <v>0</v>
      </c>
    </row>
    <row r="852" spans="1:28">
      <c r="A852" s="35">
        <v>841</v>
      </c>
      <c r="B852" s="35">
        <v>4.5744217236387552E-4</v>
      </c>
      <c r="C852" s="232">
        <v>68.94</v>
      </c>
      <c r="D852" s="35">
        <v>5.0579211313449024</v>
      </c>
      <c r="E852" s="232">
        <v>39.619999999999997</v>
      </c>
      <c r="F852" s="35">
        <v>5.0483530421233844</v>
      </c>
      <c r="G852" s="232">
        <v>11820.81</v>
      </c>
      <c r="H852" s="35">
        <v>7.8196409576039354</v>
      </c>
      <c r="I852" s="232">
        <v>13612.32</v>
      </c>
      <c r="J852" s="35">
        <v>7.2868285752299622</v>
      </c>
      <c r="K852" s="232">
        <v>14592.16</v>
      </c>
      <c r="L852" s="35">
        <v>8.1473358695430242</v>
      </c>
      <c r="M852" s="232">
        <v>40820.839999999997</v>
      </c>
      <c r="N852" s="35">
        <v>7.0253130018371701</v>
      </c>
      <c r="P852" s="232">
        <v>-29.31</v>
      </c>
      <c r="Q852" s="35">
        <v>9.5680892215179725E-3</v>
      </c>
      <c r="R852" s="232">
        <v>1791.51</v>
      </c>
      <c r="S852" s="35">
        <v>0.53281238237397321</v>
      </c>
      <c r="T852" s="232">
        <v>26228.68</v>
      </c>
      <c r="U852" s="35">
        <v>1.1220228677058541</v>
      </c>
      <c r="W852" s="35">
        <f t="shared" si="85"/>
        <v>507.71446107589861</v>
      </c>
      <c r="X852" s="35">
        <f t="shared" si="86"/>
        <v>24849.109118698663</v>
      </c>
      <c r="Y852" s="35">
        <f t="shared" si="87"/>
        <v>29872.463385292707</v>
      </c>
      <c r="Z852" s="35">
        <f t="shared" si="88"/>
        <v>0</v>
      </c>
      <c r="AA852" s="35">
        <f t="shared" si="89"/>
        <v>0</v>
      </c>
      <c r="AB852" s="35">
        <f t="shared" si="90"/>
        <v>1</v>
      </c>
    </row>
    <row r="853" spans="1:28">
      <c r="A853" s="35">
        <v>842</v>
      </c>
      <c r="B853" s="35">
        <v>3.0977363560948237E-4</v>
      </c>
      <c r="C853" s="232">
        <v>51.17</v>
      </c>
      <c r="D853" s="35">
        <v>5.0527015881263813</v>
      </c>
      <c r="E853" s="232">
        <v>30.54</v>
      </c>
      <c r="F853" s="35">
        <v>5.0456856041297646</v>
      </c>
      <c r="G853" s="232">
        <v>13124.87</v>
      </c>
      <c r="H853" s="35">
        <v>8.4145346317057221</v>
      </c>
      <c r="I853" s="232">
        <v>14218.09</v>
      </c>
      <c r="J853" s="35">
        <v>7.4392290992877674</v>
      </c>
      <c r="K853" s="232">
        <v>17000.36</v>
      </c>
      <c r="L853" s="35">
        <v>8.2753540741769935</v>
      </c>
      <c r="M853" s="232">
        <v>42993.64</v>
      </c>
      <c r="N853" s="35">
        <v>7.1354302258324083</v>
      </c>
      <c r="P853" s="232">
        <v>-20.63</v>
      </c>
      <c r="Q853" s="35">
        <v>7.015983996616626E-3</v>
      </c>
      <c r="R853" s="232">
        <v>1093.22</v>
      </c>
      <c r="S853" s="35">
        <v>0.9753055324179547</v>
      </c>
      <c r="T853" s="232">
        <v>25993.279999999999</v>
      </c>
      <c r="U853" s="35">
        <v>1.1399238483445853</v>
      </c>
      <c r="W853" s="35">
        <f t="shared" si="85"/>
        <v>371.42919983083129</v>
      </c>
      <c r="X853" s="35">
        <f t="shared" si="86"/>
        <v>47672.056620897733</v>
      </c>
      <c r="Y853" s="35">
        <f t="shared" si="87"/>
        <v>31002.912417229265</v>
      </c>
      <c r="Z853" s="35">
        <f t="shared" si="88"/>
        <v>0</v>
      </c>
      <c r="AA853" s="35">
        <f t="shared" si="89"/>
        <v>1</v>
      </c>
      <c r="AB853" s="35">
        <f t="shared" si="90"/>
        <v>0</v>
      </c>
    </row>
    <row r="854" spans="1:28">
      <c r="A854" s="35">
        <v>843</v>
      </c>
      <c r="B854" s="35">
        <v>3.7613766561266977E-4</v>
      </c>
      <c r="C854" s="232">
        <v>60.97</v>
      </c>
      <c r="D854" s="35">
        <v>5.0559176059906816</v>
      </c>
      <c r="E854" s="232">
        <v>39.19</v>
      </c>
      <c r="F854" s="35">
        <v>5.0484077499946798</v>
      </c>
      <c r="G854" s="232">
        <v>12386.35</v>
      </c>
      <c r="H854" s="35">
        <v>8.3251041621199668</v>
      </c>
      <c r="I854" s="232">
        <v>13366.64</v>
      </c>
      <c r="J854" s="35">
        <v>7.3149580813079984</v>
      </c>
      <c r="K854" s="232">
        <v>16157.54</v>
      </c>
      <c r="L854" s="35">
        <v>8.2817401318873696</v>
      </c>
      <c r="M854" s="232">
        <v>42322.01</v>
      </c>
      <c r="N854" s="35">
        <v>7.2381954948805722</v>
      </c>
      <c r="P854" s="232">
        <v>-21.78</v>
      </c>
      <c r="Q854" s="35">
        <v>7.5098559960018463E-3</v>
      </c>
      <c r="R854" s="232">
        <v>980.29</v>
      </c>
      <c r="S854" s="35">
        <v>1.0101460808119684</v>
      </c>
      <c r="T854" s="232">
        <v>26164.47</v>
      </c>
      <c r="U854" s="35">
        <v>1.0435446370067973</v>
      </c>
      <c r="W854" s="35">
        <f t="shared" si="85"/>
        <v>397.27279980009234</v>
      </c>
      <c r="X854" s="35">
        <f t="shared" si="86"/>
        <v>49527.01404059842</v>
      </c>
      <c r="Y854" s="35">
        <f t="shared" si="87"/>
        <v>26012.761850339863</v>
      </c>
      <c r="Z854" s="35">
        <f t="shared" si="88"/>
        <v>0</v>
      </c>
      <c r="AA854" s="35">
        <f t="shared" si="89"/>
        <v>1</v>
      </c>
      <c r="AB854" s="35">
        <f t="shared" si="90"/>
        <v>0</v>
      </c>
    </row>
    <row r="855" spans="1:28">
      <c r="A855" s="35">
        <v>844</v>
      </c>
      <c r="B855" s="35">
        <v>3.7266262253775459E-4</v>
      </c>
      <c r="C855" s="232">
        <v>73.33</v>
      </c>
      <c r="D855" s="35">
        <v>5.0589171739531933</v>
      </c>
      <c r="E855" s="232">
        <v>47.89</v>
      </c>
      <c r="F855" s="35">
        <v>5.0505837712540185</v>
      </c>
      <c r="G855" s="232">
        <v>15485.89</v>
      </c>
      <c r="H855" s="35">
        <v>9.2017637470327127</v>
      </c>
      <c r="I855" s="232">
        <v>16064.85</v>
      </c>
      <c r="J855" s="35">
        <v>7.6704555673554591</v>
      </c>
      <c r="K855" s="232">
        <v>18764.32</v>
      </c>
      <c r="L855" s="35">
        <v>8.8287257284319711</v>
      </c>
      <c r="M855" s="232">
        <v>45099.88</v>
      </c>
      <c r="N855" s="35">
        <v>7.7634523984058701</v>
      </c>
      <c r="P855" s="232">
        <v>-25.44</v>
      </c>
      <c r="Q855" s="35">
        <v>8.3334026991748189E-3</v>
      </c>
      <c r="R855" s="232">
        <v>578.97</v>
      </c>
      <c r="S855" s="35">
        <v>1.5313081796772536</v>
      </c>
      <c r="T855" s="232">
        <v>26335.56</v>
      </c>
      <c r="U855" s="35">
        <v>1.065273330026101</v>
      </c>
      <c r="W855" s="35">
        <f t="shared" si="85"/>
        <v>442.11013495874096</v>
      </c>
      <c r="X855" s="35">
        <f t="shared" si="86"/>
        <v>75986.438983862681</v>
      </c>
      <c r="Y855" s="35">
        <f t="shared" si="87"/>
        <v>26928.10650130505</v>
      </c>
      <c r="Z855" s="35">
        <f t="shared" si="88"/>
        <v>0</v>
      </c>
      <c r="AA855" s="35">
        <f t="shared" si="89"/>
        <v>1</v>
      </c>
      <c r="AB855" s="35">
        <f t="shared" si="90"/>
        <v>0</v>
      </c>
    </row>
    <row r="856" spans="1:28">
      <c r="A856" s="35">
        <v>845</v>
      </c>
      <c r="B856" s="35">
        <v>4.8277001893859417E-4</v>
      </c>
      <c r="C856" s="232">
        <v>73.400000000000006</v>
      </c>
      <c r="D856" s="35">
        <v>5.0615337484445142</v>
      </c>
      <c r="E856" s="232">
        <v>42.29</v>
      </c>
      <c r="F856" s="35">
        <v>5.050349172296615</v>
      </c>
      <c r="G856" s="232">
        <v>11580.87</v>
      </c>
      <c r="H856" s="35">
        <v>8.5572144102283332</v>
      </c>
      <c r="I856" s="232">
        <v>11810.81</v>
      </c>
      <c r="J856" s="35">
        <v>7.2835498608791962</v>
      </c>
      <c r="K856" s="232">
        <v>16148.99</v>
      </c>
      <c r="L856" s="35">
        <v>8.3954939006646381</v>
      </c>
      <c r="M856" s="232">
        <v>42298.53</v>
      </c>
      <c r="N856" s="35">
        <v>7.395565804750686</v>
      </c>
      <c r="P856" s="232">
        <v>-31.1</v>
      </c>
      <c r="Q856" s="35">
        <v>1.118457614789925E-2</v>
      </c>
      <c r="R856" s="232">
        <v>229.94</v>
      </c>
      <c r="S856" s="35">
        <v>1.273664549349137</v>
      </c>
      <c r="T856" s="232">
        <v>26149.54</v>
      </c>
      <c r="U856" s="35">
        <v>0.99992809591395204</v>
      </c>
      <c r="W856" s="35">
        <f t="shared" si="85"/>
        <v>590.3288073949625</v>
      </c>
      <c r="X856" s="35">
        <f t="shared" si="86"/>
        <v>63453.287467456845</v>
      </c>
      <c r="Y856" s="35">
        <f t="shared" si="87"/>
        <v>23846.864795697598</v>
      </c>
      <c r="Z856" s="35">
        <f t="shared" si="88"/>
        <v>0</v>
      </c>
      <c r="AA856" s="35">
        <f t="shared" si="89"/>
        <v>1</v>
      </c>
      <c r="AB856" s="35">
        <f t="shared" si="90"/>
        <v>0</v>
      </c>
    </row>
    <row r="857" spans="1:28">
      <c r="A857" s="35">
        <v>846</v>
      </c>
      <c r="B857" s="35">
        <v>4.2403132713128805E-4</v>
      </c>
      <c r="C857" s="232">
        <v>62.11</v>
      </c>
      <c r="D857" s="35">
        <v>5.0604875375158684</v>
      </c>
      <c r="E857" s="232">
        <v>35.46</v>
      </c>
      <c r="F857" s="35">
        <v>5.0494721406000158</v>
      </c>
      <c r="G857" s="232">
        <v>11378.93</v>
      </c>
      <c r="H857" s="35">
        <v>8.9862060164000663</v>
      </c>
      <c r="I857" s="232">
        <v>12194</v>
      </c>
      <c r="J857" s="35">
        <v>7.7529136353322015</v>
      </c>
      <c r="K857" s="232">
        <v>14800.21</v>
      </c>
      <c r="L857" s="35">
        <v>8.5638506810477448</v>
      </c>
      <c r="M857" s="232">
        <v>40988.31</v>
      </c>
      <c r="N857" s="35">
        <v>7.4374920159130467</v>
      </c>
      <c r="P857" s="232">
        <v>-26.66</v>
      </c>
      <c r="Q857" s="35">
        <v>1.1015396915852627E-2</v>
      </c>
      <c r="R857" s="232">
        <v>815.07</v>
      </c>
      <c r="S857" s="35">
        <v>1.2332923810678649</v>
      </c>
      <c r="T857" s="232">
        <v>26188.1</v>
      </c>
      <c r="U857" s="35">
        <v>1.1263586651346982</v>
      </c>
      <c r="W857" s="35">
        <f t="shared" si="85"/>
        <v>577.42984579263134</v>
      </c>
      <c r="X857" s="35">
        <f t="shared" si="86"/>
        <v>60849.549053393246</v>
      </c>
      <c r="Y857" s="35">
        <f t="shared" si="87"/>
        <v>30129.833256734913</v>
      </c>
      <c r="Z857" s="35">
        <f t="shared" si="88"/>
        <v>0</v>
      </c>
      <c r="AA857" s="35">
        <f t="shared" si="89"/>
        <v>1</v>
      </c>
      <c r="AB857" s="35">
        <f t="shared" si="90"/>
        <v>0</v>
      </c>
    </row>
    <row r="858" spans="1:28">
      <c r="A858" s="35">
        <v>847</v>
      </c>
      <c r="B858" s="35">
        <v>3.4845241989113935E-4</v>
      </c>
      <c r="C858" s="232">
        <v>65.88</v>
      </c>
      <c r="D858" s="35">
        <v>5.0573224792371887</v>
      </c>
      <c r="E858" s="232">
        <v>37.11</v>
      </c>
      <c r="F858" s="35">
        <v>5.0477710167747532</v>
      </c>
      <c r="G858" s="232">
        <v>14823.89</v>
      </c>
      <c r="H858" s="35">
        <v>9.2979291812308524</v>
      </c>
      <c r="I858" s="232">
        <v>14183.14</v>
      </c>
      <c r="J858" s="35">
        <v>7.4500401052334402</v>
      </c>
      <c r="K858" s="232">
        <v>19173.25</v>
      </c>
      <c r="L858" s="35">
        <v>8.6090918968334496</v>
      </c>
      <c r="M858" s="232">
        <v>45423.75</v>
      </c>
      <c r="N858" s="35">
        <v>7.4409745594468619</v>
      </c>
      <c r="P858" s="232">
        <v>-28.77</v>
      </c>
      <c r="Q858" s="35">
        <v>9.5514624624355449E-3</v>
      </c>
      <c r="R858" s="232">
        <v>-640.75</v>
      </c>
      <c r="S858" s="35">
        <v>1.8478890759974123</v>
      </c>
      <c r="T858" s="232">
        <v>26250.51</v>
      </c>
      <c r="U858" s="35">
        <v>1.1681173373865876</v>
      </c>
      <c r="W858" s="35">
        <f t="shared" si="85"/>
        <v>506.34312312177724</v>
      </c>
      <c r="X858" s="35">
        <f t="shared" si="86"/>
        <v>93035.203799870607</v>
      </c>
      <c r="Y858" s="35">
        <f t="shared" si="87"/>
        <v>32155.356869329382</v>
      </c>
      <c r="Z858" s="35">
        <f t="shared" si="88"/>
        <v>0</v>
      </c>
      <c r="AA858" s="35">
        <f t="shared" si="89"/>
        <v>1</v>
      </c>
      <c r="AB858" s="35">
        <f t="shared" si="90"/>
        <v>0</v>
      </c>
    </row>
    <row r="859" spans="1:28">
      <c r="A859" s="35">
        <v>848</v>
      </c>
      <c r="B859" s="35">
        <v>3.4334688373252798E-4</v>
      </c>
      <c r="C859" s="232">
        <v>57.66</v>
      </c>
      <c r="D859" s="35">
        <v>5.0547011760600951</v>
      </c>
      <c r="E859" s="232">
        <v>34.68</v>
      </c>
      <c r="F859" s="35">
        <v>5.0469474124012317</v>
      </c>
      <c r="G859" s="232">
        <v>12723.94</v>
      </c>
      <c r="H859" s="35">
        <v>8.417113317851534</v>
      </c>
      <c r="I859" s="232">
        <v>13014.33</v>
      </c>
      <c r="J859" s="35">
        <v>7.2551850417425303</v>
      </c>
      <c r="K859" s="232">
        <v>18669.849999999999</v>
      </c>
      <c r="L859" s="35">
        <v>8.5155973505967566</v>
      </c>
      <c r="M859" s="232">
        <v>44994.32</v>
      </c>
      <c r="N859" s="35">
        <v>7.5088427120882182</v>
      </c>
      <c r="P859" s="232">
        <v>-22.98</v>
      </c>
      <c r="Q859" s="35">
        <v>7.7537636588633774E-3</v>
      </c>
      <c r="R859" s="232">
        <v>290.39</v>
      </c>
      <c r="S859" s="35">
        <v>1.1619282761090037</v>
      </c>
      <c r="T859" s="232">
        <v>26324.47</v>
      </c>
      <c r="U859" s="35">
        <v>1.0067546385085384</v>
      </c>
      <c r="W859" s="35">
        <f t="shared" si="85"/>
        <v>410.66818294316886</v>
      </c>
      <c r="X859" s="35">
        <f t="shared" si="86"/>
        <v>57806.02380545019</v>
      </c>
      <c r="Y859" s="35">
        <f t="shared" si="87"/>
        <v>24013.261925426923</v>
      </c>
      <c r="Z859" s="35">
        <f t="shared" si="88"/>
        <v>0</v>
      </c>
      <c r="AA859" s="35">
        <f t="shared" si="89"/>
        <v>1</v>
      </c>
      <c r="AB859" s="35">
        <f t="shared" si="90"/>
        <v>0</v>
      </c>
    </row>
    <row r="860" spans="1:28">
      <c r="A860" s="35">
        <v>849</v>
      </c>
      <c r="B860" s="35">
        <v>4.5700630344569504E-4</v>
      </c>
      <c r="C860" s="232">
        <v>82.02</v>
      </c>
      <c r="D860" s="35">
        <v>5.060659071658959</v>
      </c>
      <c r="E860" s="232">
        <v>51.55</v>
      </c>
      <c r="F860" s="35">
        <v>5.051195492998878</v>
      </c>
      <c r="G860" s="232">
        <v>14345.96</v>
      </c>
      <c r="H860" s="35">
        <v>8.4625429854049852</v>
      </c>
      <c r="I860" s="232">
        <v>15303.23</v>
      </c>
      <c r="J860" s="35">
        <v>7.0881183446002369</v>
      </c>
      <c r="K860" s="232">
        <v>17964.189999999999</v>
      </c>
      <c r="L860" s="35">
        <v>8.4250924259035376</v>
      </c>
      <c r="M860" s="232">
        <v>44120.6</v>
      </c>
      <c r="N860" s="35">
        <v>7.3269612032698355</v>
      </c>
      <c r="P860" s="232">
        <v>-30.47</v>
      </c>
      <c r="Q860" s="35">
        <v>9.4635786600809624E-3</v>
      </c>
      <c r="R860" s="232">
        <v>957.28</v>
      </c>
      <c r="S860" s="35">
        <v>1.3744246408047482</v>
      </c>
      <c r="T860" s="232">
        <v>26156.42</v>
      </c>
      <c r="U860" s="35">
        <v>1.0981312226337021</v>
      </c>
      <c r="W860" s="35">
        <f t="shared" si="85"/>
        <v>503.6489330040481</v>
      </c>
      <c r="X860" s="35">
        <f t="shared" si="86"/>
        <v>67763.952040237418</v>
      </c>
      <c r="Y860" s="35">
        <f t="shared" si="87"/>
        <v>28750.141131685108</v>
      </c>
      <c r="Z860" s="35">
        <f t="shared" si="88"/>
        <v>0</v>
      </c>
      <c r="AA860" s="35">
        <f t="shared" si="89"/>
        <v>1</v>
      </c>
      <c r="AB860" s="35">
        <f t="shared" si="90"/>
        <v>0</v>
      </c>
    </row>
    <row r="861" spans="1:28">
      <c r="A861" s="35">
        <v>850</v>
      </c>
      <c r="B861" s="35">
        <v>5.0274938669003788E-4</v>
      </c>
      <c r="C861" s="232">
        <v>79.25</v>
      </c>
      <c r="D861" s="35">
        <v>5.0625941890433284</v>
      </c>
      <c r="E861" s="232">
        <v>49.69</v>
      </c>
      <c r="F861" s="35">
        <v>5.0522492197683313</v>
      </c>
      <c r="G861" s="232">
        <v>11344.66</v>
      </c>
      <c r="H861" s="35">
        <v>8.4127124308591785</v>
      </c>
      <c r="I861" s="232">
        <v>11336.13</v>
      </c>
      <c r="J861" s="35">
        <v>7.1710597487959449</v>
      </c>
      <c r="K861" s="232">
        <v>16626.47</v>
      </c>
      <c r="L861" s="35">
        <v>8.4785762807202172</v>
      </c>
      <c r="M861" s="232">
        <v>42687.91</v>
      </c>
      <c r="N861" s="35">
        <v>7.3817618526588085</v>
      </c>
      <c r="P861" s="232">
        <v>-29.56</v>
      </c>
      <c r="Q861" s="35">
        <v>1.0344969274997062E-2</v>
      </c>
      <c r="R861" s="232">
        <v>-8.5299999999999994</v>
      </c>
      <c r="S861" s="35">
        <v>1.2416526820632336</v>
      </c>
      <c r="T861" s="232">
        <v>26061.439999999999</v>
      </c>
      <c r="U861" s="35">
        <v>1.0968144280614087</v>
      </c>
      <c r="W861" s="35">
        <f t="shared" si="85"/>
        <v>546.8084637498531</v>
      </c>
      <c r="X861" s="35">
        <f t="shared" si="86"/>
        <v>62091.164103161682</v>
      </c>
      <c r="Y861" s="35">
        <f t="shared" si="87"/>
        <v>28779.281403070436</v>
      </c>
      <c r="Z861" s="35">
        <f t="shared" si="88"/>
        <v>0</v>
      </c>
      <c r="AA861" s="35">
        <f t="shared" si="89"/>
        <v>1</v>
      </c>
      <c r="AB861" s="35">
        <f t="shared" si="90"/>
        <v>0</v>
      </c>
    </row>
    <row r="862" spans="1:28">
      <c r="A862" s="35">
        <v>851</v>
      </c>
      <c r="B862" s="35">
        <v>4.4749982989089609E-4</v>
      </c>
      <c r="C862" s="232">
        <v>65.81</v>
      </c>
      <c r="D862" s="35">
        <v>5.0618977200256436</v>
      </c>
      <c r="E862" s="232">
        <v>42.43</v>
      </c>
      <c r="F862" s="35">
        <v>5.0520431521223363</v>
      </c>
      <c r="G862" s="232">
        <v>11405.93</v>
      </c>
      <c r="H862" s="35">
        <v>9.1110256549694775</v>
      </c>
      <c r="I862" s="232">
        <v>13298.81</v>
      </c>
      <c r="J862" s="35">
        <v>8.1454208887956074</v>
      </c>
      <c r="K862" s="232">
        <v>10439.73</v>
      </c>
      <c r="L862" s="35">
        <v>8.2839005144521636</v>
      </c>
      <c r="M862" s="232">
        <v>36443.14</v>
      </c>
      <c r="N862" s="35">
        <v>7.1083867901369571</v>
      </c>
      <c r="P862" s="232">
        <v>-23.39</v>
      </c>
      <c r="Q862" s="35">
        <v>9.8545679033072986E-3</v>
      </c>
      <c r="R862" s="232">
        <v>1892.88</v>
      </c>
      <c r="S862" s="35">
        <v>0.96560476617387003</v>
      </c>
      <c r="T862" s="232">
        <v>26003.41</v>
      </c>
      <c r="U862" s="35">
        <v>1.1755137243152065</v>
      </c>
      <c r="W862" s="35">
        <f t="shared" si="85"/>
        <v>516.11839516536497</v>
      </c>
      <c r="X862" s="35">
        <f t="shared" si="86"/>
        <v>46387.358308693503</v>
      </c>
      <c r="Y862" s="35">
        <f t="shared" si="87"/>
        <v>32772.276215760328</v>
      </c>
      <c r="Z862" s="35">
        <f t="shared" si="88"/>
        <v>0</v>
      </c>
      <c r="AA862" s="35">
        <f t="shared" si="89"/>
        <v>1</v>
      </c>
      <c r="AB862" s="35">
        <f t="shared" si="90"/>
        <v>0</v>
      </c>
    </row>
    <row r="863" spans="1:28">
      <c r="A863" s="35">
        <v>852</v>
      </c>
      <c r="B863" s="35">
        <v>4.3042535210363814E-4</v>
      </c>
      <c r="C863" s="232">
        <v>81.05</v>
      </c>
      <c r="D863" s="35">
        <v>5.0598810727098336</v>
      </c>
      <c r="E863" s="232">
        <v>46.71</v>
      </c>
      <c r="F863" s="35">
        <v>5.0495838477504815</v>
      </c>
      <c r="G863" s="232">
        <v>13227.26</v>
      </c>
      <c r="H863" s="35">
        <v>8.5726227487298647</v>
      </c>
      <c r="I863" s="232">
        <v>13174.56</v>
      </c>
      <c r="J863" s="35">
        <v>7.7388759053223266</v>
      </c>
      <c r="K863" s="232">
        <v>23145.72</v>
      </c>
      <c r="L863" s="35">
        <v>8.7330134547012239</v>
      </c>
      <c r="M863" s="232">
        <v>49636.47</v>
      </c>
      <c r="N863" s="35">
        <v>7.6398889363146179</v>
      </c>
      <c r="P863" s="232">
        <v>-34.340000000000003</v>
      </c>
      <c r="Q863" s="35">
        <v>1.0297224959352036E-2</v>
      </c>
      <c r="R863" s="232">
        <v>-52.69</v>
      </c>
      <c r="S863" s="35">
        <v>0.83374684340753813</v>
      </c>
      <c r="T863" s="232">
        <v>26490.75</v>
      </c>
      <c r="U863" s="35">
        <v>1.0931245183866061</v>
      </c>
      <c r="W863" s="35">
        <f t="shared" si="85"/>
        <v>549.20124796760183</v>
      </c>
      <c r="X863" s="35">
        <f t="shared" si="86"/>
        <v>41740.032170376908</v>
      </c>
      <c r="Y863" s="35">
        <f t="shared" si="87"/>
        <v>28165.475919330303</v>
      </c>
      <c r="Z863" s="35">
        <f t="shared" si="88"/>
        <v>0</v>
      </c>
      <c r="AA863" s="35">
        <f t="shared" si="89"/>
        <v>1</v>
      </c>
      <c r="AB863" s="35">
        <f t="shared" si="90"/>
        <v>0</v>
      </c>
    </row>
    <row r="864" spans="1:28">
      <c r="A864" s="35">
        <v>853</v>
      </c>
      <c r="B864" s="35">
        <v>4.5523216511311748E-4</v>
      </c>
      <c r="C864" s="232">
        <v>64.650000000000006</v>
      </c>
      <c r="D864" s="35">
        <v>5.060937077409128</v>
      </c>
      <c r="E864" s="232">
        <v>41.4</v>
      </c>
      <c r="F864" s="35">
        <v>5.0513536542574347</v>
      </c>
      <c r="G864" s="232">
        <v>11110.73</v>
      </c>
      <c r="H864" s="35">
        <v>8.6230432577516343</v>
      </c>
      <c r="I864" s="232">
        <v>11322.8</v>
      </c>
      <c r="J864" s="35">
        <v>6.4575057420172897</v>
      </c>
      <c r="K864" s="232">
        <v>14014.59</v>
      </c>
      <c r="L864" s="35">
        <v>8.4240929363476074</v>
      </c>
      <c r="M864" s="232">
        <v>40079.21</v>
      </c>
      <c r="N864" s="35">
        <v>7.3292250221274413</v>
      </c>
      <c r="P864" s="232">
        <v>-23.26</v>
      </c>
      <c r="Q864" s="35">
        <v>9.5834231516933599E-3</v>
      </c>
      <c r="R864" s="232">
        <v>212.08</v>
      </c>
      <c r="S864" s="35">
        <v>2.1655375157343446</v>
      </c>
      <c r="T864" s="232">
        <v>26064.62</v>
      </c>
      <c r="U864" s="35">
        <v>1.094867914220166</v>
      </c>
      <c r="W864" s="35">
        <f t="shared" si="85"/>
        <v>502.43115758466797</v>
      </c>
      <c r="X864" s="35">
        <f t="shared" si="86"/>
        <v>108064.79578671722</v>
      </c>
      <c r="Y864" s="35">
        <f t="shared" si="87"/>
        <v>28678.7757110083</v>
      </c>
      <c r="Z864" s="35">
        <f t="shared" si="88"/>
        <v>0</v>
      </c>
      <c r="AA864" s="35">
        <f t="shared" si="89"/>
        <v>1</v>
      </c>
      <c r="AB864" s="35">
        <f t="shared" si="90"/>
        <v>0</v>
      </c>
    </row>
    <row r="865" spans="1:28">
      <c r="A865" s="35">
        <v>854</v>
      </c>
      <c r="B865" s="35">
        <v>4.1291195313485925E-4</v>
      </c>
      <c r="C865" s="232">
        <v>60.83</v>
      </c>
      <c r="D865" s="35">
        <v>5.0607585381651115</v>
      </c>
      <c r="E865" s="232">
        <v>35.96</v>
      </c>
      <c r="F865" s="35">
        <v>5.0500458384454969</v>
      </c>
      <c r="G865" s="232">
        <v>11431.24</v>
      </c>
      <c r="H865" s="35">
        <v>9.3524584509527298</v>
      </c>
      <c r="I865" s="232">
        <v>11538.73</v>
      </c>
      <c r="J865" s="35">
        <v>7.4329814661387568</v>
      </c>
      <c r="K865" s="232">
        <v>13532.2</v>
      </c>
      <c r="L865" s="35">
        <v>8.4285769952039971</v>
      </c>
      <c r="M865" s="232">
        <v>39549.78</v>
      </c>
      <c r="N865" s="35">
        <v>7.346764003914986</v>
      </c>
      <c r="P865" s="232">
        <v>-24.87</v>
      </c>
      <c r="Q865" s="35">
        <v>1.0712699719614527E-2</v>
      </c>
      <c r="R865" s="232">
        <v>107.5</v>
      </c>
      <c r="S865" s="35">
        <v>1.919476984813973</v>
      </c>
      <c r="T865" s="232">
        <v>26017.59</v>
      </c>
      <c r="U865" s="35">
        <v>1.0818129912890111</v>
      </c>
      <c r="W865" s="35">
        <f t="shared" si="85"/>
        <v>560.50498598072636</v>
      </c>
      <c r="X865" s="35">
        <f t="shared" si="86"/>
        <v>95866.349240698648</v>
      </c>
      <c r="Y865" s="35">
        <f t="shared" si="87"/>
        <v>28073.059564450556</v>
      </c>
      <c r="Z865" s="35">
        <f t="shared" si="88"/>
        <v>0</v>
      </c>
      <c r="AA865" s="35">
        <f t="shared" si="89"/>
        <v>1</v>
      </c>
      <c r="AB865" s="35">
        <f t="shared" si="90"/>
        <v>0</v>
      </c>
    </row>
    <row r="866" spans="1:28">
      <c r="A866" s="35">
        <v>855</v>
      </c>
      <c r="B866" s="35">
        <v>3.9719442329387691E-4</v>
      </c>
      <c r="C866" s="232">
        <v>45.17</v>
      </c>
      <c r="D866" s="35">
        <v>5.0572776360493545</v>
      </c>
      <c r="E866" s="232">
        <v>31.47</v>
      </c>
      <c r="F866" s="35">
        <v>5.0498387447527229</v>
      </c>
      <c r="G866" s="232">
        <v>9105.93</v>
      </c>
      <c r="H866" s="35">
        <v>8.4105245996609881</v>
      </c>
      <c r="I866" s="232">
        <v>10578.35</v>
      </c>
      <c r="J866" s="35">
        <v>6.8545510465045574</v>
      </c>
      <c r="K866" s="232">
        <v>10674.59</v>
      </c>
      <c r="L866" s="35">
        <v>8.3053592359145547</v>
      </c>
      <c r="M866" s="232">
        <v>36584.559999999998</v>
      </c>
      <c r="N866" s="35">
        <v>7.2595638776141325</v>
      </c>
      <c r="P866" s="232">
        <v>-13.7</v>
      </c>
      <c r="Q866" s="35">
        <v>7.4388912966316667E-3</v>
      </c>
      <c r="R866" s="232">
        <v>1472.42</v>
      </c>
      <c r="S866" s="35">
        <v>1.5559735531564307</v>
      </c>
      <c r="T866" s="232">
        <v>25909.97</v>
      </c>
      <c r="U866" s="35">
        <v>1.0457953583004223</v>
      </c>
      <c r="W866" s="35">
        <f t="shared" si="85"/>
        <v>385.6445648315833</v>
      </c>
      <c r="X866" s="35">
        <f t="shared" si="86"/>
        <v>76326.257657821538</v>
      </c>
      <c r="Y866" s="35">
        <f t="shared" si="87"/>
        <v>26379.79791502111</v>
      </c>
      <c r="Z866" s="35">
        <f t="shared" si="88"/>
        <v>0</v>
      </c>
      <c r="AA866" s="35">
        <f t="shared" si="89"/>
        <v>1</v>
      </c>
      <c r="AB866" s="35">
        <f t="shared" si="90"/>
        <v>0</v>
      </c>
    </row>
    <row r="867" spans="1:28">
      <c r="A867" s="35">
        <v>856</v>
      </c>
      <c r="B867" s="35">
        <v>4.2548857952757352E-4</v>
      </c>
      <c r="C867" s="232">
        <v>67.64</v>
      </c>
      <c r="D867" s="35">
        <v>5.0606562698584838</v>
      </c>
      <c r="E867" s="232">
        <v>37.79</v>
      </c>
      <c r="F867" s="35">
        <v>5.0493924974370366</v>
      </c>
      <c r="G867" s="232">
        <v>12101.39</v>
      </c>
      <c r="H867" s="35">
        <v>8.9836086915101383</v>
      </c>
      <c r="I867" s="232">
        <v>13655.47</v>
      </c>
      <c r="J867" s="35">
        <v>8.5889845242980876</v>
      </c>
      <c r="K867" s="232">
        <v>17992.830000000002</v>
      </c>
      <c r="L867" s="35">
        <v>8.6737174619490531</v>
      </c>
      <c r="M867" s="232">
        <v>44343.26</v>
      </c>
      <c r="N867" s="35">
        <v>7.5488441447151002</v>
      </c>
      <c r="P867" s="232">
        <v>-29.85</v>
      </c>
      <c r="Q867" s="35">
        <v>1.1263772421447271E-2</v>
      </c>
      <c r="R867" s="232">
        <v>1554.08</v>
      </c>
      <c r="S867" s="35">
        <v>0.39462416721205074</v>
      </c>
      <c r="T867" s="232">
        <v>26350.43</v>
      </c>
      <c r="U867" s="35">
        <v>1.1248733172339529</v>
      </c>
      <c r="W867" s="35">
        <f t="shared" si="85"/>
        <v>593.03862107236353</v>
      </c>
      <c r="X867" s="35">
        <f t="shared" si="86"/>
        <v>18177.128360602539</v>
      </c>
      <c r="Y867" s="35">
        <f t="shared" si="87"/>
        <v>29893.235861697642</v>
      </c>
      <c r="Z867" s="35">
        <f t="shared" si="88"/>
        <v>0</v>
      </c>
      <c r="AA867" s="35">
        <f t="shared" si="89"/>
        <v>0</v>
      </c>
      <c r="AB867" s="35">
        <f t="shared" si="90"/>
        <v>1</v>
      </c>
    </row>
    <row r="868" spans="1:28">
      <c r="A868" s="35">
        <v>857</v>
      </c>
      <c r="B868" s="35">
        <v>4.3644338990994988E-4</v>
      </c>
      <c r="C868" s="232">
        <v>67.69</v>
      </c>
      <c r="D868" s="35">
        <v>5.0596148530764253</v>
      </c>
      <c r="E868" s="232">
        <v>40.020000000000003</v>
      </c>
      <c r="F868" s="35">
        <v>5.0495724875497707</v>
      </c>
      <c r="G868" s="232">
        <v>12001.02</v>
      </c>
      <c r="H868" s="35">
        <v>8.6385143127370849</v>
      </c>
      <c r="I868" s="232">
        <v>12852.78</v>
      </c>
      <c r="J868" s="35">
        <v>7.2511241264133197</v>
      </c>
      <c r="K868" s="232">
        <v>14089.89</v>
      </c>
      <c r="L868" s="35">
        <v>8.3904747464979295</v>
      </c>
      <c r="M868" s="232">
        <v>40124.71</v>
      </c>
      <c r="N868" s="35">
        <v>7.3553663602837451</v>
      </c>
      <c r="P868" s="232">
        <v>-27.67</v>
      </c>
      <c r="Q868" s="35">
        <v>1.0042365526654606E-2</v>
      </c>
      <c r="R868" s="232">
        <v>851.76</v>
      </c>
      <c r="S868" s="35">
        <v>1.3873901863237652</v>
      </c>
      <c r="T868" s="232">
        <v>26034.82</v>
      </c>
      <c r="U868" s="35">
        <v>1.0351083862141843</v>
      </c>
      <c r="W868" s="35">
        <f t="shared" si="85"/>
        <v>529.78827633273033</v>
      </c>
      <c r="X868" s="35">
        <f t="shared" si="86"/>
        <v>68517.749316188259</v>
      </c>
      <c r="Y868" s="35">
        <f t="shared" si="87"/>
        <v>25720.599310709214</v>
      </c>
      <c r="Z868" s="35">
        <f t="shared" si="88"/>
        <v>0</v>
      </c>
      <c r="AA868" s="35">
        <f t="shared" si="89"/>
        <v>1</v>
      </c>
      <c r="AB868" s="35">
        <f t="shared" si="90"/>
        <v>0</v>
      </c>
    </row>
    <row r="869" spans="1:28">
      <c r="A869" s="35">
        <v>858</v>
      </c>
      <c r="B869" s="35">
        <v>4.5312877824532638E-4</v>
      </c>
      <c r="C869" s="232">
        <v>70.73</v>
      </c>
      <c r="D869" s="35">
        <v>5.0611720330550733</v>
      </c>
      <c r="E869" s="232">
        <v>44.29</v>
      </c>
      <c r="F869" s="35">
        <v>5.0512767761480042</v>
      </c>
      <c r="G869" s="232">
        <v>11950.25</v>
      </c>
      <c r="H869" s="35">
        <v>8.6066983106733321</v>
      </c>
      <c r="I869" s="232">
        <v>12376.46</v>
      </c>
      <c r="J869" s="35">
        <v>7.1867095830906393</v>
      </c>
      <c r="K869" s="232">
        <v>16200.21</v>
      </c>
      <c r="L869" s="35">
        <v>8.623641756742753</v>
      </c>
      <c r="M869" s="232">
        <v>42280.73</v>
      </c>
      <c r="N869" s="35">
        <v>7.5516734305405651</v>
      </c>
      <c r="P869" s="232">
        <v>-26.44</v>
      </c>
      <c r="Q869" s="35">
        <v>9.8952569070691609E-3</v>
      </c>
      <c r="R869" s="232">
        <v>426.21</v>
      </c>
      <c r="S869" s="35">
        <v>1.4199887275826928</v>
      </c>
      <c r="T869" s="232">
        <v>26080.52</v>
      </c>
      <c r="U869" s="35">
        <v>1.071968326202188</v>
      </c>
      <c r="W869" s="35">
        <f t="shared" si="85"/>
        <v>521.20284535345809</v>
      </c>
      <c r="X869" s="35">
        <f t="shared" si="86"/>
        <v>70573.226379134634</v>
      </c>
      <c r="Y869" s="35">
        <f t="shared" si="87"/>
        <v>27517.896310109394</v>
      </c>
      <c r="Z869" s="35">
        <f t="shared" si="88"/>
        <v>0</v>
      </c>
      <c r="AA869" s="35">
        <f t="shared" si="89"/>
        <v>1</v>
      </c>
      <c r="AB869" s="35">
        <f t="shared" si="90"/>
        <v>0</v>
      </c>
    </row>
    <row r="870" spans="1:28">
      <c r="A870" s="35">
        <v>859</v>
      </c>
      <c r="B870" s="35">
        <v>3.756762081366329E-4</v>
      </c>
      <c r="C870" s="232">
        <v>41.71</v>
      </c>
      <c r="D870" s="35">
        <v>5.0584516500594621</v>
      </c>
      <c r="E870" s="232">
        <v>25.93</v>
      </c>
      <c r="F870" s="35">
        <v>5.0488821867383642</v>
      </c>
      <c r="G870" s="232">
        <v>8452.85</v>
      </c>
      <c r="H870" s="35">
        <v>9.0107006475100775</v>
      </c>
      <c r="I870" s="232">
        <v>9286.6200000000008</v>
      </c>
      <c r="J870" s="35">
        <v>7.3949564814928763</v>
      </c>
      <c r="K870" s="232">
        <v>10751.73</v>
      </c>
      <c r="L870" s="35">
        <v>8.811953549155044</v>
      </c>
      <c r="M870" s="232">
        <v>36697.129999999997</v>
      </c>
      <c r="N870" s="35">
        <v>7.6266781446260179</v>
      </c>
      <c r="P870" s="232">
        <v>-15.78</v>
      </c>
      <c r="Q870" s="35">
        <v>9.5694633210978708E-3</v>
      </c>
      <c r="R870" s="232">
        <v>833.77</v>
      </c>
      <c r="S870" s="35">
        <v>1.6157441660172012</v>
      </c>
      <c r="T870" s="232">
        <v>25945.4</v>
      </c>
      <c r="U870" s="35">
        <v>1.1852754045290261</v>
      </c>
      <c r="W870" s="35">
        <f t="shared" si="85"/>
        <v>494.25316605489354</v>
      </c>
      <c r="X870" s="35">
        <f t="shared" si="86"/>
        <v>79953.438300860056</v>
      </c>
      <c r="Y870" s="35">
        <f t="shared" si="87"/>
        <v>33318.370226451305</v>
      </c>
      <c r="Z870" s="35">
        <f t="shared" si="88"/>
        <v>0</v>
      </c>
      <c r="AA870" s="35">
        <f t="shared" si="89"/>
        <v>1</v>
      </c>
      <c r="AB870" s="35">
        <f t="shared" si="90"/>
        <v>0</v>
      </c>
    </row>
    <row r="871" spans="1:28">
      <c r="A871" s="35">
        <v>860</v>
      </c>
      <c r="B871" s="35">
        <v>3.5153652547717973E-4</v>
      </c>
      <c r="C871" s="232">
        <v>54.91</v>
      </c>
      <c r="D871" s="35">
        <v>5.0566819675513823</v>
      </c>
      <c r="E871" s="232">
        <v>37.880000000000003</v>
      </c>
      <c r="F871" s="35">
        <v>5.0496125924837481</v>
      </c>
      <c r="G871" s="232">
        <v>11997.09</v>
      </c>
      <c r="H871" s="35">
        <v>8.82094667131752</v>
      </c>
      <c r="I871" s="232">
        <v>13272.77</v>
      </c>
      <c r="J871" s="35">
        <v>7.7487933629966923</v>
      </c>
      <c r="K871" s="232">
        <v>14179.32</v>
      </c>
      <c r="L871" s="35">
        <v>8.7317731630843056</v>
      </c>
      <c r="M871" s="232">
        <v>40190.21</v>
      </c>
      <c r="N871" s="35">
        <v>7.6689932419689191</v>
      </c>
      <c r="P871" s="232">
        <v>-17.03</v>
      </c>
      <c r="Q871" s="35">
        <v>7.0693750676342759E-3</v>
      </c>
      <c r="R871" s="232">
        <v>1275.69</v>
      </c>
      <c r="S871" s="35">
        <v>1.0721533083208277</v>
      </c>
      <c r="T871" s="232">
        <v>26010.9</v>
      </c>
      <c r="U871" s="35">
        <v>1.0627799211153865</v>
      </c>
      <c r="W871" s="35">
        <f t="shared" si="85"/>
        <v>370.49875338171375</v>
      </c>
      <c r="X871" s="35">
        <f t="shared" si="86"/>
        <v>52331.97541604138</v>
      </c>
      <c r="Y871" s="35">
        <f t="shared" si="87"/>
        <v>27128.096055769325</v>
      </c>
      <c r="Z871" s="35">
        <f t="shared" si="88"/>
        <v>0</v>
      </c>
      <c r="AA871" s="35">
        <f t="shared" si="89"/>
        <v>1</v>
      </c>
      <c r="AB871" s="35">
        <f t="shared" si="90"/>
        <v>0</v>
      </c>
    </row>
    <row r="872" spans="1:28">
      <c r="A872" s="35">
        <v>861</v>
      </c>
      <c r="B872" s="35">
        <v>4.1914196271987375E-4</v>
      </c>
      <c r="C872" s="232">
        <v>57.94</v>
      </c>
      <c r="D872" s="35">
        <v>5.0592165383217029</v>
      </c>
      <c r="E872" s="232">
        <v>35.51</v>
      </c>
      <c r="F872" s="35">
        <v>5.0496278704680844</v>
      </c>
      <c r="G872" s="232">
        <v>10175.17</v>
      </c>
      <c r="H872" s="35">
        <v>8.5386670646773215</v>
      </c>
      <c r="I872" s="232">
        <v>10581.1</v>
      </c>
      <c r="J872" s="35">
        <v>7.219521201447705</v>
      </c>
      <c r="K872" s="232">
        <v>14346.27</v>
      </c>
      <c r="L872" s="35">
        <v>8.760376529266253</v>
      </c>
      <c r="M872" s="232">
        <v>40407.279999999999</v>
      </c>
      <c r="N872" s="35">
        <v>7.675787012521802</v>
      </c>
      <c r="P872" s="232">
        <v>-22.42</v>
      </c>
      <c r="Q872" s="35">
        <v>9.5886678536185599E-3</v>
      </c>
      <c r="R872" s="232">
        <v>405.93</v>
      </c>
      <c r="S872" s="35">
        <v>1.3191458632296165</v>
      </c>
      <c r="T872" s="232">
        <v>26061</v>
      </c>
      <c r="U872" s="35">
        <v>1.084589516744451</v>
      </c>
      <c r="W872" s="35">
        <f t="shared" si="85"/>
        <v>501.85339268092804</v>
      </c>
      <c r="X872" s="35">
        <f t="shared" si="86"/>
        <v>65551.363161480826</v>
      </c>
      <c r="Y872" s="35">
        <f t="shared" si="87"/>
        <v>28168.475837222555</v>
      </c>
      <c r="Z872" s="35">
        <f t="shared" si="88"/>
        <v>0</v>
      </c>
      <c r="AA872" s="35">
        <f t="shared" si="89"/>
        <v>1</v>
      </c>
      <c r="AB872" s="35">
        <f t="shared" si="90"/>
        <v>0</v>
      </c>
    </row>
    <row r="873" spans="1:28">
      <c r="A873" s="35">
        <v>862</v>
      </c>
      <c r="B873" s="35">
        <v>4.1386462483164867E-4</v>
      </c>
      <c r="C873" s="232">
        <v>63.87</v>
      </c>
      <c r="D873" s="35">
        <v>5.0603299194373097</v>
      </c>
      <c r="E873" s="232">
        <v>40.590000000000003</v>
      </c>
      <c r="F873" s="35">
        <v>5.0508791227955063</v>
      </c>
      <c r="G873" s="232">
        <v>12744.48</v>
      </c>
      <c r="H873" s="35">
        <v>9.1377850472228577</v>
      </c>
      <c r="I873" s="232">
        <v>14863.26</v>
      </c>
      <c r="J873" s="35">
        <v>8.7827372954296461</v>
      </c>
      <c r="K873" s="232">
        <v>13826.46</v>
      </c>
      <c r="L873" s="35">
        <v>8.4629840831433203</v>
      </c>
      <c r="M873" s="232">
        <v>39822.85</v>
      </c>
      <c r="N873" s="35">
        <v>7.4423697390842953</v>
      </c>
      <c r="P873" s="232">
        <v>-23.27</v>
      </c>
      <c r="Q873" s="35">
        <v>9.4507966418033718E-3</v>
      </c>
      <c r="R873" s="232">
        <v>2118.7800000000002</v>
      </c>
      <c r="S873" s="35">
        <v>0.35504775179321157</v>
      </c>
      <c r="T873" s="232">
        <v>25996.39</v>
      </c>
      <c r="U873" s="35">
        <v>1.020614344059025</v>
      </c>
      <c r="W873" s="35">
        <f t="shared" si="85"/>
        <v>495.80983209016858</v>
      </c>
      <c r="X873" s="35">
        <f t="shared" si="86"/>
        <v>15633.607589660578</v>
      </c>
      <c r="Y873" s="35">
        <f t="shared" si="87"/>
        <v>25034.327202951252</v>
      </c>
      <c r="Z873" s="35">
        <f t="shared" si="88"/>
        <v>0</v>
      </c>
      <c r="AA873" s="35">
        <f t="shared" si="89"/>
        <v>0</v>
      </c>
      <c r="AB873" s="35">
        <f t="shared" si="90"/>
        <v>1</v>
      </c>
    </row>
    <row r="874" spans="1:28">
      <c r="A874" s="35">
        <v>863</v>
      </c>
      <c r="B874" s="35">
        <v>5.0649614658959674E-4</v>
      </c>
      <c r="C874" s="232">
        <v>66.650000000000006</v>
      </c>
      <c r="D874" s="35">
        <v>5.0645703134630855</v>
      </c>
      <c r="E874" s="232">
        <v>36.67</v>
      </c>
      <c r="F874" s="35">
        <v>5.0511170480958567</v>
      </c>
      <c r="G874" s="232">
        <v>10201.66</v>
      </c>
      <c r="H874" s="35">
        <v>8.7547461317518991</v>
      </c>
      <c r="I874" s="232">
        <v>10778.25</v>
      </c>
      <c r="J874" s="35">
        <v>6.8533212588617349</v>
      </c>
      <c r="K874" s="232">
        <v>12581.41</v>
      </c>
      <c r="L874" s="35">
        <v>8.8836686204996447</v>
      </c>
      <c r="M874" s="232">
        <v>38515.03</v>
      </c>
      <c r="N874" s="35">
        <v>7.7896945140464959</v>
      </c>
      <c r="P874" s="232">
        <v>-29.98</v>
      </c>
      <c r="Q874" s="35">
        <v>1.3453265367228795E-2</v>
      </c>
      <c r="R874" s="232">
        <v>576.59</v>
      </c>
      <c r="S874" s="35">
        <v>1.9014248728901642</v>
      </c>
      <c r="T874" s="232">
        <v>25933.62</v>
      </c>
      <c r="U874" s="35">
        <v>1.0939741064531487</v>
      </c>
      <c r="W874" s="35">
        <f t="shared" si="85"/>
        <v>702.64326836143982</v>
      </c>
      <c r="X874" s="35">
        <f t="shared" si="86"/>
        <v>94494.653644508217</v>
      </c>
      <c r="Y874" s="35">
        <f t="shared" si="87"/>
        <v>28765.085322657436</v>
      </c>
      <c r="Z874" s="35">
        <f t="shared" si="88"/>
        <v>0</v>
      </c>
      <c r="AA874" s="35">
        <f t="shared" si="89"/>
        <v>1</v>
      </c>
      <c r="AB874" s="35">
        <f t="shared" si="90"/>
        <v>0</v>
      </c>
    </row>
    <row r="875" spans="1:28">
      <c r="A875" s="35">
        <v>864</v>
      </c>
      <c r="B875" s="35">
        <v>2.5982575754094391E-4</v>
      </c>
      <c r="C875" s="232">
        <v>40.380000000000003</v>
      </c>
      <c r="D875" s="35">
        <v>5.052075797880935</v>
      </c>
      <c r="E875" s="232">
        <v>27.97</v>
      </c>
      <c r="F875" s="35">
        <v>5.0464436822045773</v>
      </c>
      <c r="G875" s="232">
        <v>11921.06</v>
      </c>
      <c r="H875" s="35">
        <v>8.6578094331515967</v>
      </c>
      <c r="I875" s="232">
        <v>12851.79</v>
      </c>
      <c r="J875" s="35">
        <v>7.4408430625702691</v>
      </c>
      <c r="K875" s="232">
        <v>16709.64</v>
      </c>
      <c r="L875" s="35">
        <v>9.1778623390794269</v>
      </c>
      <c r="M875" s="232">
        <v>42997.34</v>
      </c>
      <c r="N875" s="35">
        <v>8.0271384282963254</v>
      </c>
      <c r="P875" s="232">
        <v>-12.41</v>
      </c>
      <c r="Q875" s="35">
        <v>5.6321156763576852E-3</v>
      </c>
      <c r="R875" s="232">
        <v>930.73</v>
      </c>
      <c r="S875" s="35">
        <v>1.2169663705813276</v>
      </c>
      <c r="T875" s="232">
        <v>26287.7</v>
      </c>
      <c r="U875" s="35">
        <v>1.1507239107831015</v>
      </c>
      <c r="W875" s="35">
        <f t="shared" si="85"/>
        <v>294.01578381788426</v>
      </c>
      <c r="X875" s="35">
        <f t="shared" si="86"/>
        <v>59917.588529066379</v>
      </c>
      <c r="Y875" s="35">
        <f t="shared" si="87"/>
        <v>31248.495539155079</v>
      </c>
      <c r="Z875" s="35">
        <f t="shared" si="88"/>
        <v>0</v>
      </c>
      <c r="AA875" s="35">
        <f t="shared" si="89"/>
        <v>1</v>
      </c>
      <c r="AB875" s="35">
        <f t="shared" si="90"/>
        <v>0</v>
      </c>
    </row>
    <row r="876" spans="1:28">
      <c r="A876" s="35">
        <v>865</v>
      </c>
      <c r="B876" s="35">
        <v>3.91847577014247E-4</v>
      </c>
      <c r="C876" s="232">
        <v>60.22</v>
      </c>
      <c r="D876" s="35">
        <v>5.0565729804340158</v>
      </c>
      <c r="E876" s="232">
        <v>38.130000000000003</v>
      </c>
      <c r="F876" s="35">
        <v>5.048597385443192</v>
      </c>
      <c r="G876" s="232">
        <v>11126.04</v>
      </c>
      <c r="H876" s="35">
        <v>8.2796510083650272</v>
      </c>
      <c r="I876" s="232">
        <v>12180.76</v>
      </c>
      <c r="J876" s="35">
        <v>7.4285058069281957</v>
      </c>
      <c r="K876" s="232">
        <v>14047.06</v>
      </c>
      <c r="L876" s="35">
        <v>8.370981952253322</v>
      </c>
      <c r="M876" s="232">
        <v>40100.99</v>
      </c>
      <c r="N876" s="35">
        <v>7.3309601920112515</v>
      </c>
      <c r="P876" s="232">
        <v>-22.09</v>
      </c>
      <c r="Q876" s="35">
        <v>7.9755949908237866E-3</v>
      </c>
      <c r="R876" s="232">
        <v>1054.72</v>
      </c>
      <c r="S876" s="35">
        <v>0.85114520143683148</v>
      </c>
      <c r="T876" s="232">
        <v>26053.93</v>
      </c>
      <c r="U876" s="35">
        <v>1.0400217602420705</v>
      </c>
      <c r="W876" s="35">
        <f t="shared" si="85"/>
        <v>420.86974954118932</v>
      </c>
      <c r="X876" s="35">
        <f t="shared" si="86"/>
        <v>41502.540071841569</v>
      </c>
      <c r="Y876" s="35">
        <f t="shared" si="87"/>
        <v>25947.158012103522</v>
      </c>
      <c r="Z876" s="35">
        <f t="shared" si="88"/>
        <v>0</v>
      </c>
      <c r="AA876" s="35">
        <f t="shared" si="89"/>
        <v>1</v>
      </c>
      <c r="AB876" s="35">
        <f t="shared" si="90"/>
        <v>0</v>
      </c>
    </row>
    <row r="877" spans="1:28">
      <c r="A877" s="35">
        <v>866</v>
      </c>
      <c r="B877" s="35">
        <v>4.8867274745312272E-4</v>
      </c>
      <c r="C877" s="232">
        <v>64.28</v>
      </c>
      <c r="D877" s="35">
        <v>5.0618451901067623</v>
      </c>
      <c r="E877" s="232">
        <v>38.72</v>
      </c>
      <c r="F877" s="35">
        <v>5.0509672862320025</v>
      </c>
      <c r="G877" s="232">
        <v>10980.17</v>
      </c>
      <c r="H877" s="35">
        <v>8.4233760376141014</v>
      </c>
      <c r="I877" s="232">
        <v>12961.79</v>
      </c>
      <c r="J877" s="35">
        <v>7.0801618018903625</v>
      </c>
      <c r="K877" s="232">
        <v>11797.96</v>
      </c>
      <c r="L877" s="35">
        <v>8.3617110999223598</v>
      </c>
      <c r="M877" s="232">
        <v>37830.53</v>
      </c>
      <c r="N877" s="35">
        <v>7.1975584154780439</v>
      </c>
      <c r="P877" s="232">
        <v>-25.56</v>
      </c>
      <c r="Q877" s="35">
        <v>1.0877903874759731E-2</v>
      </c>
      <c r="R877" s="232">
        <v>1981.62</v>
      </c>
      <c r="S877" s="35">
        <v>1.3432142357237389</v>
      </c>
      <c r="T877" s="232">
        <v>26032.57</v>
      </c>
      <c r="U877" s="35">
        <v>1.164152684444316</v>
      </c>
      <c r="W877" s="35">
        <f t="shared" si="85"/>
        <v>569.45519373798652</v>
      </c>
      <c r="X877" s="35">
        <f t="shared" si="86"/>
        <v>65179.091786186946</v>
      </c>
      <c r="Y877" s="35">
        <f t="shared" si="87"/>
        <v>32175.064222215799</v>
      </c>
      <c r="Z877" s="35">
        <f t="shared" si="88"/>
        <v>0</v>
      </c>
      <c r="AA877" s="35">
        <f t="shared" si="89"/>
        <v>1</v>
      </c>
      <c r="AB877" s="35">
        <f t="shared" si="90"/>
        <v>0</v>
      </c>
    </row>
    <row r="878" spans="1:28">
      <c r="A878" s="35">
        <v>867</v>
      </c>
      <c r="B878" s="35">
        <v>7.3993391238214024E-4</v>
      </c>
      <c r="C878" s="232">
        <v>139.56</v>
      </c>
      <c r="D878" s="35">
        <v>5.0798456408231987</v>
      </c>
      <c r="E878" s="232">
        <v>94.76</v>
      </c>
      <c r="F878" s="35">
        <v>5.0652828116110893</v>
      </c>
      <c r="G878" s="232">
        <v>14240.64</v>
      </c>
      <c r="H878" s="35">
        <v>9.2209653122764195</v>
      </c>
      <c r="I878" s="232">
        <v>14770.98</v>
      </c>
      <c r="J878" s="35">
        <v>8.118609586223414</v>
      </c>
      <c r="K878" s="232">
        <v>18558.13</v>
      </c>
      <c r="L878" s="35">
        <v>8.7772302586099276</v>
      </c>
      <c r="M878" s="232">
        <v>44781.21</v>
      </c>
      <c r="N878" s="35">
        <v>7.654898807015579</v>
      </c>
      <c r="P878" s="232">
        <v>-44.8</v>
      </c>
      <c r="Q878" s="35">
        <v>1.4562829212109385E-2</v>
      </c>
      <c r="R878" s="232">
        <v>530.34</v>
      </c>
      <c r="S878" s="35">
        <v>1.1023557260530055</v>
      </c>
      <c r="T878" s="232">
        <v>26223.08</v>
      </c>
      <c r="U878" s="35">
        <v>1.1223314515943486</v>
      </c>
      <c r="W878" s="35">
        <f t="shared" si="85"/>
        <v>772.94146060546916</v>
      </c>
      <c r="X878" s="35">
        <f t="shared" si="86"/>
        <v>54587.446302650278</v>
      </c>
      <c r="Y878" s="35">
        <f t="shared" si="87"/>
        <v>29893.492579717429</v>
      </c>
      <c r="Z878" s="35">
        <f t="shared" si="88"/>
        <v>0</v>
      </c>
      <c r="AA878" s="35">
        <f t="shared" si="89"/>
        <v>1</v>
      </c>
      <c r="AB878" s="35">
        <f t="shared" si="90"/>
        <v>0</v>
      </c>
    </row>
    <row r="879" spans="1:28">
      <c r="A879" s="35">
        <v>868</v>
      </c>
      <c r="B879" s="35">
        <v>4.8443363007366624E-4</v>
      </c>
      <c r="C879" s="232">
        <v>64.95</v>
      </c>
      <c r="D879" s="35">
        <v>5.0629194723675219</v>
      </c>
      <c r="E879" s="232">
        <v>37.58</v>
      </c>
      <c r="F879" s="35">
        <v>5.050975841657368</v>
      </c>
      <c r="G879" s="232">
        <v>11020.6</v>
      </c>
      <c r="H879" s="35">
        <v>8.8542399175094904</v>
      </c>
      <c r="I879" s="232">
        <v>13048.28</v>
      </c>
      <c r="J879" s="35">
        <v>7.570032590880146</v>
      </c>
      <c r="K879" s="232">
        <v>10647.29</v>
      </c>
      <c r="L879" s="35">
        <v>8.4781739947983468</v>
      </c>
      <c r="M879" s="232">
        <v>36412.120000000003</v>
      </c>
      <c r="N879" s="35">
        <v>7.41560114994933</v>
      </c>
      <c r="P879" s="232">
        <v>-27.37</v>
      </c>
      <c r="Q879" s="35">
        <v>1.1943630710153919E-2</v>
      </c>
      <c r="R879" s="232">
        <v>2027.68</v>
      </c>
      <c r="S879" s="35">
        <v>1.2842073266293443</v>
      </c>
      <c r="T879" s="232">
        <v>25764.83</v>
      </c>
      <c r="U879" s="35">
        <v>1.0625728448490168</v>
      </c>
      <c r="W879" s="35">
        <f t="shared" si="85"/>
        <v>624.55153550769592</v>
      </c>
      <c r="X879" s="35">
        <f t="shared" si="86"/>
        <v>62182.686331467215</v>
      </c>
      <c r="Y879" s="35">
        <f t="shared" si="87"/>
        <v>27363.81224245084</v>
      </c>
      <c r="Z879" s="35">
        <f t="shared" si="88"/>
        <v>0</v>
      </c>
      <c r="AA879" s="35">
        <f t="shared" si="89"/>
        <v>1</v>
      </c>
      <c r="AB879" s="35">
        <f t="shared" si="90"/>
        <v>0</v>
      </c>
    </row>
    <row r="880" spans="1:28">
      <c r="A880" s="35">
        <v>869</v>
      </c>
      <c r="B880" s="35">
        <v>5.1722337037263255E-4</v>
      </c>
      <c r="C880" s="232">
        <v>72.209999999999994</v>
      </c>
      <c r="D880" s="35">
        <v>5.0632003772594434</v>
      </c>
      <c r="E880" s="232">
        <v>46.61</v>
      </c>
      <c r="F880" s="35">
        <v>5.0529569198186239</v>
      </c>
      <c r="G880" s="232">
        <v>10764.63</v>
      </c>
      <c r="H880" s="35">
        <v>8.3282821204158939</v>
      </c>
      <c r="I880" s="232">
        <v>11979.74</v>
      </c>
      <c r="J880" s="35">
        <v>7.2031346305786199</v>
      </c>
      <c r="K880" s="232">
        <v>13514.23</v>
      </c>
      <c r="L880" s="35">
        <v>8.6105828447138322</v>
      </c>
      <c r="M880" s="232">
        <v>39490.15</v>
      </c>
      <c r="N880" s="35">
        <v>7.5906108581672393</v>
      </c>
      <c r="P880" s="232">
        <v>-25.6</v>
      </c>
      <c r="Q880" s="35">
        <v>1.0243457440819448E-2</v>
      </c>
      <c r="R880" s="232">
        <v>1215.1199999999999</v>
      </c>
      <c r="S880" s="35">
        <v>1.125147489837274</v>
      </c>
      <c r="T880" s="232">
        <v>25975.919999999998</v>
      </c>
      <c r="U880" s="35">
        <v>1.0199719865465928</v>
      </c>
      <c r="W880" s="35">
        <f t="shared" si="85"/>
        <v>537.7728720409724</v>
      </c>
      <c r="X880" s="35">
        <f t="shared" si="86"/>
        <v>55042.2544918637</v>
      </c>
      <c r="Y880" s="35">
        <f t="shared" si="87"/>
        <v>25022.679327329643</v>
      </c>
      <c r="Z880" s="35">
        <f t="shared" si="88"/>
        <v>0</v>
      </c>
      <c r="AA880" s="35">
        <f t="shared" si="89"/>
        <v>1</v>
      </c>
      <c r="AB880" s="35">
        <f t="shared" si="90"/>
        <v>0</v>
      </c>
    </row>
    <row r="881" spans="1:28">
      <c r="A881" s="35">
        <v>870</v>
      </c>
      <c r="B881" s="35">
        <v>5.9657830419002078E-4</v>
      </c>
      <c r="C881" s="232">
        <v>60.08</v>
      </c>
      <c r="D881" s="35">
        <v>5.0695071711499358</v>
      </c>
      <c r="E881" s="232">
        <v>39.35</v>
      </c>
      <c r="F881" s="35">
        <v>5.0566827897300515</v>
      </c>
      <c r="G881" s="232">
        <v>8089.16</v>
      </c>
      <c r="H881" s="35">
        <v>8.9580423456502327</v>
      </c>
      <c r="I881" s="232">
        <v>9790.18</v>
      </c>
      <c r="J881" s="35">
        <v>7.3144648702793855</v>
      </c>
      <c r="K881" s="232">
        <v>8582.86</v>
      </c>
      <c r="L881" s="35">
        <v>8.4197376251249558</v>
      </c>
      <c r="M881" s="232">
        <v>34328.1</v>
      </c>
      <c r="N881" s="35">
        <v>7.3646915003557005</v>
      </c>
      <c r="P881" s="232">
        <v>-20.73</v>
      </c>
      <c r="Q881" s="35">
        <v>1.282438141988429E-2</v>
      </c>
      <c r="R881" s="232">
        <v>1701.01</v>
      </c>
      <c r="S881" s="35">
        <v>1.6435774753708472</v>
      </c>
      <c r="T881" s="232">
        <v>25745.24</v>
      </c>
      <c r="U881" s="35">
        <v>1.0550461247692553</v>
      </c>
      <c r="W881" s="35">
        <f t="shared" si="85"/>
        <v>661.94907099421448</v>
      </c>
      <c r="X881" s="35">
        <f t="shared" si="86"/>
        <v>80477.86376854236</v>
      </c>
      <c r="Y881" s="35">
        <f t="shared" si="87"/>
        <v>27007.066238462761</v>
      </c>
      <c r="Z881" s="35">
        <f t="shared" si="88"/>
        <v>0</v>
      </c>
      <c r="AA881" s="35">
        <f t="shared" si="89"/>
        <v>1</v>
      </c>
      <c r="AB881" s="35">
        <f t="shared" si="90"/>
        <v>0</v>
      </c>
    </row>
    <row r="882" spans="1:28">
      <c r="A882" s="35">
        <v>871</v>
      </c>
      <c r="B882" s="35">
        <v>3.8048829096999615E-4</v>
      </c>
      <c r="C882" s="232">
        <v>46.81</v>
      </c>
      <c r="D882" s="35">
        <v>5.0579587377214725</v>
      </c>
      <c r="E882" s="232">
        <v>27.38</v>
      </c>
      <c r="F882" s="35">
        <v>5.0480733835942644</v>
      </c>
      <c r="G882" s="232">
        <v>10069.01</v>
      </c>
      <c r="H882" s="35">
        <v>8.9226289227641455</v>
      </c>
      <c r="I882" s="232">
        <v>11626.56</v>
      </c>
      <c r="J882" s="35">
        <v>7.4668204268836433</v>
      </c>
      <c r="K882" s="232">
        <v>11401.79</v>
      </c>
      <c r="L882" s="35">
        <v>8.6055594358166658</v>
      </c>
      <c r="M882" s="232">
        <v>37316.04</v>
      </c>
      <c r="N882" s="35">
        <v>7.527856300032437</v>
      </c>
      <c r="P882" s="232">
        <v>-19.43</v>
      </c>
      <c r="Q882" s="35">
        <v>9.8853541272081458E-3</v>
      </c>
      <c r="R882" s="232">
        <v>1557.55</v>
      </c>
      <c r="S882" s="35">
        <v>1.4558084958805022</v>
      </c>
      <c r="T882" s="232">
        <v>25914.25</v>
      </c>
      <c r="U882" s="35">
        <v>1.0777031357842288</v>
      </c>
      <c r="W882" s="35">
        <f t="shared" si="85"/>
        <v>513.69770636040721</v>
      </c>
      <c r="X882" s="35">
        <f t="shared" si="86"/>
        <v>71232.874794025105</v>
      </c>
      <c r="Y882" s="35">
        <f t="shared" si="87"/>
        <v>27970.90678921144</v>
      </c>
      <c r="Z882" s="35">
        <f t="shared" si="88"/>
        <v>0</v>
      </c>
      <c r="AA882" s="35">
        <f t="shared" si="89"/>
        <v>1</v>
      </c>
      <c r="AB882" s="35">
        <f t="shared" si="90"/>
        <v>0</v>
      </c>
    </row>
    <row r="883" spans="1:28">
      <c r="A883" s="35">
        <v>872</v>
      </c>
      <c r="B883" s="35">
        <v>4.7251784906710004E-4</v>
      </c>
      <c r="C883" s="232">
        <v>90.1</v>
      </c>
      <c r="D883" s="35">
        <v>5.0589470996635511</v>
      </c>
      <c r="E883" s="232">
        <v>55.71</v>
      </c>
      <c r="F883" s="35">
        <v>5.0500656797131711</v>
      </c>
      <c r="G883" s="232">
        <v>14508.23</v>
      </c>
      <c r="H883" s="35">
        <v>7.7965479848284946</v>
      </c>
      <c r="I883" s="232">
        <v>15022.27</v>
      </c>
      <c r="J883" s="35">
        <v>6.6186756816374173</v>
      </c>
      <c r="K883" s="232">
        <v>20217.400000000001</v>
      </c>
      <c r="L883" s="35">
        <v>8.3659678978602958</v>
      </c>
      <c r="M883" s="232">
        <v>46517.02</v>
      </c>
      <c r="N883" s="35">
        <v>7.2514555559296214</v>
      </c>
      <c r="P883" s="232">
        <v>-34.39</v>
      </c>
      <c r="Q883" s="35">
        <v>8.8814199503799429E-3</v>
      </c>
      <c r="R883" s="232">
        <v>514.04</v>
      </c>
      <c r="S883" s="35">
        <v>1.1778723031910774</v>
      </c>
      <c r="T883" s="232">
        <v>26299.61</v>
      </c>
      <c r="U883" s="35">
        <v>1.1145123419306744</v>
      </c>
      <c r="W883" s="35">
        <f t="shared" si="85"/>
        <v>478.46099751899715</v>
      </c>
      <c r="X883" s="35">
        <f t="shared" si="86"/>
        <v>58379.575159553868</v>
      </c>
      <c r="Y883" s="35">
        <f t="shared" si="87"/>
        <v>29426.007096533722</v>
      </c>
      <c r="Z883" s="35">
        <f t="shared" si="88"/>
        <v>0</v>
      </c>
      <c r="AA883" s="35">
        <f t="shared" si="89"/>
        <v>1</v>
      </c>
      <c r="AB883" s="35">
        <f t="shared" si="90"/>
        <v>0</v>
      </c>
    </row>
    <row r="884" spans="1:28">
      <c r="A884" s="35">
        <v>873</v>
      </c>
      <c r="B884" s="35">
        <v>4.6520887383572074E-4</v>
      </c>
      <c r="C884" s="232">
        <v>63.9</v>
      </c>
      <c r="D884" s="35">
        <v>5.0641895052261692</v>
      </c>
      <c r="E884" s="232">
        <v>37.9</v>
      </c>
      <c r="F884" s="35">
        <v>5.0519973985864626</v>
      </c>
      <c r="G884" s="232">
        <v>10484.35</v>
      </c>
      <c r="H884" s="35">
        <v>9.3417725534141614</v>
      </c>
      <c r="I884" s="232">
        <v>10614.26</v>
      </c>
      <c r="J884" s="35">
        <v>7.699575510172556</v>
      </c>
      <c r="K884" s="232">
        <v>13819.91</v>
      </c>
      <c r="L884" s="35">
        <v>8.725427114081528</v>
      </c>
      <c r="M884" s="232">
        <v>39874.870000000003</v>
      </c>
      <c r="N884" s="35">
        <v>7.6637724333014878</v>
      </c>
      <c r="P884" s="232">
        <v>-25.99</v>
      </c>
      <c r="Q884" s="35">
        <v>1.2192106639706601E-2</v>
      </c>
      <c r="R884" s="232">
        <v>129.91</v>
      </c>
      <c r="S884" s="35">
        <v>1.6421970432416053</v>
      </c>
      <c r="T884" s="232">
        <v>26054.959999999999</v>
      </c>
      <c r="U884" s="35">
        <v>1.0616546807800402</v>
      </c>
      <c r="W884" s="35">
        <f t="shared" si="85"/>
        <v>635.59533198533006</v>
      </c>
      <c r="X884" s="35">
        <f t="shared" si="86"/>
        <v>81979.94216208026</v>
      </c>
      <c r="Y884" s="35">
        <f t="shared" si="87"/>
        <v>27027.774039002012</v>
      </c>
      <c r="Z884" s="35">
        <f t="shared" si="88"/>
        <v>0</v>
      </c>
      <c r="AA884" s="35">
        <f t="shared" si="89"/>
        <v>1</v>
      </c>
      <c r="AB884" s="35">
        <f t="shared" si="90"/>
        <v>0</v>
      </c>
    </row>
    <row r="885" spans="1:28">
      <c r="A885" s="35">
        <v>874</v>
      </c>
      <c r="B885" s="35">
        <v>5.3040678338078795E-4</v>
      </c>
      <c r="C885" s="232">
        <v>70.33</v>
      </c>
      <c r="D885" s="35">
        <v>5.0674900856796441</v>
      </c>
      <c r="E885" s="232">
        <v>44.18</v>
      </c>
      <c r="F885" s="35">
        <v>5.0549526987597115</v>
      </c>
      <c r="G885" s="232">
        <v>10411.19</v>
      </c>
      <c r="H885" s="35">
        <v>9.2623629377182972</v>
      </c>
      <c r="I885" s="232">
        <v>11728.53</v>
      </c>
      <c r="J885" s="35">
        <v>7.6628422786332235</v>
      </c>
      <c r="K885" s="232">
        <v>11088.42</v>
      </c>
      <c r="L885" s="35">
        <v>8.6821932150314627</v>
      </c>
      <c r="M885" s="232">
        <v>36981.61</v>
      </c>
      <c r="N885" s="35">
        <v>7.6531682261475256</v>
      </c>
      <c r="P885" s="232">
        <v>-26.16</v>
      </c>
      <c r="Q885" s="35">
        <v>1.2537386919932558E-2</v>
      </c>
      <c r="R885" s="232">
        <v>1317.33</v>
      </c>
      <c r="S885" s="35">
        <v>1.5995206590850737</v>
      </c>
      <c r="T885" s="232">
        <v>25893.19</v>
      </c>
      <c r="U885" s="35">
        <v>1.0290249888839371</v>
      </c>
      <c r="W885" s="35">
        <f t="shared" si="85"/>
        <v>653.02934599662785</v>
      </c>
      <c r="X885" s="35">
        <f t="shared" si="86"/>
        <v>78658.702954253677</v>
      </c>
      <c r="Y885" s="35">
        <f t="shared" si="87"/>
        <v>25558.059444196861</v>
      </c>
      <c r="Z885" s="35">
        <f t="shared" si="88"/>
        <v>0</v>
      </c>
      <c r="AA885" s="35">
        <f t="shared" si="89"/>
        <v>1</v>
      </c>
      <c r="AB885" s="35">
        <f t="shared" si="90"/>
        <v>0</v>
      </c>
    </row>
    <row r="886" spans="1:28">
      <c r="A886" s="35">
        <v>875</v>
      </c>
      <c r="B886" s="35">
        <v>4.3430974716814275E-4</v>
      </c>
      <c r="C886" s="232">
        <v>61.41</v>
      </c>
      <c r="D886" s="35">
        <v>5.0586920218811064</v>
      </c>
      <c r="E886" s="232">
        <v>40.020000000000003</v>
      </c>
      <c r="F886" s="35">
        <v>5.0502193202995036</v>
      </c>
      <c r="G886" s="232">
        <v>10233.56</v>
      </c>
      <c r="H886" s="35">
        <v>8.1544064156899001</v>
      </c>
      <c r="I886" s="232">
        <v>9864.0400000000009</v>
      </c>
      <c r="J886" s="35">
        <v>6.4509130376539927</v>
      </c>
      <c r="K886" s="232">
        <v>15828.72</v>
      </c>
      <c r="L886" s="35">
        <v>8.4288238369418576</v>
      </c>
      <c r="M886" s="232">
        <v>42083.91</v>
      </c>
      <c r="N886" s="35">
        <v>7.2578782425840398</v>
      </c>
      <c r="P886" s="232">
        <v>-21.39</v>
      </c>
      <c r="Q886" s="35">
        <v>8.4727015816028484E-3</v>
      </c>
      <c r="R886" s="232">
        <v>-369.52</v>
      </c>
      <c r="S886" s="35">
        <v>1.7034933780359074</v>
      </c>
      <c r="T886" s="232">
        <v>26255.18</v>
      </c>
      <c r="U886" s="35">
        <v>1.1709455943578178</v>
      </c>
      <c r="W886" s="35">
        <f t="shared" si="85"/>
        <v>445.0250790801424</v>
      </c>
      <c r="X886" s="35">
        <f t="shared" si="86"/>
        <v>85544.18890179538</v>
      </c>
      <c r="Y886" s="35">
        <f t="shared" si="87"/>
        <v>32292.099717890887</v>
      </c>
      <c r="Z886" s="35">
        <f t="shared" si="88"/>
        <v>0</v>
      </c>
      <c r="AA886" s="35">
        <f t="shared" si="89"/>
        <v>1</v>
      </c>
      <c r="AB886" s="35">
        <f t="shared" si="90"/>
        <v>0</v>
      </c>
    </row>
    <row r="887" spans="1:28">
      <c r="A887" s="35">
        <v>876</v>
      </c>
      <c r="B887" s="35">
        <v>2.9115618327515882E-4</v>
      </c>
      <c r="C887" s="232">
        <v>39.14</v>
      </c>
      <c r="D887" s="35">
        <v>5.0526875434282275</v>
      </c>
      <c r="E887" s="232">
        <v>24.43</v>
      </c>
      <c r="F887" s="35">
        <v>5.0457557090625311</v>
      </c>
      <c r="G887" s="232">
        <v>10736.22</v>
      </c>
      <c r="H887" s="35">
        <v>8.4275070825934968</v>
      </c>
      <c r="I887" s="232">
        <v>12286.32</v>
      </c>
      <c r="J887" s="35">
        <v>6.9728315737338811</v>
      </c>
      <c r="K887" s="232">
        <v>11929.22</v>
      </c>
      <c r="L887" s="35">
        <v>8.9779961438000964</v>
      </c>
      <c r="M887" s="232">
        <v>37797.94</v>
      </c>
      <c r="N887" s="35">
        <v>7.9354670520498436</v>
      </c>
      <c r="P887" s="232">
        <v>-14.71</v>
      </c>
      <c r="Q887" s="35">
        <v>6.9318343656963322E-3</v>
      </c>
      <c r="R887" s="232">
        <v>1550.11</v>
      </c>
      <c r="S887" s="35">
        <v>1.4546755088596157</v>
      </c>
      <c r="T887" s="232">
        <v>25868.720000000001</v>
      </c>
      <c r="U887" s="35">
        <v>1.0425290917502528</v>
      </c>
      <c r="W887" s="35">
        <f t="shared" si="85"/>
        <v>361.30171828481656</v>
      </c>
      <c r="X887" s="35">
        <f t="shared" si="86"/>
        <v>71183.665442980782</v>
      </c>
      <c r="Y887" s="35">
        <f t="shared" si="87"/>
        <v>26257.734587512634</v>
      </c>
      <c r="Z887" s="35">
        <f t="shared" si="88"/>
        <v>0</v>
      </c>
      <c r="AA887" s="35">
        <f t="shared" si="89"/>
        <v>1</v>
      </c>
      <c r="AB887" s="35">
        <f t="shared" si="90"/>
        <v>0</v>
      </c>
    </row>
    <row r="888" spans="1:28">
      <c r="A888" s="35">
        <v>877</v>
      </c>
      <c r="B888" s="35">
        <v>5.365606028425729E-4</v>
      </c>
      <c r="C888" s="232">
        <v>117.09</v>
      </c>
      <c r="D888" s="35">
        <v>5.0678455023642108</v>
      </c>
      <c r="E888" s="232">
        <v>70.510000000000005</v>
      </c>
      <c r="F888" s="35">
        <v>5.0550031306150673</v>
      </c>
      <c r="G888" s="232">
        <v>16977.43</v>
      </c>
      <c r="H888" s="35">
        <v>9.2097954770728663</v>
      </c>
      <c r="I888" s="232">
        <v>18217.38</v>
      </c>
      <c r="J888" s="35">
        <v>8.6606451409248972</v>
      </c>
      <c r="K888" s="232">
        <v>23295.46</v>
      </c>
      <c r="L888" s="35">
        <v>8.7215996989227058</v>
      </c>
      <c r="M888" s="232">
        <v>49749.22</v>
      </c>
      <c r="N888" s="35">
        <v>7.6216650359493601</v>
      </c>
      <c r="P888" s="232">
        <v>-46.58</v>
      </c>
      <c r="Q888" s="35">
        <v>1.2842371749143489E-2</v>
      </c>
      <c r="R888" s="232">
        <v>1239.94</v>
      </c>
      <c r="S888" s="35">
        <v>0.54915033614796904</v>
      </c>
      <c r="T888" s="232">
        <v>26453.759999999998</v>
      </c>
      <c r="U888" s="35">
        <v>1.0999346629733457</v>
      </c>
      <c r="W888" s="35">
        <f t="shared" si="85"/>
        <v>688.69858745717443</v>
      </c>
      <c r="X888" s="35">
        <f t="shared" si="86"/>
        <v>26217.576807398455</v>
      </c>
      <c r="Y888" s="35">
        <f t="shared" si="87"/>
        <v>28542.973148667286</v>
      </c>
      <c r="Z888" s="35">
        <f t="shared" si="88"/>
        <v>0</v>
      </c>
      <c r="AA888" s="35">
        <f t="shared" si="89"/>
        <v>0</v>
      </c>
      <c r="AB888" s="35">
        <f t="shared" si="90"/>
        <v>1</v>
      </c>
    </row>
    <row r="889" spans="1:28">
      <c r="A889" s="35">
        <v>878</v>
      </c>
      <c r="B889" s="35">
        <v>4.2032362597456337E-4</v>
      </c>
      <c r="C889" s="232">
        <v>56.14</v>
      </c>
      <c r="D889" s="35">
        <v>5.0600960340870973</v>
      </c>
      <c r="E889" s="232">
        <v>32.51</v>
      </c>
      <c r="F889" s="35">
        <v>5.0493165972261931</v>
      </c>
      <c r="G889" s="232">
        <v>10033.43</v>
      </c>
      <c r="H889" s="35">
        <v>8.8934251359738266</v>
      </c>
      <c r="I889" s="232">
        <v>11230.43</v>
      </c>
      <c r="J889" s="35">
        <v>7.8742374016982586</v>
      </c>
      <c r="K889" s="232">
        <v>11967.61</v>
      </c>
      <c r="L889" s="35">
        <v>8.7069101730111846</v>
      </c>
      <c r="M889" s="232">
        <v>37952.36</v>
      </c>
      <c r="N889" s="35">
        <v>7.6642676858422041</v>
      </c>
      <c r="P889" s="232">
        <v>-23.63</v>
      </c>
      <c r="Q889" s="35">
        <v>1.0779436860904212E-2</v>
      </c>
      <c r="R889" s="232">
        <v>1197</v>
      </c>
      <c r="S889" s="35">
        <v>1.019187734275568</v>
      </c>
      <c r="T889" s="232">
        <v>25984.74</v>
      </c>
      <c r="U889" s="35">
        <v>1.0426424871689806</v>
      </c>
      <c r="W889" s="35">
        <f t="shared" si="85"/>
        <v>562.60184304521056</v>
      </c>
      <c r="X889" s="35">
        <f t="shared" si="86"/>
        <v>49762.386713778396</v>
      </c>
      <c r="Y889" s="35">
        <f t="shared" si="87"/>
        <v>26147.384358449028</v>
      </c>
      <c r="Z889" s="35">
        <f t="shared" si="88"/>
        <v>0</v>
      </c>
      <c r="AA889" s="35">
        <f t="shared" si="89"/>
        <v>1</v>
      </c>
      <c r="AB889" s="35">
        <f t="shared" si="90"/>
        <v>0</v>
      </c>
    </row>
    <row r="890" spans="1:28">
      <c r="A890" s="35">
        <v>879</v>
      </c>
      <c r="B890" s="35">
        <v>4.6174434808332609E-4</v>
      </c>
      <c r="C890" s="232">
        <v>75.44</v>
      </c>
      <c r="D890" s="35">
        <v>5.0622331850434827</v>
      </c>
      <c r="E890" s="232">
        <v>47.81</v>
      </c>
      <c r="F890" s="35">
        <v>5.0521484943460617</v>
      </c>
      <c r="G890" s="232">
        <v>12206.13</v>
      </c>
      <c r="H890" s="35">
        <v>8.6521611000616829</v>
      </c>
      <c r="I890" s="232">
        <v>13296.89</v>
      </c>
      <c r="J890" s="35">
        <v>7.786526041766046</v>
      </c>
      <c r="K890" s="232">
        <v>16429.080000000002</v>
      </c>
      <c r="L890" s="35">
        <v>8.8260345099419943</v>
      </c>
      <c r="M890" s="232">
        <v>42559.87</v>
      </c>
      <c r="N890" s="35">
        <v>7.7003080393153356</v>
      </c>
      <c r="P890" s="232">
        <v>-27.63</v>
      </c>
      <c r="Q890" s="35">
        <v>1.0084690697421017E-2</v>
      </c>
      <c r="R890" s="232">
        <v>1090.77</v>
      </c>
      <c r="S890" s="35">
        <v>0.86563505829563692</v>
      </c>
      <c r="T890" s="232">
        <v>26130.79</v>
      </c>
      <c r="U890" s="35">
        <v>1.1257264706266588</v>
      </c>
      <c r="W890" s="35">
        <f t="shared" si="85"/>
        <v>531.86453487105086</v>
      </c>
      <c r="X890" s="35">
        <f t="shared" si="86"/>
        <v>42190.982914781845</v>
      </c>
      <c r="Y890" s="35">
        <f t="shared" si="87"/>
        <v>30155.533531332934</v>
      </c>
      <c r="Z890" s="35">
        <f t="shared" si="88"/>
        <v>0</v>
      </c>
      <c r="AA890" s="35">
        <f t="shared" si="89"/>
        <v>1</v>
      </c>
      <c r="AB890" s="35">
        <f t="shared" si="90"/>
        <v>0</v>
      </c>
    </row>
    <row r="891" spans="1:28">
      <c r="A891" s="35">
        <v>880</v>
      </c>
      <c r="B891" s="35">
        <v>4.6090124206510374E-4</v>
      </c>
      <c r="C891" s="232">
        <v>102.01</v>
      </c>
      <c r="D891" s="35">
        <v>5.0598928442890578</v>
      </c>
      <c r="E891" s="232">
        <v>71.62</v>
      </c>
      <c r="F891" s="35">
        <v>5.052557255257395</v>
      </c>
      <c r="G891" s="232">
        <v>16221.75</v>
      </c>
      <c r="H891" s="35">
        <v>8.1561154490148322</v>
      </c>
      <c r="I891" s="232">
        <v>17347.22</v>
      </c>
      <c r="J891" s="35">
        <v>7.6371323190920926</v>
      </c>
      <c r="K891" s="232">
        <v>23797.33</v>
      </c>
      <c r="L891" s="35">
        <v>8.2799229559908891</v>
      </c>
      <c r="M891" s="232">
        <v>50314.25</v>
      </c>
      <c r="N891" s="35">
        <v>7.148538290441885</v>
      </c>
      <c r="P891" s="232">
        <v>-30.39</v>
      </c>
      <c r="Q891" s="35">
        <v>7.3355890316628702E-3</v>
      </c>
      <c r="R891" s="232">
        <v>1125.47</v>
      </c>
      <c r="S891" s="35">
        <v>0.51898312992273965</v>
      </c>
      <c r="T891" s="232">
        <v>26516.93</v>
      </c>
      <c r="U891" s="35">
        <v>1.1313846655490041</v>
      </c>
      <c r="W891" s="35">
        <f t="shared" si="85"/>
        <v>397.16945158314348</v>
      </c>
      <c r="X891" s="35">
        <f t="shared" si="86"/>
        <v>24823.686496136983</v>
      </c>
      <c r="Y891" s="35">
        <f t="shared" si="87"/>
        <v>30052.303277450206</v>
      </c>
      <c r="Z891" s="35">
        <f t="shared" si="88"/>
        <v>0</v>
      </c>
      <c r="AA891" s="35">
        <f t="shared" si="89"/>
        <v>0</v>
      </c>
      <c r="AB891" s="35">
        <f t="shared" si="90"/>
        <v>1</v>
      </c>
    </row>
    <row r="892" spans="1:28">
      <c r="A892" s="35">
        <v>881</v>
      </c>
      <c r="B892" s="35">
        <v>4.4576333069445973E-4</v>
      </c>
      <c r="C892" s="232">
        <v>72.17</v>
      </c>
      <c r="D892" s="35">
        <v>5.061856043510895</v>
      </c>
      <c r="E892" s="232">
        <v>42.54</v>
      </c>
      <c r="F892" s="35">
        <v>5.0508154777324235</v>
      </c>
      <c r="G892" s="232">
        <v>12098.58</v>
      </c>
      <c r="H892" s="35">
        <v>9.0023210550792072</v>
      </c>
      <c r="I892" s="232">
        <v>14073.35</v>
      </c>
      <c r="J892" s="35">
        <v>8.8481411430961447</v>
      </c>
      <c r="K892" s="232">
        <v>17053.990000000002</v>
      </c>
      <c r="L892" s="35">
        <v>8.6520059914984682</v>
      </c>
      <c r="M892" s="232">
        <v>43161.87</v>
      </c>
      <c r="N892" s="35">
        <v>7.5648256483296521</v>
      </c>
      <c r="P892" s="232">
        <v>-29.62</v>
      </c>
      <c r="Q892" s="35">
        <v>1.1040565778471567E-2</v>
      </c>
      <c r="R892" s="232">
        <v>1974.76</v>
      </c>
      <c r="S892" s="35">
        <v>0.15417991198306247</v>
      </c>
      <c r="T892" s="232">
        <v>26107.89</v>
      </c>
      <c r="U892" s="35">
        <v>1.0871803431688161</v>
      </c>
      <c r="W892" s="35">
        <f t="shared" si="85"/>
        <v>581.64828892357832</v>
      </c>
      <c r="X892" s="35">
        <f t="shared" si="86"/>
        <v>5734.2355991531231</v>
      </c>
      <c r="Y892" s="35">
        <f t="shared" si="87"/>
        <v>28251.127158440802</v>
      </c>
      <c r="Z892" s="35">
        <f t="shared" si="88"/>
        <v>0</v>
      </c>
      <c r="AA892" s="35">
        <f t="shared" si="89"/>
        <v>0</v>
      </c>
      <c r="AB892" s="35">
        <f t="shared" si="90"/>
        <v>1</v>
      </c>
    </row>
    <row r="893" spans="1:28">
      <c r="A893" s="35">
        <v>882</v>
      </c>
      <c r="B893" s="35">
        <v>3.9550162747707343E-4</v>
      </c>
      <c r="C893" s="232">
        <v>55.44</v>
      </c>
      <c r="D893" s="35">
        <v>5.0597391458632401</v>
      </c>
      <c r="E893" s="232">
        <v>32.450000000000003</v>
      </c>
      <c r="F893" s="35">
        <v>5.0492504444172503</v>
      </c>
      <c r="G893" s="232">
        <v>11320.65</v>
      </c>
      <c r="H893" s="35">
        <v>8.9735816290806891</v>
      </c>
      <c r="I893" s="232">
        <v>12891.76</v>
      </c>
      <c r="J893" s="35">
        <v>6.6403420377272688</v>
      </c>
      <c r="K893" s="232">
        <v>11270.9</v>
      </c>
      <c r="L893" s="35">
        <v>9.1300112315643869</v>
      </c>
      <c r="M893" s="232">
        <v>37096.92</v>
      </c>
      <c r="N893" s="35">
        <v>8.1151824434264732</v>
      </c>
      <c r="P893" s="232">
        <v>-22.99</v>
      </c>
      <c r="Q893" s="35">
        <v>1.048870144598979E-2</v>
      </c>
      <c r="R893" s="232">
        <v>1571.11</v>
      </c>
      <c r="S893" s="35">
        <v>2.3332395913534203</v>
      </c>
      <c r="T893" s="232">
        <v>25826.02</v>
      </c>
      <c r="U893" s="35">
        <v>1.0148287881379137</v>
      </c>
      <c r="W893" s="35">
        <f t="shared" si="85"/>
        <v>547.42507229948956</v>
      </c>
      <c r="X893" s="35">
        <f t="shared" si="86"/>
        <v>115090.86956767102</v>
      </c>
      <c r="Y893" s="35">
        <f t="shared" si="87"/>
        <v>24915.419406895682</v>
      </c>
      <c r="Z893" s="35">
        <f t="shared" si="88"/>
        <v>0</v>
      </c>
      <c r="AA893" s="35">
        <f t="shared" si="89"/>
        <v>1</v>
      </c>
      <c r="AB893" s="35">
        <f t="shared" si="90"/>
        <v>0</v>
      </c>
    </row>
    <row r="894" spans="1:28">
      <c r="A894" s="35">
        <v>883</v>
      </c>
      <c r="B894" s="35">
        <v>4.7095923658457828E-4</v>
      </c>
      <c r="C894" s="232">
        <v>67.92</v>
      </c>
      <c r="D894" s="35">
        <v>5.060816008227464</v>
      </c>
      <c r="E894" s="232">
        <v>39.03</v>
      </c>
      <c r="F894" s="35">
        <v>5.049844555042962</v>
      </c>
      <c r="G894" s="232">
        <v>10169.14</v>
      </c>
      <c r="H894" s="35">
        <v>8.3314343487425973</v>
      </c>
      <c r="I894" s="232">
        <v>9996.9599999999991</v>
      </c>
      <c r="J894" s="35">
        <v>6.7991437701758164</v>
      </c>
      <c r="K894" s="232">
        <v>13780.1</v>
      </c>
      <c r="L894" s="35">
        <v>8.476340629806371</v>
      </c>
      <c r="M894" s="232">
        <v>39789.160000000003</v>
      </c>
      <c r="N894" s="35">
        <v>7.3052880860035936</v>
      </c>
      <c r="P894" s="232">
        <v>-28.88</v>
      </c>
      <c r="Q894" s="35">
        <v>1.0971453184501989E-2</v>
      </c>
      <c r="R894" s="232">
        <v>-172.18</v>
      </c>
      <c r="S894" s="35">
        <v>1.5322905785667809</v>
      </c>
      <c r="T894" s="232">
        <v>26009.06</v>
      </c>
      <c r="U894" s="35">
        <v>1.1710525438027775</v>
      </c>
      <c r="W894" s="35">
        <f t="shared" si="85"/>
        <v>577.45265922509941</v>
      </c>
      <c r="X894" s="35">
        <f t="shared" si="86"/>
        <v>76786.708928339038</v>
      </c>
      <c r="Y894" s="35">
        <f t="shared" si="87"/>
        <v>32543.567190138874</v>
      </c>
      <c r="Z894" s="35">
        <f t="shared" si="88"/>
        <v>0</v>
      </c>
      <c r="AA894" s="35">
        <f t="shared" si="89"/>
        <v>1</v>
      </c>
      <c r="AB894" s="35">
        <f t="shared" si="90"/>
        <v>0</v>
      </c>
    </row>
    <row r="895" spans="1:28">
      <c r="A895" s="35">
        <v>884</v>
      </c>
      <c r="B895" s="35">
        <v>4.5639032117661404E-4</v>
      </c>
      <c r="C895" s="232">
        <v>58.64</v>
      </c>
      <c r="D895" s="35">
        <v>5.0637293144571442</v>
      </c>
      <c r="E895" s="232">
        <v>39.68</v>
      </c>
      <c r="F895" s="35">
        <v>5.0537732904766299</v>
      </c>
      <c r="G895" s="232">
        <v>10197.450000000001</v>
      </c>
      <c r="H895" s="35">
        <v>9.2412664304657017</v>
      </c>
      <c r="I895" s="232">
        <v>12240.04</v>
      </c>
      <c r="J895" s="35">
        <v>8.4776063673728927</v>
      </c>
      <c r="K895" s="232">
        <v>9852.92</v>
      </c>
      <c r="L895" s="35">
        <v>8.7447519846053527</v>
      </c>
      <c r="M895" s="232">
        <v>35642.449999999997</v>
      </c>
      <c r="N895" s="35">
        <v>7.6261513515610568</v>
      </c>
      <c r="P895" s="232">
        <v>-18.96</v>
      </c>
      <c r="Q895" s="35">
        <v>9.9560239805143169E-3</v>
      </c>
      <c r="R895" s="232">
        <v>2042.59</v>
      </c>
      <c r="S895" s="35">
        <v>0.76366006309280898</v>
      </c>
      <c r="T895" s="232">
        <v>25789.53</v>
      </c>
      <c r="U895" s="35">
        <v>1.1186006330442959</v>
      </c>
      <c r="W895" s="35">
        <f t="shared" si="85"/>
        <v>516.76119902571588</v>
      </c>
      <c r="X895" s="35">
        <f t="shared" si="86"/>
        <v>36140.413154640453</v>
      </c>
      <c r="Y895" s="35">
        <f t="shared" si="87"/>
        <v>30140.5016522148</v>
      </c>
      <c r="Z895" s="35">
        <f t="shared" si="88"/>
        <v>0</v>
      </c>
      <c r="AA895" s="35">
        <f t="shared" si="89"/>
        <v>1</v>
      </c>
      <c r="AB895" s="35">
        <f t="shared" si="90"/>
        <v>0</v>
      </c>
    </row>
    <row r="896" spans="1:28">
      <c r="A896" s="35">
        <v>885</v>
      </c>
      <c r="B896" s="35">
        <v>3.9338820028532169E-4</v>
      </c>
      <c r="C896" s="232">
        <v>70.459999999999994</v>
      </c>
      <c r="D896" s="35">
        <v>5.0577710367354483</v>
      </c>
      <c r="E896" s="232">
        <v>44.73</v>
      </c>
      <c r="F896" s="35">
        <v>5.0494906461001214</v>
      </c>
      <c r="G896" s="232">
        <v>13820.28</v>
      </c>
      <c r="H896" s="35">
        <v>8.4500401507532619</v>
      </c>
      <c r="I896" s="232">
        <v>14408.38</v>
      </c>
      <c r="J896" s="35">
        <v>6.9901972524305105</v>
      </c>
      <c r="K896" s="232">
        <v>17730.849999999999</v>
      </c>
      <c r="L896" s="35">
        <v>8.7545119988115783</v>
      </c>
      <c r="M896" s="232">
        <v>44091.98</v>
      </c>
      <c r="N896" s="35">
        <v>7.6686457030213129</v>
      </c>
      <c r="P896" s="232">
        <v>-25.73</v>
      </c>
      <c r="Q896" s="35">
        <v>8.2803906353268175E-3</v>
      </c>
      <c r="R896" s="232">
        <v>588.11</v>
      </c>
      <c r="S896" s="35">
        <v>1.4598428983227514</v>
      </c>
      <c r="T896" s="232">
        <v>26361.13</v>
      </c>
      <c r="U896" s="35">
        <v>1.0858662957902654</v>
      </c>
      <c r="W896" s="35">
        <f t="shared" si="85"/>
        <v>439.74953176634091</v>
      </c>
      <c r="X896" s="35">
        <f t="shared" si="86"/>
        <v>72404.034916137563</v>
      </c>
      <c r="Y896" s="35">
        <f t="shared" si="87"/>
        <v>27932.184789513271</v>
      </c>
      <c r="Z896" s="35">
        <f t="shared" si="88"/>
        <v>0</v>
      </c>
      <c r="AA896" s="35">
        <f t="shared" si="89"/>
        <v>1</v>
      </c>
      <c r="AB896" s="35">
        <f t="shared" si="90"/>
        <v>0</v>
      </c>
    </row>
    <row r="897" spans="1:28">
      <c r="A897" s="35">
        <v>886</v>
      </c>
      <c r="B897" s="35">
        <v>3.9879888654613784E-4</v>
      </c>
      <c r="C897" s="232">
        <v>54.37</v>
      </c>
      <c r="D897" s="35">
        <v>5.0573989732778566</v>
      </c>
      <c r="E897" s="232">
        <v>32.07</v>
      </c>
      <c r="F897" s="35">
        <v>5.0480966984897551</v>
      </c>
      <c r="G897" s="232">
        <v>11231.59</v>
      </c>
      <c r="H897" s="35">
        <v>8.3130182653899727</v>
      </c>
      <c r="I897" s="232">
        <v>13496.81</v>
      </c>
      <c r="J897" s="35">
        <v>8.4334901105328335</v>
      </c>
      <c r="K897" s="232">
        <v>12493.19</v>
      </c>
      <c r="L897" s="35">
        <v>8.6222334002171834</v>
      </c>
      <c r="M897" s="232">
        <v>38496.269999999997</v>
      </c>
      <c r="N897" s="35">
        <v>7.4479890058256011</v>
      </c>
      <c r="P897" s="232">
        <v>-22.3</v>
      </c>
      <c r="Q897" s="35">
        <v>9.3022747881015277E-3</v>
      </c>
      <c r="R897" s="232">
        <v>2265.21</v>
      </c>
      <c r="S897" s="35">
        <v>-0.1204718451428608</v>
      </c>
      <c r="T897" s="232">
        <v>26003.08</v>
      </c>
      <c r="U897" s="35">
        <v>1.1742443943915823</v>
      </c>
      <c r="W897" s="35">
        <f t="shared" si="85"/>
        <v>487.4137394050764</v>
      </c>
      <c r="X897" s="35">
        <f t="shared" si="86"/>
        <v>-8288.8022571430411</v>
      </c>
      <c r="Y897" s="35">
        <f t="shared" si="87"/>
        <v>32709.139719579114</v>
      </c>
      <c r="Z897" s="35">
        <f t="shared" si="88"/>
        <v>0</v>
      </c>
      <c r="AA897" s="35">
        <f t="shared" si="89"/>
        <v>0</v>
      </c>
      <c r="AB897" s="35">
        <f t="shared" si="90"/>
        <v>1</v>
      </c>
    </row>
    <row r="898" spans="1:28">
      <c r="A898" s="35">
        <v>887</v>
      </c>
      <c r="B898" s="35">
        <v>4.64033609495762E-4</v>
      </c>
      <c r="C898" s="232">
        <v>67.22</v>
      </c>
      <c r="D898" s="35">
        <v>5.0636598308730694</v>
      </c>
      <c r="E898" s="232">
        <v>39.380000000000003</v>
      </c>
      <c r="F898" s="35">
        <v>5.0515966325798223</v>
      </c>
      <c r="G898" s="232">
        <v>11263.98</v>
      </c>
      <c r="H898" s="35">
        <v>9.4073618842011015</v>
      </c>
      <c r="I898" s="232">
        <v>12821.04</v>
      </c>
      <c r="J898" s="35">
        <v>8.7992252273828964</v>
      </c>
      <c r="K898" s="232">
        <v>13558.74</v>
      </c>
      <c r="L898" s="35">
        <v>8.5027795548893152</v>
      </c>
      <c r="M898" s="232">
        <v>39517.21</v>
      </c>
      <c r="N898" s="35">
        <v>7.4396032703980142</v>
      </c>
      <c r="P898" s="232">
        <v>-27.84</v>
      </c>
      <c r="Q898" s="35">
        <v>1.206319829324709E-2</v>
      </c>
      <c r="R898" s="232">
        <v>1557.06</v>
      </c>
      <c r="S898" s="35">
        <v>0.60813665681820517</v>
      </c>
      <c r="T898" s="232">
        <v>25958.47</v>
      </c>
      <c r="U898" s="35">
        <v>1.0631762844913011</v>
      </c>
      <c r="W898" s="35">
        <f t="shared" si="85"/>
        <v>630.99991466235451</v>
      </c>
      <c r="X898" s="35">
        <f t="shared" si="86"/>
        <v>28849.772840910256</v>
      </c>
      <c r="Y898" s="35">
        <f t="shared" si="87"/>
        <v>27200.344224565051</v>
      </c>
      <c r="Z898" s="35">
        <f t="shared" si="88"/>
        <v>0</v>
      </c>
      <c r="AA898" s="35">
        <f t="shared" si="89"/>
        <v>1</v>
      </c>
      <c r="AB898" s="35">
        <f t="shared" si="90"/>
        <v>0</v>
      </c>
    </row>
    <row r="899" spans="1:28">
      <c r="A899" s="35">
        <v>888</v>
      </c>
      <c r="B899" s="35">
        <v>4.4249164451292289E-4</v>
      </c>
      <c r="C899" s="232">
        <v>51</v>
      </c>
      <c r="D899" s="35">
        <v>5.0611649671667154</v>
      </c>
      <c r="E899" s="232">
        <v>36</v>
      </c>
      <c r="F899" s="35">
        <v>5.0526598137056977</v>
      </c>
      <c r="G899" s="232">
        <v>8155.28</v>
      </c>
      <c r="H899" s="35">
        <v>8.498923524007381</v>
      </c>
      <c r="I899" s="232">
        <v>8227.52</v>
      </c>
      <c r="J899" s="35">
        <v>6.6716721399611645</v>
      </c>
      <c r="K899" s="232">
        <v>11829.81</v>
      </c>
      <c r="L899" s="35">
        <v>9.0715526119952408</v>
      </c>
      <c r="M899" s="232">
        <v>37705.199999999997</v>
      </c>
      <c r="N899" s="35">
        <v>8.0245891619331076</v>
      </c>
      <c r="P899" s="232">
        <v>-15</v>
      </c>
      <c r="Q899" s="35">
        <v>8.505153461017656E-3</v>
      </c>
      <c r="R899" s="232">
        <v>72.239999999999995</v>
      </c>
      <c r="S899" s="35">
        <v>1.8272513840462166</v>
      </c>
      <c r="T899" s="232">
        <v>25875.39</v>
      </c>
      <c r="U899" s="35">
        <v>1.0469634500621332</v>
      </c>
      <c r="W899" s="35">
        <f t="shared" si="85"/>
        <v>440.25767305088277</v>
      </c>
      <c r="X899" s="35">
        <f t="shared" si="86"/>
        <v>91290.329202310822</v>
      </c>
      <c r="Y899" s="35">
        <f t="shared" si="87"/>
        <v>26472.78250310666</v>
      </c>
      <c r="Z899" s="35">
        <f t="shared" si="88"/>
        <v>0</v>
      </c>
      <c r="AA899" s="35">
        <f t="shared" si="89"/>
        <v>1</v>
      </c>
      <c r="AB899" s="35">
        <f t="shared" si="90"/>
        <v>0</v>
      </c>
    </row>
    <row r="900" spans="1:28">
      <c r="A900" s="35">
        <v>889</v>
      </c>
      <c r="B900" s="35">
        <v>4.2983454723084422E-4</v>
      </c>
      <c r="C900" s="232">
        <v>58.8</v>
      </c>
      <c r="D900" s="35">
        <v>5.0605185727956323</v>
      </c>
      <c r="E900" s="232">
        <v>34.880000000000003</v>
      </c>
      <c r="F900" s="35">
        <v>5.0499181449576618</v>
      </c>
      <c r="G900" s="232">
        <v>11408.75</v>
      </c>
      <c r="H900" s="35">
        <v>8.8711082043644431</v>
      </c>
      <c r="I900" s="232">
        <v>13581.67</v>
      </c>
      <c r="J900" s="35">
        <v>8.6052901027841084</v>
      </c>
      <c r="K900" s="232">
        <v>11877.4</v>
      </c>
      <c r="L900" s="35">
        <v>8.6444847437546795</v>
      </c>
      <c r="M900" s="232">
        <v>37553.279999999999</v>
      </c>
      <c r="N900" s="35">
        <v>7.5969005105210652</v>
      </c>
      <c r="P900" s="232">
        <v>-23.92</v>
      </c>
      <c r="Q900" s="35">
        <v>1.060042783797055E-2</v>
      </c>
      <c r="R900" s="232">
        <v>2172.9299999999998</v>
      </c>
      <c r="S900" s="35">
        <v>0.2658181015803347</v>
      </c>
      <c r="T900" s="232">
        <v>25675.88</v>
      </c>
      <c r="U900" s="35">
        <v>1.0475842332336143</v>
      </c>
      <c r="W900" s="35">
        <f t="shared" si="85"/>
        <v>553.9413918985274</v>
      </c>
      <c r="X900" s="35">
        <f t="shared" si="86"/>
        <v>11117.975079016735</v>
      </c>
      <c r="Y900" s="35">
        <f t="shared" si="87"/>
        <v>26703.33166168071</v>
      </c>
      <c r="Z900" s="35">
        <f t="shared" si="88"/>
        <v>0</v>
      </c>
      <c r="AA900" s="35">
        <f t="shared" si="89"/>
        <v>0</v>
      </c>
      <c r="AB900" s="35">
        <f t="shared" si="90"/>
        <v>1</v>
      </c>
    </row>
    <row r="901" spans="1:28">
      <c r="A901" s="35">
        <v>890</v>
      </c>
      <c r="B901" s="35">
        <v>5.3012951491671068E-4</v>
      </c>
      <c r="C901" s="232">
        <v>100.97</v>
      </c>
      <c r="D901" s="35">
        <v>5.0638528130601719</v>
      </c>
      <c r="E901" s="232">
        <v>61.43</v>
      </c>
      <c r="F901" s="35">
        <v>5.0527548015078914</v>
      </c>
      <c r="G901" s="232">
        <v>14214.81</v>
      </c>
      <c r="H901" s="35">
        <v>8.4417732899923337</v>
      </c>
      <c r="I901" s="232">
        <v>14020.96</v>
      </c>
      <c r="J901" s="35">
        <v>7.2252238063759284</v>
      </c>
      <c r="K901" s="232">
        <v>20739.77</v>
      </c>
      <c r="L901" s="35">
        <v>8.4469798703655794</v>
      </c>
      <c r="M901" s="232">
        <v>47115.24</v>
      </c>
      <c r="N901" s="35">
        <v>7.3930566354690006</v>
      </c>
      <c r="P901" s="232">
        <v>-39.549999999999997</v>
      </c>
      <c r="Q901" s="35">
        <v>1.1098011552280518E-2</v>
      </c>
      <c r="R901" s="232">
        <v>-193.85</v>
      </c>
      <c r="S901" s="35">
        <v>1.2165494836164052</v>
      </c>
      <c r="T901" s="232">
        <v>26375.47</v>
      </c>
      <c r="U901" s="35">
        <v>1.0539232348965788</v>
      </c>
      <c r="W901" s="35">
        <f t="shared" si="85"/>
        <v>594.45057761402586</v>
      </c>
      <c r="X901" s="35">
        <f t="shared" si="86"/>
        <v>61021.324180820258</v>
      </c>
      <c r="Y901" s="35">
        <f t="shared" si="87"/>
        <v>26320.691744828939</v>
      </c>
      <c r="Z901" s="35">
        <f t="shared" si="88"/>
        <v>0</v>
      </c>
      <c r="AA901" s="35">
        <f t="shared" si="89"/>
        <v>1</v>
      </c>
      <c r="AB901" s="35">
        <f t="shared" si="90"/>
        <v>0</v>
      </c>
    </row>
    <row r="902" spans="1:28">
      <c r="A902" s="35">
        <v>891</v>
      </c>
      <c r="B902" s="35">
        <v>3.5694497490316909E-4</v>
      </c>
      <c r="C902" s="232">
        <v>55.23</v>
      </c>
      <c r="D902" s="35">
        <v>5.0560980090038559</v>
      </c>
      <c r="E902" s="232">
        <v>36.22</v>
      </c>
      <c r="F902" s="35">
        <v>5.0486350024263338</v>
      </c>
      <c r="G902" s="232">
        <v>11774.53</v>
      </c>
      <c r="H902" s="35">
        <v>8.4850004962617405</v>
      </c>
      <c r="I902" s="232">
        <v>13895.33</v>
      </c>
      <c r="J902" s="35">
        <v>8.3745025454802029</v>
      </c>
      <c r="K902" s="232">
        <v>14936.57</v>
      </c>
      <c r="L902" s="35">
        <v>8.5862675894384068</v>
      </c>
      <c r="M902" s="232">
        <v>41035.71</v>
      </c>
      <c r="N902" s="35">
        <v>7.4703356084668222</v>
      </c>
      <c r="P902" s="232">
        <v>-19.02</v>
      </c>
      <c r="Q902" s="35">
        <v>7.46300657752208E-3</v>
      </c>
      <c r="R902" s="232">
        <v>2120.8000000000002</v>
      </c>
      <c r="S902" s="35">
        <v>0.11049795078153757</v>
      </c>
      <c r="T902" s="232">
        <v>26099.15</v>
      </c>
      <c r="U902" s="35">
        <v>1.1159319809715846</v>
      </c>
      <c r="W902" s="35">
        <f t="shared" si="85"/>
        <v>392.17032887610401</v>
      </c>
      <c r="X902" s="35">
        <f t="shared" si="86"/>
        <v>3404.0975390768781</v>
      </c>
      <c r="Y902" s="35">
        <f t="shared" si="87"/>
        <v>29697.449048579234</v>
      </c>
      <c r="Z902" s="35">
        <f t="shared" si="88"/>
        <v>0</v>
      </c>
      <c r="AA902" s="35">
        <f t="shared" si="89"/>
        <v>0</v>
      </c>
      <c r="AB902" s="35">
        <f t="shared" si="90"/>
        <v>1</v>
      </c>
    </row>
    <row r="903" spans="1:28">
      <c r="A903" s="35">
        <v>892</v>
      </c>
      <c r="B903" s="35">
        <v>3.8731940266746714E-4</v>
      </c>
      <c r="C903" s="232">
        <v>60.3</v>
      </c>
      <c r="D903" s="35">
        <v>5.0602139540066249</v>
      </c>
      <c r="E903" s="232">
        <v>35.409999999999997</v>
      </c>
      <c r="F903" s="35">
        <v>5.0496557206122024</v>
      </c>
      <c r="G903" s="232">
        <v>12281.95</v>
      </c>
      <c r="H903" s="35">
        <v>9.5265834982013455</v>
      </c>
      <c r="I903" s="232">
        <v>13852.01</v>
      </c>
      <c r="J903" s="35">
        <v>8.5873555044949761</v>
      </c>
      <c r="K903" s="232">
        <v>13268.51</v>
      </c>
      <c r="L903" s="35">
        <v>8.7184667128580777</v>
      </c>
      <c r="M903" s="232">
        <v>39306.300000000003</v>
      </c>
      <c r="N903" s="35">
        <v>7.5987441040307449</v>
      </c>
      <c r="P903" s="232">
        <v>-24.9</v>
      </c>
      <c r="Q903" s="35">
        <v>1.0558233394422523E-2</v>
      </c>
      <c r="R903" s="232">
        <v>1570.06</v>
      </c>
      <c r="S903" s="35">
        <v>0.93922799370636945</v>
      </c>
      <c r="T903" s="232">
        <v>26037.79</v>
      </c>
      <c r="U903" s="35">
        <v>1.1197226088273329</v>
      </c>
      <c r="W903" s="35">
        <f t="shared" si="85"/>
        <v>552.81166972112612</v>
      </c>
      <c r="X903" s="35">
        <f t="shared" si="86"/>
        <v>45391.339685318475</v>
      </c>
      <c r="Y903" s="35">
        <f t="shared" si="87"/>
        <v>29948.340441366643</v>
      </c>
      <c r="Z903" s="35">
        <f t="shared" si="88"/>
        <v>0</v>
      </c>
      <c r="AA903" s="35">
        <f t="shared" si="89"/>
        <v>1</v>
      </c>
      <c r="AB903" s="35">
        <f t="shared" si="90"/>
        <v>0</v>
      </c>
    </row>
    <row r="904" spans="1:28">
      <c r="A904" s="35">
        <v>893</v>
      </c>
      <c r="B904" s="35">
        <v>5.2320500033498085E-4</v>
      </c>
      <c r="C904" s="232">
        <v>68.64</v>
      </c>
      <c r="D904" s="35">
        <v>5.0637489698291214</v>
      </c>
      <c r="E904" s="232">
        <v>43.02</v>
      </c>
      <c r="F904" s="35">
        <v>5.0527308724454718</v>
      </c>
      <c r="G904" s="232">
        <v>9513.27</v>
      </c>
      <c r="H904" s="35">
        <v>8.3115989398835239</v>
      </c>
      <c r="I904" s="232">
        <v>10115.92</v>
      </c>
      <c r="J904" s="35">
        <v>6.8416483930123082</v>
      </c>
      <c r="K904" s="232">
        <v>12223.71</v>
      </c>
      <c r="L904" s="35">
        <v>8.5961420591179785</v>
      </c>
      <c r="M904" s="232">
        <v>38221.230000000003</v>
      </c>
      <c r="N904" s="35">
        <v>7.4922830759331598</v>
      </c>
      <c r="P904" s="232">
        <v>-25.62</v>
      </c>
      <c r="Q904" s="35">
        <v>1.1018097383649561E-2</v>
      </c>
      <c r="R904" s="232">
        <v>602.64</v>
      </c>
      <c r="S904" s="35">
        <v>1.4699505468712157</v>
      </c>
      <c r="T904" s="232">
        <v>25997.52</v>
      </c>
      <c r="U904" s="35">
        <v>1.1038589831848187</v>
      </c>
      <c r="W904" s="35">
        <f t="shared" si="85"/>
        <v>576.52486918247803</v>
      </c>
      <c r="X904" s="35">
        <f t="shared" si="86"/>
        <v>72894.887343560782</v>
      </c>
      <c r="Y904" s="35">
        <f t="shared" si="87"/>
        <v>29195.429159240932</v>
      </c>
      <c r="Z904" s="35">
        <f t="shared" si="88"/>
        <v>0</v>
      </c>
      <c r="AA904" s="35">
        <f t="shared" si="89"/>
        <v>1</v>
      </c>
      <c r="AB904" s="35">
        <f t="shared" si="90"/>
        <v>0</v>
      </c>
    </row>
    <row r="905" spans="1:28">
      <c r="A905" s="35">
        <v>894</v>
      </c>
      <c r="B905" s="35">
        <v>5.2325224704086182E-4</v>
      </c>
      <c r="C905" s="232">
        <v>69.48</v>
      </c>
      <c r="D905" s="35">
        <v>5.0684464443662023</v>
      </c>
      <c r="E905" s="232">
        <v>44.69</v>
      </c>
      <c r="F905" s="35">
        <v>5.0559451057454838</v>
      </c>
      <c r="G905" s="232">
        <v>10143.76</v>
      </c>
      <c r="H905" s="35">
        <v>9.4421429926415925</v>
      </c>
      <c r="I905" s="232">
        <v>11031.51</v>
      </c>
      <c r="J905" s="35">
        <v>8.0483688027791658</v>
      </c>
      <c r="K905" s="232">
        <v>12359.14</v>
      </c>
      <c r="L905" s="35">
        <v>8.9865099948837361</v>
      </c>
      <c r="M905" s="232">
        <v>38353.800000000003</v>
      </c>
      <c r="N905" s="35">
        <v>7.9418712595941905</v>
      </c>
      <c r="P905" s="232">
        <v>-24.79</v>
      </c>
      <c r="Q905" s="35">
        <v>1.250133862071845E-2</v>
      </c>
      <c r="R905" s="232">
        <v>887.76</v>
      </c>
      <c r="S905" s="35">
        <v>1.3937741898624267</v>
      </c>
      <c r="T905" s="232">
        <v>25994.65</v>
      </c>
      <c r="U905" s="35">
        <v>1.0446387352895457</v>
      </c>
      <c r="W905" s="35">
        <f t="shared" si="85"/>
        <v>649.85693103592246</v>
      </c>
      <c r="X905" s="35">
        <f t="shared" si="86"/>
        <v>68800.949493121341</v>
      </c>
      <c r="Y905" s="35">
        <f t="shared" si="87"/>
        <v>26237.286764477278</v>
      </c>
      <c r="Z905" s="35">
        <f t="shared" si="88"/>
        <v>0</v>
      </c>
      <c r="AA905" s="35">
        <f t="shared" si="89"/>
        <v>1</v>
      </c>
      <c r="AB905" s="35">
        <f t="shared" si="90"/>
        <v>0</v>
      </c>
    </row>
    <row r="906" spans="1:28">
      <c r="A906" s="35">
        <v>895</v>
      </c>
      <c r="B906" s="35">
        <v>4.1742257067148476E-4</v>
      </c>
      <c r="C906" s="232">
        <v>65.28</v>
      </c>
      <c r="D906" s="35">
        <v>5.0628139097685905</v>
      </c>
      <c r="E906" s="232">
        <v>44.2</v>
      </c>
      <c r="F906" s="35">
        <v>5.0533817048101408</v>
      </c>
      <c r="G906" s="232">
        <v>12100.9</v>
      </c>
      <c r="H906" s="35">
        <v>9.5895060668144065</v>
      </c>
      <c r="I906" s="232">
        <v>12127.36</v>
      </c>
      <c r="J906" s="35">
        <v>7.9008556001421022</v>
      </c>
      <c r="K906" s="232">
        <v>16021</v>
      </c>
      <c r="L906" s="35">
        <v>8.9001692178203271</v>
      </c>
      <c r="M906" s="232">
        <v>41947.7</v>
      </c>
      <c r="N906" s="35">
        <v>7.8472260031132421</v>
      </c>
      <c r="P906" s="232">
        <v>-21.07</v>
      </c>
      <c r="Q906" s="35">
        <v>9.4322049584496526E-3</v>
      </c>
      <c r="R906" s="232">
        <v>26.46</v>
      </c>
      <c r="S906" s="35">
        <v>1.6886504666723043</v>
      </c>
      <c r="T906" s="232">
        <v>25926.71</v>
      </c>
      <c r="U906" s="35">
        <v>1.052943214707085</v>
      </c>
      <c r="W906" s="35">
        <f t="shared" si="85"/>
        <v>492.68024792248264</v>
      </c>
      <c r="X906" s="35">
        <f t="shared" si="86"/>
        <v>84406.06333361521</v>
      </c>
      <c r="Y906" s="35">
        <f t="shared" si="87"/>
        <v>26720.45073535425</v>
      </c>
      <c r="Z906" s="35">
        <f t="shared" si="88"/>
        <v>0</v>
      </c>
      <c r="AA906" s="35">
        <f t="shared" si="89"/>
        <v>1</v>
      </c>
      <c r="AB906" s="35">
        <f t="shared" si="90"/>
        <v>0</v>
      </c>
    </row>
    <row r="907" spans="1:28">
      <c r="A907" s="35">
        <v>896</v>
      </c>
      <c r="B907" s="35">
        <v>3.2011536363317624E-4</v>
      </c>
      <c r="C907" s="232">
        <v>49.63</v>
      </c>
      <c r="D907" s="35">
        <v>5.0529318191583954</v>
      </c>
      <c r="E907" s="232">
        <v>32.17</v>
      </c>
      <c r="F907" s="35">
        <v>5.0465450988156473</v>
      </c>
      <c r="G907" s="232">
        <v>11899.59</v>
      </c>
      <c r="H907" s="35">
        <v>8.1690826915696224</v>
      </c>
      <c r="I907" s="232">
        <v>12459.41</v>
      </c>
      <c r="J907" s="35">
        <v>7.0092016244208395</v>
      </c>
      <c r="K907" s="232">
        <v>17632.54</v>
      </c>
      <c r="L907" s="35">
        <v>8.2532265156071993</v>
      </c>
      <c r="M907" s="232">
        <v>43819.09</v>
      </c>
      <c r="N907" s="35">
        <v>7.2137702960255066</v>
      </c>
      <c r="P907" s="232">
        <v>-17.45</v>
      </c>
      <c r="Q907" s="35">
        <v>6.3867203427481201E-3</v>
      </c>
      <c r="R907" s="232">
        <v>559.82000000000005</v>
      </c>
      <c r="S907" s="35">
        <v>1.1598810671487829</v>
      </c>
      <c r="T907" s="232">
        <v>26186.55</v>
      </c>
      <c r="U907" s="35">
        <v>1.0394562195816928</v>
      </c>
      <c r="W907" s="35">
        <f t="shared" si="85"/>
        <v>336.78601713740596</v>
      </c>
      <c r="X907" s="35">
        <f t="shared" si="86"/>
        <v>57434.233357439145</v>
      </c>
      <c r="Y907" s="35">
        <f t="shared" si="87"/>
        <v>25786.260979084636</v>
      </c>
      <c r="Z907" s="35">
        <f t="shared" si="88"/>
        <v>0</v>
      </c>
      <c r="AA907" s="35">
        <f t="shared" si="89"/>
        <v>1</v>
      </c>
      <c r="AB907" s="35">
        <f t="shared" si="90"/>
        <v>0</v>
      </c>
    </row>
    <row r="908" spans="1:28">
      <c r="A908" s="35">
        <v>897</v>
      </c>
      <c r="B908" s="35">
        <v>3.4700675089208946E-4</v>
      </c>
      <c r="C908" s="232">
        <v>55.8</v>
      </c>
      <c r="D908" s="35">
        <v>5.0552955002424289</v>
      </c>
      <c r="E908" s="232">
        <v>36.340000000000003</v>
      </c>
      <c r="F908" s="35">
        <v>5.0480956075848269</v>
      </c>
      <c r="G908" s="232">
        <v>12419.09</v>
      </c>
      <c r="H908" s="35">
        <v>8.2663641772918801</v>
      </c>
      <c r="I908" s="232">
        <v>14116.89</v>
      </c>
      <c r="J908" s="35">
        <v>7.7541933280885802</v>
      </c>
      <c r="K908" s="232">
        <v>17077.419999999998</v>
      </c>
      <c r="L908" s="35">
        <v>8.77839365632191</v>
      </c>
      <c r="M908" s="232">
        <v>43466.63</v>
      </c>
      <c r="N908" s="35">
        <v>7.6591381484737715</v>
      </c>
      <c r="P908" s="232">
        <v>-19.46</v>
      </c>
      <c r="Q908" s="35">
        <v>7.1998926576020139E-3</v>
      </c>
      <c r="R908" s="232">
        <v>1697.8</v>
      </c>
      <c r="S908" s="35">
        <v>0.51217084920329992</v>
      </c>
      <c r="T908" s="232">
        <v>26389.21</v>
      </c>
      <c r="U908" s="35">
        <v>1.1192555078481385</v>
      </c>
      <c r="W908" s="35">
        <f t="shared" ref="W908:W971" si="91">$X$2*Q908-P908</f>
        <v>379.45463288010069</v>
      </c>
      <c r="X908" s="35">
        <f t="shared" ref="X908:X971" si="92">$X$2*S908-R908</f>
        <v>23910.742460164998</v>
      </c>
      <c r="Y908" s="35">
        <f t="shared" ref="Y908:Y971" si="93">$X$2*U908-T908</f>
        <v>29573.565392406927</v>
      </c>
      <c r="Z908" s="35">
        <f t="shared" ref="Z908:Z971" si="94">IF(W908=MAX($W908:$Y908), 1, 0)</f>
        <v>0</v>
      </c>
      <c r="AA908" s="35">
        <f t="shared" ref="AA908:AA971" si="95">IF(X908=MAX($W908:$Y908), 1, 0)</f>
        <v>0</v>
      </c>
      <c r="AB908" s="35">
        <f t="shared" ref="AB908:AB971" si="96">IF(Y908=MAX($W908:$Y908), 1, 0)</f>
        <v>1</v>
      </c>
    </row>
    <row r="909" spans="1:28">
      <c r="A909" s="35">
        <v>898</v>
      </c>
      <c r="B909" s="35">
        <v>4.3024420319780286E-4</v>
      </c>
      <c r="C909" s="232">
        <v>56.39</v>
      </c>
      <c r="D909" s="35">
        <v>5.0623219828059804</v>
      </c>
      <c r="E909" s="232">
        <v>34.880000000000003</v>
      </c>
      <c r="F909" s="35">
        <v>5.0514306476270372</v>
      </c>
      <c r="G909" s="232">
        <v>9542.43</v>
      </c>
      <c r="H909" s="35">
        <v>8.9986583361238672</v>
      </c>
      <c r="I909" s="232">
        <v>9717.82</v>
      </c>
      <c r="J909" s="35">
        <v>7.2742439613332524</v>
      </c>
      <c r="K909" s="232">
        <v>13154.99</v>
      </c>
      <c r="L909" s="35">
        <v>9.326214993800594</v>
      </c>
      <c r="M909" s="232">
        <v>39233.78</v>
      </c>
      <c r="N909" s="35">
        <v>8.1742589137617774</v>
      </c>
      <c r="P909" s="232">
        <v>-21.51</v>
      </c>
      <c r="Q909" s="35">
        <v>1.0891335178943251E-2</v>
      </c>
      <c r="R909" s="232">
        <v>175.39</v>
      </c>
      <c r="S909" s="35">
        <v>1.7244143747906149</v>
      </c>
      <c r="T909" s="232">
        <v>26078.78</v>
      </c>
      <c r="U909" s="35">
        <v>1.1519560800388167</v>
      </c>
      <c r="W909" s="35">
        <f t="shared" si="91"/>
        <v>566.07675894716249</v>
      </c>
      <c r="X909" s="35">
        <f t="shared" si="92"/>
        <v>86045.328739530742</v>
      </c>
      <c r="Y909" s="35">
        <f t="shared" si="93"/>
        <v>31519.024001940837</v>
      </c>
      <c r="Z909" s="35">
        <f t="shared" si="94"/>
        <v>0</v>
      </c>
      <c r="AA909" s="35">
        <f t="shared" si="95"/>
        <v>1</v>
      </c>
      <c r="AB909" s="35">
        <f t="shared" si="96"/>
        <v>0</v>
      </c>
    </row>
    <row r="910" spans="1:28">
      <c r="A910" s="35">
        <v>899</v>
      </c>
      <c r="B910" s="35">
        <v>4.3851997504298381E-4</v>
      </c>
      <c r="C910" s="232">
        <v>59.95</v>
      </c>
      <c r="D910" s="35">
        <v>5.0630202452070918</v>
      </c>
      <c r="E910" s="232">
        <v>35.86</v>
      </c>
      <c r="F910" s="35">
        <v>5.0514007708647011</v>
      </c>
      <c r="G910" s="232">
        <v>10558.2</v>
      </c>
      <c r="H910" s="35">
        <v>9.4185167107350516</v>
      </c>
      <c r="I910" s="232">
        <v>12458.34</v>
      </c>
      <c r="J910" s="35">
        <v>8.9574876412101734</v>
      </c>
      <c r="K910" s="232">
        <v>11541.05</v>
      </c>
      <c r="L910" s="35">
        <v>8.794717271140204</v>
      </c>
      <c r="M910" s="232">
        <v>37584.54</v>
      </c>
      <c r="N910" s="35">
        <v>7.6733689335024149</v>
      </c>
      <c r="P910" s="232">
        <v>-24.09</v>
      </c>
      <c r="Q910" s="35">
        <v>1.1619474342390745E-2</v>
      </c>
      <c r="R910" s="232">
        <v>1900.14</v>
      </c>
      <c r="S910" s="35">
        <v>0.46102906952487821</v>
      </c>
      <c r="T910" s="232">
        <v>26043.49</v>
      </c>
      <c r="U910" s="35">
        <v>1.1213483376377891</v>
      </c>
      <c r="W910" s="35">
        <f t="shared" si="91"/>
        <v>605.06371711953727</v>
      </c>
      <c r="X910" s="35">
        <f t="shared" si="92"/>
        <v>21151.313476243911</v>
      </c>
      <c r="Y910" s="35">
        <f t="shared" si="93"/>
        <v>30023.926881889452</v>
      </c>
      <c r="Z910" s="35">
        <f t="shared" si="94"/>
        <v>0</v>
      </c>
      <c r="AA910" s="35">
        <f t="shared" si="95"/>
        <v>0</v>
      </c>
      <c r="AB910" s="35">
        <f t="shared" si="96"/>
        <v>1</v>
      </c>
    </row>
    <row r="911" spans="1:28">
      <c r="A911" s="35">
        <v>900</v>
      </c>
      <c r="B911" s="35">
        <v>5.2077688514040599E-4</v>
      </c>
      <c r="C911" s="232">
        <v>63.63</v>
      </c>
      <c r="D911" s="35">
        <v>5.0640071885680715</v>
      </c>
      <c r="E911" s="232">
        <v>38.18</v>
      </c>
      <c r="F911" s="35">
        <v>5.0520688825474478</v>
      </c>
      <c r="G911" s="232">
        <v>10008.32</v>
      </c>
      <c r="H911" s="35">
        <v>8.5898057537063135</v>
      </c>
      <c r="I911" s="232">
        <v>11734.75</v>
      </c>
      <c r="J911" s="35">
        <v>7.0788211966105079</v>
      </c>
      <c r="K911" s="232">
        <v>11086.08</v>
      </c>
      <c r="L911" s="35">
        <v>8.3993215530768914</v>
      </c>
      <c r="M911" s="232">
        <v>37110.410000000003</v>
      </c>
      <c r="N911" s="35">
        <v>7.2568305178721948</v>
      </c>
      <c r="P911" s="232">
        <v>-25.46</v>
      </c>
      <c r="Q911" s="35">
        <v>1.1938306020623735E-2</v>
      </c>
      <c r="R911" s="232">
        <v>1726.43</v>
      </c>
      <c r="S911" s="35">
        <v>1.5109845570958056</v>
      </c>
      <c r="T911" s="232">
        <v>26024.33</v>
      </c>
      <c r="U911" s="35">
        <v>1.1424910352046966</v>
      </c>
      <c r="W911" s="35">
        <f t="shared" si="91"/>
        <v>622.37530103118672</v>
      </c>
      <c r="X911" s="35">
        <f t="shared" si="92"/>
        <v>73822.797854790289</v>
      </c>
      <c r="Y911" s="35">
        <f t="shared" si="93"/>
        <v>31100.221760234832</v>
      </c>
      <c r="Z911" s="35">
        <f t="shared" si="94"/>
        <v>0</v>
      </c>
      <c r="AA911" s="35">
        <f t="shared" si="95"/>
        <v>1</v>
      </c>
      <c r="AB911" s="35">
        <f t="shared" si="96"/>
        <v>0</v>
      </c>
    </row>
    <row r="912" spans="1:28">
      <c r="A912" s="35">
        <v>901</v>
      </c>
      <c r="B912" s="35">
        <v>3.0675757331725354E-4</v>
      </c>
      <c r="C912" s="232">
        <v>62.29</v>
      </c>
      <c r="D912" s="35">
        <v>5.0525112047035661</v>
      </c>
      <c r="E912" s="232">
        <v>32.229999999999997</v>
      </c>
      <c r="F912" s="35">
        <v>5.04461321413139</v>
      </c>
      <c r="G912" s="232">
        <v>15365.65</v>
      </c>
      <c r="H912" s="35">
        <v>8.2375050135653538</v>
      </c>
      <c r="I912" s="232">
        <v>14263.84</v>
      </c>
      <c r="J912" s="35">
        <v>6.6451876113678816</v>
      </c>
      <c r="K912" s="232">
        <v>23136.75</v>
      </c>
      <c r="L912" s="35">
        <v>8.510605664270626</v>
      </c>
      <c r="M912" s="232">
        <v>49622</v>
      </c>
      <c r="N912" s="35">
        <v>7.3961807926791803</v>
      </c>
      <c r="P912" s="232">
        <v>-30.05</v>
      </c>
      <c r="Q912" s="35">
        <v>7.8979905721761057E-3</v>
      </c>
      <c r="R912" s="232">
        <v>-1101.81</v>
      </c>
      <c r="S912" s="35">
        <v>1.5923174021974722</v>
      </c>
      <c r="T912" s="232">
        <v>26485.24</v>
      </c>
      <c r="U912" s="35">
        <v>1.1144248715914458</v>
      </c>
      <c r="W912" s="35">
        <f t="shared" si="91"/>
        <v>424.94952860880528</v>
      </c>
      <c r="X912" s="35">
        <f t="shared" si="92"/>
        <v>80717.680109873603</v>
      </c>
      <c r="Y912" s="35">
        <f t="shared" si="93"/>
        <v>29236.003579572283</v>
      </c>
      <c r="Z912" s="35">
        <f t="shared" si="94"/>
        <v>0</v>
      </c>
      <c r="AA912" s="35">
        <f t="shared" si="95"/>
        <v>1</v>
      </c>
      <c r="AB912" s="35">
        <f t="shared" si="96"/>
        <v>0</v>
      </c>
    </row>
    <row r="913" spans="1:28">
      <c r="A913" s="35">
        <v>902</v>
      </c>
      <c r="B913" s="35">
        <v>5.3590037352901909E-4</v>
      </c>
      <c r="C913" s="232">
        <v>84.59</v>
      </c>
      <c r="D913" s="35">
        <v>5.0669060572292688</v>
      </c>
      <c r="E913" s="232">
        <v>51.91</v>
      </c>
      <c r="F913" s="35">
        <v>5.0544539265185673</v>
      </c>
      <c r="G913" s="232">
        <v>12292.03</v>
      </c>
      <c r="H913" s="35">
        <v>9.0671105284241094</v>
      </c>
      <c r="I913" s="232">
        <v>13889.09</v>
      </c>
      <c r="J913" s="35">
        <v>8.1703661174410058</v>
      </c>
      <c r="K913" s="232">
        <v>13154.92</v>
      </c>
      <c r="L913" s="35">
        <v>8.6556488398075029</v>
      </c>
      <c r="M913" s="232">
        <v>39103.440000000002</v>
      </c>
      <c r="N913" s="35">
        <v>7.5416524251828525</v>
      </c>
      <c r="P913" s="232">
        <v>-32.67</v>
      </c>
      <c r="Q913" s="35">
        <v>1.2452130710701503E-2</v>
      </c>
      <c r="R913" s="232">
        <v>1597.06</v>
      </c>
      <c r="S913" s="35">
        <v>0.89674441098310353</v>
      </c>
      <c r="T913" s="232">
        <v>25948.52</v>
      </c>
      <c r="U913" s="35">
        <v>1.1139964146246504</v>
      </c>
      <c r="W913" s="35">
        <f t="shared" si="91"/>
        <v>655.27653553507514</v>
      </c>
      <c r="X913" s="35">
        <f t="shared" si="92"/>
        <v>43240.160549155182</v>
      </c>
      <c r="Y913" s="35">
        <f t="shared" si="93"/>
        <v>29751.300731232517</v>
      </c>
      <c r="Z913" s="35">
        <f t="shared" si="94"/>
        <v>0</v>
      </c>
      <c r="AA913" s="35">
        <f t="shared" si="95"/>
        <v>1</v>
      </c>
      <c r="AB913" s="35">
        <f t="shared" si="96"/>
        <v>0</v>
      </c>
    </row>
    <row r="914" spans="1:28">
      <c r="A914" s="35">
        <v>903</v>
      </c>
      <c r="B914" s="35">
        <v>3.9976920613975307E-4</v>
      </c>
      <c r="C914" s="232">
        <v>51.03</v>
      </c>
      <c r="D914" s="35">
        <v>5.058572530776682</v>
      </c>
      <c r="E914" s="232">
        <v>31.4</v>
      </c>
      <c r="F914" s="35">
        <v>5.0491476037436289</v>
      </c>
      <c r="G914" s="232">
        <v>9329.57</v>
      </c>
      <c r="H914" s="35">
        <v>8.607368981330568</v>
      </c>
      <c r="I914" s="232">
        <v>10534.97</v>
      </c>
      <c r="J914" s="35">
        <v>7.8204732271175308</v>
      </c>
      <c r="K914" s="232">
        <v>13604.94</v>
      </c>
      <c r="L914" s="35">
        <v>8.7179458824149112</v>
      </c>
      <c r="M914" s="232">
        <v>39698.76</v>
      </c>
      <c r="N914" s="35">
        <v>7.6283035656592473</v>
      </c>
      <c r="P914" s="232">
        <v>-19.63</v>
      </c>
      <c r="Q914" s="35">
        <v>9.4249270330530877E-3</v>
      </c>
      <c r="R914" s="232">
        <v>1205.4000000000001</v>
      </c>
      <c r="S914" s="35">
        <v>0.78689575421303726</v>
      </c>
      <c r="T914" s="232">
        <v>26093.83</v>
      </c>
      <c r="U914" s="35">
        <v>1.0896423167556639</v>
      </c>
      <c r="W914" s="35">
        <f t="shared" si="91"/>
        <v>490.87635165265436</v>
      </c>
      <c r="X914" s="35">
        <f t="shared" si="92"/>
        <v>38139.387710651863</v>
      </c>
      <c r="Y914" s="35">
        <f t="shared" si="93"/>
        <v>28388.285837783194</v>
      </c>
      <c r="Z914" s="35">
        <f t="shared" si="94"/>
        <v>0</v>
      </c>
      <c r="AA914" s="35">
        <f t="shared" si="95"/>
        <v>1</v>
      </c>
      <c r="AB914" s="35">
        <f t="shared" si="96"/>
        <v>0</v>
      </c>
    </row>
    <row r="915" spans="1:28">
      <c r="A915" s="35">
        <v>904</v>
      </c>
      <c r="B915" s="35">
        <v>4.1297860354614637E-4</v>
      </c>
      <c r="C915" s="232">
        <v>76.91</v>
      </c>
      <c r="D915" s="35">
        <v>5.0606509581016104</v>
      </c>
      <c r="E915" s="232">
        <v>42.59</v>
      </c>
      <c r="F915" s="35">
        <v>5.0494253637154012</v>
      </c>
      <c r="G915" s="232">
        <v>14794.66</v>
      </c>
      <c r="H915" s="35">
        <v>9.22661211787692</v>
      </c>
      <c r="I915" s="232">
        <v>15429.48</v>
      </c>
      <c r="J915" s="35">
        <v>7.9808240675817848</v>
      </c>
      <c r="K915" s="232">
        <v>18734.55</v>
      </c>
      <c r="L915" s="35">
        <v>8.5904567768705054</v>
      </c>
      <c r="M915" s="232">
        <v>44986.75</v>
      </c>
      <c r="N915" s="35">
        <v>7.4697242725686426</v>
      </c>
      <c r="P915" s="232">
        <v>-34.32</v>
      </c>
      <c r="Q915" s="35">
        <v>1.1225594386209181E-2</v>
      </c>
      <c r="R915" s="232">
        <v>634.82000000000005</v>
      </c>
      <c r="S915" s="35">
        <v>1.2457880502951353</v>
      </c>
      <c r="T915" s="232">
        <v>26252.2</v>
      </c>
      <c r="U915" s="35">
        <v>1.1207325043018628</v>
      </c>
      <c r="W915" s="35">
        <f t="shared" si="91"/>
        <v>595.59971931045914</v>
      </c>
      <c r="X915" s="35">
        <f t="shared" si="92"/>
        <v>61654.582514756767</v>
      </c>
      <c r="Y915" s="35">
        <f t="shared" si="93"/>
        <v>29784.425215093139</v>
      </c>
      <c r="Z915" s="35">
        <f t="shared" si="94"/>
        <v>0</v>
      </c>
      <c r="AA915" s="35">
        <f t="shared" si="95"/>
        <v>1</v>
      </c>
      <c r="AB915" s="35">
        <f t="shared" si="96"/>
        <v>0</v>
      </c>
    </row>
    <row r="916" spans="1:28">
      <c r="A916" s="35">
        <v>905</v>
      </c>
      <c r="B916" s="35">
        <v>4.2326728020368421E-4</v>
      </c>
      <c r="C916" s="232">
        <v>71.39</v>
      </c>
      <c r="D916" s="35">
        <v>5.058698433055274</v>
      </c>
      <c r="E916" s="232">
        <v>40.42</v>
      </c>
      <c r="F916" s="35">
        <v>5.0486194681398322</v>
      </c>
      <c r="G916" s="232">
        <v>13313.58</v>
      </c>
      <c r="H916" s="35">
        <v>8.6110890115383523</v>
      </c>
      <c r="I916" s="232">
        <v>14092.83</v>
      </c>
      <c r="J916" s="35">
        <v>7.4511812331935952</v>
      </c>
      <c r="K916" s="232">
        <v>17252.080000000002</v>
      </c>
      <c r="L916" s="35">
        <v>8.3602516599287942</v>
      </c>
      <c r="M916" s="232">
        <v>43427.46</v>
      </c>
      <c r="N916" s="35">
        <v>7.3830610331811526</v>
      </c>
      <c r="P916" s="232">
        <v>-30.96</v>
      </c>
      <c r="Q916" s="35">
        <v>1.0078964915441802E-2</v>
      </c>
      <c r="R916" s="232">
        <v>779.25</v>
      </c>
      <c r="S916" s="35">
        <v>1.1599077783447571</v>
      </c>
      <c r="T916" s="232">
        <v>26175.38</v>
      </c>
      <c r="U916" s="35">
        <v>0.97719062674764157</v>
      </c>
      <c r="W916" s="35">
        <f t="shared" si="91"/>
        <v>534.90824577209014</v>
      </c>
      <c r="X916" s="35">
        <f t="shared" si="92"/>
        <v>57216.138917237855</v>
      </c>
      <c r="Y916" s="35">
        <f t="shared" si="93"/>
        <v>22684.151337382074</v>
      </c>
      <c r="Z916" s="35">
        <f t="shared" si="94"/>
        <v>0</v>
      </c>
      <c r="AA916" s="35">
        <f t="shared" si="95"/>
        <v>1</v>
      </c>
      <c r="AB916" s="35">
        <f t="shared" si="96"/>
        <v>0</v>
      </c>
    </row>
    <row r="917" spans="1:28">
      <c r="A917" s="35">
        <v>906</v>
      </c>
      <c r="B917" s="35">
        <v>4.0581740845836424E-4</v>
      </c>
      <c r="C917" s="232">
        <v>69.16</v>
      </c>
      <c r="D917" s="35">
        <v>5.0582815736906479</v>
      </c>
      <c r="E917" s="232">
        <v>44.88</v>
      </c>
      <c r="F917" s="35">
        <v>5.0500551693340672</v>
      </c>
      <c r="G917" s="232">
        <v>13436</v>
      </c>
      <c r="H917" s="35">
        <v>8.5744101799238148</v>
      </c>
      <c r="I917" s="232">
        <v>13568.69</v>
      </c>
      <c r="J917" s="35">
        <v>6.5232842996562628</v>
      </c>
      <c r="K917" s="232">
        <v>16864.189999999999</v>
      </c>
      <c r="L917" s="35">
        <v>8.4370028860024995</v>
      </c>
      <c r="M917" s="232">
        <v>43053.57</v>
      </c>
      <c r="N917" s="35">
        <v>7.3768770222014037</v>
      </c>
      <c r="P917" s="232">
        <v>-24.28</v>
      </c>
      <c r="Q917" s="35">
        <v>8.2264043565807299E-3</v>
      </c>
      <c r="R917" s="232">
        <v>132.69</v>
      </c>
      <c r="S917" s="35">
        <v>2.051125880267552</v>
      </c>
      <c r="T917" s="232">
        <v>26189.38</v>
      </c>
      <c r="U917" s="35">
        <v>1.0601258638010957</v>
      </c>
      <c r="W917" s="35">
        <f t="shared" si="91"/>
        <v>435.60021782903652</v>
      </c>
      <c r="X917" s="35">
        <f t="shared" si="92"/>
        <v>102423.6040133776</v>
      </c>
      <c r="Y917" s="35">
        <f t="shared" si="93"/>
        <v>26816.913190054784</v>
      </c>
      <c r="Z917" s="35">
        <f t="shared" si="94"/>
        <v>0</v>
      </c>
      <c r="AA917" s="35">
        <f t="shared" si="95"/>
        <v>1</v>
      </c>
      <c r="AB917" s="35">
        <f t="shared" si="96"/>
        <v>0</v>
      </c>
    </row>
    <row r="918" spans="1:28">
      <c r="A918" s="35">
        <v>907</v>
      </c>
      <c r="B918" s="35">
        <v>3.7842880558646813E-4</v>
      </c>
      <c r="C918" s="232">
        <v>60.3</v>
      </c>
      <c r="D918" s="35">
        <v>5.059389446573296</v>
      </c>
      <c r="E918" s="232">
        <v>38.46</v>
      </c>
      <c r="F918" s="35">
        <v>5.0503106654994241</v>
      </c>
      <c r="G918" s="232">
        <v>12163.42</v>
      </c>
      <c r="H918" s="35">
        <v>9.3153725897503907</v>
      </c>
      <c r="I918" s="232">
        <v>11664.31</v>
      </c>
      <c r="J918" s="35">
        <v>7.5525196161645134</v>
      </c>
      <c r="K918" s="232">
        <v>16528.419999999998</v>
      </c>
      <c r="L918" s="35">
        <v>8.7454847262693782</v>
      </c>
      <c r="M918" s="232">
        <v>42521.24</v>
      </c>
      <c r="N918" s="35">
        <v>7.6959326109761328</v>
      </c>
      <c r="P918" s="232">
        <v>-21.84</v>
      </c>
      <c r="Q918" s="35">
        <v>9.0787810738719443E-3</v>
      </c>
      <c r="R918" s="232">
        <v>-499.11</v>
      </c>
      <c r="S918" s="35">
        <v>1.7628529735858773</v>
      </c>
      <c r="T918" s="232">
        <v>25992.82</v>
      </c>
      <c r="U918" s="35">
        <v>1.0495521152932454</v>
      </c>
      <c r="W918" s="35">
        <f t="shared" si="91"/>
        <v>475.77905369359718</v>
      </c>
      <c r="X918" s="35">
        <f t="shared" si="92"/>
        <v>88641.758679293867</v>
      </c>
      <c r="Y918" s="35">
        <f t="shared" si="93"/>
        <v>26484.785764662272</v>
      </c>
      <c r="Z918" s="35">
        <f t="shared" si="94"/>
        <v>0</v>
      </c>
      <c r="AA918" s="35">
        <f t="shared" si="95"/>
        <v>1</v>
      </c>
      <c r="AB918" s="35">
        <f t="shared" si="96"/>
        <v>0</v>
      </c>
    </row>
    <row r="919" spans="1:28">
      <c r="A919" s="35">
        <v>908</v>
      </c>
      <c r="B919" s="35">
        <v>6.4063907683820087E-4</v>
      </c>
      <c r="C919" s="232">
        <v>66.41</v>
      </c>
      <c r="D919" s="35">
        <v>5.0733935910233239</v>
      </c>
      <c r="E919" s="232">
        <v>38.99</v>
      </c>
      <c r="F919" s="35">
        <v>5.0567872199728106</v>
      </c>
      <c r="G919" s="232">
        <v>7982.72</v>
      </c>
      <c r="H919" s="35">
        <v>9.151748645740847</v>
      </c>
      <c r="I919" s="232">
        <v>9570.7900000000009</v>
      </c>
      <c r="J919" s="35">
        <v>7.9424081497408556</v>
      </c>
      <c r="K919" s="232">
        <v>8420.1299999999992</v>
      </c>
      <c r="L919" s="35">
        <v>8.8863989069246916</v>
      </c>
      <c r="M919" s="232">
        <v>34176.11</v>
      </c>
      <c r="N919" s="35">
        <v>7.8445516799752131</v>
      </c>
      <c r="P919" s="232">
        <v>-27.43</v>
      </c>
      <c r="Q919" s="35">
        <v>1.6606371050513324E-2</v>
      </c>
      <c r="R919" s="232">
        <v>1588.07</v>
      </c>
      <c r="S919" s="35">
        <v>1.2093404959999914</v>
      </c>
      <c r="T919" s="232">
        <v>25755.99</v>
      </c>
      <c r="U919" s="35">
        <v>1.0418472269494785</v>
      </c>
      <c r="W919" s="35">
        <f t="shared" si="91"/>
        <v>857.74855252566613</v>
      </c>
      <c r="X919" s="35">
        <f t="shared" si="92"/>
        <v>58878.95479999957</v>
      </c>
      <c r="Y919" s="35">
        <f t="shared" si="93"/>
        <v>26336.371347473923</v>
      </c>
      <c r="Z919" s="35">
        <f t="shared" si="94"/>
        <v>0</v>
      </c>
      <c r="AA919" s="35">
        <f t="shared" si="95"/>
        <v>1</v>
      </c>
      <c r="AB919" s="35">
        <f t="shared" si="96"/>
        <v>0</v>
      </c>
    </row>
    <row r="920" spans="1:28">
      <c r="A920" s="35">
        <v>909</v>
      </c>
      <c r="B920" s="35">
        <v>4.7835978937160739E-4</v>
      </c>
      <c r="C920" s="232">
        <v>88.17</v>
      </c>
      <c r="D920" s="35">
        <v>5.0639110806015308</v>
      </c>
      <c r="E920" s="232">
        <v>57.19</v>
      </c>
      <c r="F920" s="35">
        <v>5.0536971725558688</v>
      </c>
      <c r="G920" s="232">
        <v>13972.68</v>
      </c>
      <c r="H920" s="35">
        <v>9.0862631809182375</v>
      </c>
      <c r="I920" s="232">
        <v>14602.07</v>
      </c>
      <c r="J920" s="35">
        <v>7.8535463247138262</v>
      </c>
      <c r="K920" s="232">
        <v>16326.12</v>
      </c>
      <c r="L920" s="35">
        <v>8.5010826863401405</v>
      </c>
      <c r="M920" s="232">
        <v>42272</v>
      </c>
      <c r="N920" s="35">
        <v>7.371654516576891</v>
      </c>
      <c r="P920" s="232">
        <v>-30.99</v>
      </c>
      <c r="Q920" s="35">
        <v>1.0213908045662023E-2</v>
      </c>
      <c r="R920" s="232">
        <v>629.4</v>
      </c>
      <c r="S920" s="35">
        <v>1.2327168562044113</v>
      </c>
      <c r="T920" s="232">
        <v>25945.88</v>
      </c>
      <c r="U920" s="35">
        <v>1.1294281697632496</v>
      </c>
      <c r="W920" s="35">
        <f t="shared" si="91"/>
        <v>541.68540228310121</v>
      </c>
      <c r="X920" s="35">
        <f t="shared" si="92"/>
        <v>61006.442810220564</v>
      </c>
      <c r="Y920" s="35">
        <f t="shared" si="93"/>
        <v>30525.528488162479</v>
      </c>
      <c r="Z920" s="35">
        <f t="shared" si="94"/>
        <v>0</v>
      </c>
      <c r="AA920" s="35">
        <f t="shared" si="95"/>
        <v>1</v>
      </c>
      <c r="AB920" s="35">
        <f t="shared" si="96"/>
        <v>0</v>
      </c>
    </row>
    <row r="921" spans="1:28">
      <c r="A921" s="35">
        <v>910</v>
      </c>
      <c r="B921" s="35">
        <v>4.2655124316644813E-4</v>
      </c>
      <c r="C921" s="232">
        <v>76.239999999999995</v>
      </c>
      <c r="D921" s="35">
        <v>5.0612182407022281</v>
      </c>
      <c r="E921" s="232">
        <v>45.24</v>
      </c>
      <c r="F921" s="35">
        <v>5.0506248120891497</v>
      </c>
      <c r="G921" s="232">
        <v>14386.44</v>
      </c>
      <c r="H921" s="35">
        <v>9.1272334033077716</v>
      </c>
      <c r="I921" s="232">
        <v>14598.41</v>
      </c>
      <c r="J921" s="35">
        <v>7.2131844780270162</v>
      </c>
      <c r="K921" s="232">
        <v>18108.48</v>
      </c>
      <c r="L921" s="35">
        <v>8.5585091429037821</v>
      </c>
      <c r="M921" s="232">
        <v>44452.32</v>
      </c>
      <c r="N921" s="35">
        <v>7.3216767039089818</v>
      </c>
      <c r="P921" s="232">
        <v>-31</v>
      </c>
      <c r="Q921" s="35">
        <v>1.0593428613078437E-2</v>
      </c>
      <c r="R921" s="232">
        <v>211.96</v>
      </c>
      <c r="S921" s="35">
        <v>1.9140489252807553</v>
      </c>
      <c r="T921" s="232">
        <v>26343.84</v>
      </c>
      <c r="U921" s="35">
        <v>1.2368324389948002</v>
      </c>
      <c r="W921" s="35">
        <f t="shared" si="91"/>
        <v>560.6714306539219</v>
      </c>
      <c r="X921" s="35">
        <f t="shared" si="92"/>
        <v>95490.486264037754</v>
      </c>
      <c r="Y921" s="35">
        <f t="shared" si="93"/>
        <v>35497.781949740005</v>
      </c>
      <c r="Z921" s="35">
        <f t="shared" si="94"/>
        <v>0</v>
      </c>
      <c r="AA921" s="35">
        <f t="shared" si="95"/>
        <v>1</v>
      </c>
      <c r="AB921" s="35">
        <f t="shared" si="96"/>
        <v>0</v>
      </c>
    </row>
    <row r="922" spans="1:28">
      <c r="A922" s="35">
        <v>911</v>
      </c>
      <c r="B922" s="35">
        <v>4.1135889974127445E-4</v>
      </c>
      <c r="C922" s="232">
        <v>61.26</v>
      </c>
      <c r="D922" s="35">
        <v>5.0591325368216173</v>
      </c>
      <c r="E922" s="232">
        <v>39.229999999999997</v>
      </c>
      <c r="F922" s="35">
        <v>5.0502359347924184</v>
      </c>
      <c r="G922" s="232">
        <v>12260.23</v>
      </c>
      <c r="H922" s="35">
        <v>8.7791353355479647</v>
      </c>
      <c r="I922" s="232">
        <v>14062.85</v>
      </c>
      <c r="J922" s="35">
        <v>7.0949114038253507</v>
      </c>
      <c r="K922" s="232">
        <v>12807.02</v>
      </c>
      <c r="L922" s="35">
        <v>8.4093834621735333</v>
      </c>
      <c r="M922" s="232">
        <v>38749.75</v>
      </c>
      <c r="N922" s="35">
        <v>7.3222341823360546</v>
      </c>
      <c r="P922" s="232">
        <v>-22.03</v>
      </c>
      <c r="Q922" s="35">
        <v>8.8966020291989523E-3</v>
      </c>
      <c r="R922" s="232">
        <v>1802.62</v>
      </c>
      <c r="S922" s="35">
        <v>1.684223931722614</v>
      </c>
      <c r="T922" s="232">
        <v>25942.73</v>
      </c>
      <c r="U922" s="35">
        <v>1.0871492798374787</v>
      </c>
      <c r="W922" s="35">
        <f t="shared" si="91"/>
        <v>466.8601014599476</v>
      </c>
      <c r="X922" s="35">
        <f t="shared" si="92"/>
        <v>82408.576586130701</v>
      </c>
      <c r="Y922" s="35">
        <f t="shared" si="93"/>
        <v>28414.733991873934</v>
      </c>
      <c r="Z922" s="35">
        <f t="shared" si="94"/>
        <v>0</v>
      </c>
      <c r="AA922" s="35">
        <f t="shared" si="95"/>
        <v>1</v>
      </c>
      <c r="AB922" s="35">
        <f t="shared" si="96"/>
        <v>0</v>
      </c>
    </row>
    <row r="923" spans="1:28">
      <c r="A923" s="35">
        <v>912</v>
      </c>
      <c r="B923" s="35">
        <v>4.532384893977115E-4</v>
      </c>
      <c r="C923" s="232">
        <v>65.489999999999995</v>
      </c>
      <c r="D923" s="35">
        <v>5.0619883123614304</v>
      </c>
      <c r="E923" s="232">
        <v>38.28</v>
      </c>
      <c r="F923" s="35">
        <v>5.0506428832894334</v>
      </c>
      <c r="G923" s="232">
        <v>11178.14</v>
      </c>
      <c r="H923" s="35">
        <v>8.9258551863836306</v>
      </c>
      <c r="I923" s="232">
        <v>12134.78</v>
      </c>
      <c r="J923" s="35">
        <v>7.1588919539537494</v>
      </c>
      <c r="K923" s="232">
        <v>12122.69</v>
      </c>
      <c r="L923" s="35">
        <v>8.6710045232317636</v>
      </c>
      <c r="M923" s="232">
        <v>38171.440000000002</v>
      </c>
      <c r="N923" s="35">
        <v>7.6187581395462978</v>
      </c>
      <c r="P923" s="232">
        <v>-27.21</v>
      </c>
      <c r="Q923" s="35">
        <v>1.1345429071996982E-2</v>
      </c>
      <c r="R923" s="232">
        <v>956.64</v>
      </c>
      <c r="S923" s="35">
        <v>1.7669632324298812</v>
      </c>
      <c r="T923" s="232">
        <v>26048.75</v>
      </c>
      <c r="U923" s="35">
        <v>1.0522463836854659</v>
      </c>
      <c r="W923" s="35">
        <f t="shared" si="91"/>
        <v>594.48145359984915</v>
      </c>
      <c r="X923" s="35">
        <f t="shared" si="92"/>
        <v>87391.521621494059</v>
      </c>
      <c r="Y923" s="35">
        <f t="shared" si="93"/>
        <v>26563.569184273292</v>
      </c>
      <c r="Z923" s="35">
        <f t="shared" si="94"/>
        <v>0</v>
      </c>
      <c r="AA923" s="35">
        <f t="shared" si="95"/>
        <v>1</v>
      </c>
      <c r="AB923" s="35">
        <f t="shared" si="96"/>
        <v>0</v>
      </c>
    </row>
    <row r="924" spans="1:28">
      <c r="A924" s="35">
        <v>913</v>
      </c>
      <c r="B924" s="35">
        <v>4.003570038037814E-4</v>
      </c>
      <c r="C924" s="232">
        <v>74.11</v>
      </c>
      <c r="D924" s="35">
        <v>5.0601187433389425</v>
      </c>
      <c r="E924" s="232">
        <v>51.9</v>
      </c>
      <c r="F924" s="35">
        <v>5.0523682971269031</v>
      </c>
      <c r="G924" s="232">
        <v>14522.22</v>
      </c>
      <c r="H924" s="35">
        <v>9.2169035559481785</v>
      </c>
      <c r="I924" s="232">
        <v>15672.05</v>
      </c>
      <c r="J924" s="35">
        <v>7.9429499912252313</v>
      </c>
      <c r="K924" s="232">
        <v>16275.27</v>
      </c>
      <c r="L924" s="35">
        <v>8.3221465540102368</v>
      </c>
      <c r="M924" s="232">
        <v>42362.03</v>
      </c>
      <c r="N924" s="35">
        <v>7.1729678635353933</v>
      </c>
      <c r="P924" s="232">
        <v>-22.21</v>
      </c>
      <c r="Q924" s="35">
        <v>7.7504462120394635E-3</v>
      </c>
      <c r="R924" s="232">
        <v>1149.83</v>
      </c>
      <c r="S924" s="35">
        <v>1.2739535647229472</v>
      </c>
      <c r="T924" s="232">
        <v>26086.76</v>
      </c>
      <c r="U924" s="35">
        <v>1.1491786904748436</v>
      </c>
      <c r="W924" s="35">
        <f t="shared" si="91"/>
        <v>409.73231060197315</v>
      </c>
      <c r="X924" s="35">
        <f t="shared" si="92"/>
        <v>62547.848236147358</v>
      </c>
      <c r="Y924" s="35">
        <f t="shared" si="93"/>
        <v>31372.174523742182</v>
      </c>
      <c r="Z924" s="35">
        <f t="shared" si="94"/>
        <v>0</v>
      </c>
      <c r="AA924" s="35">
        <f t="shared" si="95"/>
        <v>1</v>
      </c>
      <c r="AB924" s="35">
        <f t="shared" si="96"/>
        <v>0</v>
      </c>
    </row>
    <row r="925" spans="1:28">
      <c r="A925" s="35">
        <v>914</v>
      </c>
      <c r="B925" s="35">
        <v>4.6491001032389345E-4</v>
      </c>
      <c r="C925" s="232">
        <v>77.37</v>
      </c>
      <c r="D925" s="35">
        <v>5.0622023964398721</v>
      </c>
      <c r="E925" s="232">
        <v>49.51</v>
      </c>
      <c r="F925" s="35">
        <v>5.0523088926894273</v>
      </c>
      <c r="G925" s="232">
        <v>12944.27</v>
      </c>
      <c r="H925" s="35">
        <v>8.8503057577320696</v>
      </c>
      <c r="I925" s="232">
        <v>14647.21</v>
      </c>
      <c r="J925" s="35">
        <v>8.3904549960595904</v>
      </c>
      <c r="K925" s="232">
        <v>16542.61</v>
      </c>
      <c r="L925" s="35">
        <v>8.396433933547863</v>
      </c>
      <c r="M925" s="232">
        <v>42730.51</v>
      </c>
      <c r="N925" s="35">
        <v>7.2708256396187165</v>
      </c>
      <c r="P925" s="232">
        <v>-27.86</v>
      </c>
      <c r="Q925" s="35">
        <v>9.8935037504448431E-3</v>
      </c>
      <c r="R925" s="232">
        <v>1702.94</v>
      </c>
      <c r="S925" s="35">
        <v>0.45985076167247918</v>
      </c>
      <c r="T925" s="232">
        <v>26187.9</v>
      </c>
      <c r="U925" s="35">
        <v>1.1256082939291465</v>
      </c>
      <c r="W925" s="35">
        <f t="shared" si="91"/>
        <v>522.53518752224215</v>
      </c>
      <c r="X925" s="35">
        <f t="shared" si="92"/>
        <v>21289.598083623961</v>
      </c>
      <c r="Y925" s="35">
        <f t="shared" si="93"/>
        <v>30092.514696457321</v>
      </c>
      <c r="Z925" s="35">
        <f t="shared" si="94"/>
        <v>0</v>
      </c>
      <c r="AA925" s="35">
        <f t="shared" si="95"/>
        <v>0</v>
      </c>
      <c r="AB925" s="35">
        <f t="shared" si="96"/>
        <v>1</v>
      </c>
    </row>
    <row r="926" spans="1:28">
      <c r="A926" s="35">
        <v>915</v>
      </c>
      <c r="B926" s="35">
        <v>4.6745537658876568E-4</v>
      </c>
      <c r="C926" s="232">
        <v>78.41</v>
      </c>
      <c r="D926" s="35">
        <v>5.0637507530268824</v>
      </c>
      <c r="E926" s="232">
        <v>44.05</v>
      </c>
      <c r="F926" s="35">
        <v>5.0512232154576271</v>
      </c>
      <c r="G926" s="232">
        <v>13547.07</v>
      </c>
      <c r="H926" s="35">
        <v>9.1843553957129931</v>
      </c>
      <c r="I926" s="232">
        <v>15133.84</v>
      </c>
      <c r="J926" s="35">
        <v>8.4589389261898607</v>
      </c>
      <c r="K926" s="232">
        <v>16714.919999999998</v>
      </c>
      <c r="L926" s="35">
        <v>8.6597538899864368</v>
      </c>
      <c r="M926" s="232">
        <v>42987.42</v>
      </c>
      <c r="N926" s="35">
        <v>7.485470346566899</v>
      </c>
      <c r="P926" s="232">
        <v>-34.36</v>
      </c>
      <c r="Q926" s="35">
        <v>1.2527537569255287E-2</v>
      </c>
      <c r="R926" s="232">
        <v>1586.77</v>
      </c>
      <c r="S926" s="35">
        <v>0.72541646952313243</v>
      </c>
      <c r="T926" s="232">
        <v>26272.51</v>
      </c>
      <c r="U926" s="35">
        <v>1.1742835434195378</v>
      </c>
      <c r="W926" s="35">
        <f t="shared" si="91"/>
        <v>660.73687846276437</v>
      </c>
      <c r="X926" s="35">
        <f t="shared" si="92"/>
        <v>34684.053476156623</v>
      </c>
      <c r="Y926" s="35">
        <f t="shared" si="93"/>
        <v>32441.667170976889</v>
      </c>
      <c r="Z926" s="35">
        <f t="shared" si="94"/>
        <v>0</v>
      </c>
      <c r="AA926" s="35">
        <f t="shared" si="95"/>
        <v>1</v>
      </c>
      <c r="AB926" s="35">
        <f t="shared" si="96"/>
        <v>0</v>
      </c>
    </row>
    <row r="927" spans="1:28">
      <c r="A927" s="35">
        <v>916</v>
      </c>
      <c r="B927" s="35">
        <v>5.6721073274201839E-4</v>
      </c>
      <c r="C927" s="232">
        <v>82.63</v>
      </c>
      <c r="D927" s="35">
        <v>5.0673921021470774</v>
      </c>
      <c r="E927" s="232">
        <v>51.03</v>
      </c>
      <c r="F927" s="35">
        <v>5.0548135808370604</v>
      </c>
      <c r="G927" s="232">
        <v>10724.74</v>
      </c>
      <c r="H927" s="35">
        <v>8.7184090522208777</v>
      </c>
      <c r="I927" s="232">
        <v>11059.31</v>
      </c>
      <c r="J927" s="35">
        <v>7.5742813812965943</v>
      </c>
      <c r="K927" s="232">
        <v>16228.31</v>
      </c>
      <c r="L927" s="35">
        <v>8.5947025711573257</v>
      </c>
      <c r="M927" s="232">
        <v>42467.01</v>
      </c>
      <c r="N927" s="35">
        <v>7.4864042243606237</v>
      </c>
      <c r="P927" s="232">
        <v>-31.6</v>
      </c>
      <c r="Q927" s="35">
        <v>1.257852131001691E-2</v>
      </c>
      <c r="R927" s="232">
        <v>334.57</v>
      </c>
      <c r="S927" s="35">
        <v>1.1441276709242834</v>
      </c>
      <c r="T927" s="232">
        <v>26238.7</v>
      </c>
      <c r="U927" s="35">
        <v>1.108298346796702</v>
      </c>
      <c r="W927" s="35">
        <f t="shared" si="91"/>
        <v>660.52606550084556</v>
      </c>
      <c r="X927" s="35">
        <f t="shared" si="92"/>
        <v>56871.813546214165</v>
      </c>
      <c r="Y927" s="35">
        <f t="shared" si="93"/>
        <v>29176.217339835104</v>
      </c>
      <c r="Z927" s="35">
        <f t="shared" si="94"/>
        <v>0</v>
      </c>
      <c r="AA927" s="35">
        <f t="shared" si="95"/>
        <v>1</v>
      </c>
      <c r="AB927" s="35">
        <f t="shared" si="96"/>
        <v>0</v>
      </c>
    </row>
    <row r="928" spans="1:28">
      <c r="A928" s="35">
        <v>917</v>
      </c>
      <c r="B928" s="35">
        <v>4.3752210413280929E-4</v>
      </c>
      <c r="C928" s="232">
        <v>61.6</v>
      </c>
      <c r="D928" s="35">
        <v>5.0604776032964542</v>
      </c>
      <c r="E928" s="232">
        <v>43.38</v>
      </c>
      <c r="F928" s="35">
        <v>5.0524659259882139</v>
      </c>
      <c r="G928" s="232">
        <v>11056.24</v>
      </c>
      <c r="H928" s="35">
        <v>8.4709378512189204</v>
      </c>
      <c r="I928" s="232">
        <v>12890.89</v>
      </c>
      <c r="J928" s="35">
        <v>7.2825723171509447</v>
      </c>
      <c r="K928" s="232">
        <v>11115.85</v>
      </c>
      <c r="L928" s="35">
        <v>8.8397348032268095</v>
      </c>
      <c r="M928" s="232">
        <v>36978.82</v>
      </c>
      <c r="N928" s="35">
        <v>7.7343539669131589</v>
      </c>
      <c r="P928" s="232">
        <v>-18.22</v>
      </c>
      <c r="Q928" s="35">
        <v>8.0116773082403725E-3</v>
      </c>
      <c r="R928" s="232">
        <v>1834.65</v>
      </c>
      <c r="S928" s="35">
        <v>1.1883655340679757</v>
      </c>
      <c r="T928" s="232">
        <v>25862.97</v>
      </c>
      <c r="U928" s="35">
        <v>1.1053808363136506</v>
      </c>
      <c r="W928" s="35">
        <f t="shared" si="91"/>
        <v>418.80386541201858</v>
      </c>
      <c r="X928" s="35">
        <f t="shared" si="92"/>
        <v>57583.626703398782</v>
      </c>
      <c r="Y928" s="35">
        <f t="shared" si="93"/>
        <v>29406.071815682531</v>
      </c>
      <c r="Z928" s="35">
        <f t="shared" si="94"/>
        <v>0</v>
      </c>
      <c r="AA928" s="35">
        <f t="shared" si="95"/>
        <v>1</v>
      </c>
      <c r="AB928" s="35">
        <f t="shared" si="96"/>
        <v>0</v>
      </c>
    </row>
    <row r="929" spans="1:28">
      <c r="A929" s="35">
        <v>918</v>
      </c>
      <c r="B929" s="35">
        <v>4.0107685515834073E-4</v>
      </c>
      <c r="C929" s="232">
        <v>53.3</v>
      </c>
      <c r="D929" s="35">
        <v>5.0583131057327764</v>
      </c>
      <c r="E929" s="232">
        <v>32.01</v>
      </c>
      <c r="F929" s="35">
        <v>5.0487660928765798</v>
      </c>
      <c r="G929" s="232">
        <v>10252.51</v>
      </c>
      <c r="H929" s="35">
        <v>8.7097762695741796</v>
      </c>
      <c r="I929" s="232">
        <v>11523.95</v>
      </c>
      <c r="J929" s="35">
        <v>7.7507938450274327</v>
      </c>
      <c r="K929" s="232">
        <v>12879.46</v>
      </c>
      <c r="L929" s="35">
        <v>8.4591931543532475</v>
      </c>
      <c r="M929" s="232">
        <v>38742.720000000001</v>
      </c>
      <c r="N929" s="35">
        <v>7.3806994174896268</v>
      </c>
      <c r="P929" s="232">
        <v>-21.29</v>
      </c>
      <c r="Q929" s="35">
        <v>9.547012856196524E-3</v>
      </c>
      <c r="R929" s="232">
        <v>1271.44</v>
      </c>
      <c r="S929" s="35">
        <v>0.95898242454674687</v>
      </c>
      <c r="T929" s="232">
        <v>25863.26</v>
      </c>
      <c r="U929" s="35">
        <v>1.0784937368636207</v>
      </c>
      <c r="W929" s="35">
        <f t="shared" si="91"/>
        <v>498.6406428098262</v>
      </c>
      <c r="X929" s="35">
        <f t="shared" si="92"/>
        <v>46677.681227337343</v>
      </c>
      <c r="Y929" s="35">
        <f t="shared" si="93"/>
        <v>28061.426843181038</v>
      </c>
      <c r="Z929" s="35">
        <f t="shared" si="94"/>
        <v>0</v>
      </c>
      <c r="AA929" s="35">
        <f t="shared" si="95"/>
        <v>1</v>
      </c>
      <c r="AB929" s="35">
        <f t="shared" si="96"/>
        <v>0</v>
      </c>
    </row>
    <row r="930" spans="1:28">
      <c r="A930" s="35">
        <v>919</v>
      </c>
      <c r="B930" s="35">
        <v>3.4133118568841083E-4</v>
      </c>
      <c r="C930" s="232">
        <v>45.51</v>
      </c>
      <c r="D930" s="35">
        <v>5.0588425519098914</v>
      </c>
      <c r="E930" s="232">
        <v>28.47</v>
      </c>
      <c r="F930" s="35">
        <v>5.0493237427839155</v>
      </c>
      <c r="G930" s="232">
        <v>10441.84</v>
      </c>
      <c r="H930" s="35">
        <v>9.7740847297429188</v>
      </c>
      <c r="I930" s="232">
        <v>12240.82</v>
      </c>
      <c r="J930" s="35">
        <v>9.085132352555803</v>
      </c>
      <c r="K930" s="232">
        <v>11584.59</v>
      </c>
      <c r="L930" s="35">
        <v>9.0864390210927386</v>
      </c>
      <c r="M930" s="232">
        <v>37635.67</v>
      </c>
      <c r="N930" s="35">
        <v>7.953483940264217</v>
      </c>
      <c r="P930" s="232">
        <v>-17.05</v>
      </c>
      <c r="Q930" s="35">
        <v>9.5188091259759133E-3</v>
      </c>
      <c r="R930" s="232">
        <v>1798.99</v>
      </c>
      <c r="S930" s="35">
        <v>0.68895237718711577</v>
      </c>
      <c r="T930" s="232">
        <v>26051.08</v>
      </c>
      <c r="U930" s="35">
        <v>1.1329550808285216</v>
      </c>
      <c r="W930" s="35">
        <f t="shared" si="91"/>
        <v>492.99045629879566</v>
      </c>
      <c r="X930" s="35">
        <f t="shared" si="92"/>
        <v>32648.628859355787</v>
      </c>
      <c r="Y930" s="35">
        <f t="shared" si="93"/>
        <v>30596.674041426078</v>
      </c>
      <c r="Z930" s="35">
        <f t="shared" si="94"/>
        <v>0</v>
      </c>
      <c r="AA930" s="35">
        <f t="shared" si="95"/>
        <v>1</v>
      </c>
      <c r="AB930" s="35">
        <f t="shared" si="96"/>
        <v>0</v>
      </c>
    </row>
    <row r="931" spans="1:28">
      <c r="A931" s="35">
        <v>920</v>
      </c>
      <c r="B931" s="35">
        <v>5.1179245835142329E-4</v>
      </c>
      <c r="C931" s="232">
        <v>74.72</v>
      </c>
      <c r="D931" s="35">
        <v>5.0672505314865575</v>
      </c>
      <c r="E931" s="232">
        <v>41.22</v>
      </c>
      <c r="F931" s="35">
        <v>5.0526621351793182</v>
      </c>
      <c r="G931" s="232">
        <v>11453.06</v>
      </c>
      <c r="H931" s="35">
        <v>9.4422697354116938</v>
      </c>
      <c r="I931" s="232">
        <v>12087</v>
      </c>
      <c r="J931" s="35">
        <v>7.8145557746035488</v>
      </c>
      <c r="K931" s="232">
        <v>13644.13</v>
      </c>
      <c r="L931" s="35">
        <v>9.0031786312057118</v>
      </c>
      <c r="M931" s="232">
        <v>39585.93</v>
      </c>
      <c r="N931" s="35">
        <v>7.9674214271798762</v>
      </c>
      <c r="P931" s="232">
        <v>-33.5</v>
      </c>
      <c r="Q931" s="35">
        <v>1.4588396307239293E-2</v>
      </c>
      <c r="R931" s="232">
        <v>633.95000000000005</v>
      </c>
      <c r="S931" s="35">
        <v>1.627713960808145</v>
      </c>
      <c r="T931" s="232">
        <v>25941.8</v>
      </c>
      <c r="U931" s="35">
        <v>1.0357572040258356</v>
      </c>
      <c r="W931" s="35">
        <f t="shared" si="91"/>
        <v>762.91981536196465</v>
      </c>
      <c r="X931" s="35">
        <f t="shared" si="92"/>
        <v>80751.748040407256</v>
      </c>
      <c r="Y931" s="35">
        <f t="shared" si="93"/>
        <v>25846.060201291777</v>
      </c>
      <c r="Z931" s="35">
        <f t="shared" si="94"/>
        <v>0</v>
      </c>
      <c r="AA931" s="35">
        <f t="shared" si="95"/>
        <v>1</v>
      </c>
      <c r="AB931" s="35">
        <f t="shared" si="96"/>
        <v>0</v>
      </c>
    </row>
    <row r="932" spans="1:28">
      <c r="A932" s="35">
        <v>921</v>
      </c>
      <c r="B932" s="35">
        <v>4.0276096334551545E-4</v>
      </c>
      <c r="C932" s="232">
        <v>72.11</v>
      </c>
      <c r="D932" s="35">
        <v>5.0580437200231847</v>
      </c>
      <c r="E932" s="232">
        <v>48.08</v>
      </c>
      <c r="F932" s="35">
        <v>5.050316179452178</v>
      </c>
      <c r="G932" s="232">
        <v>13105.03</v>
      </c>
      <c r="H932" s="35">
        <v>8.3495971088882097</v>
      </c>
      <c r="I932" s="232">
        <v>12339.07</v>
      </c>
      <c r="J932" s="35">
        <v>6.6472901914864133</v>
      </c>
      <c r="K932" s="232">
        <v>19268.939999999999</v>
      </c>
      <c r="L932" s="35">
        <v>8.6262964689769905</v>
      </c>
      <c r="M932" s="232">
        <v>45600.89</v>
      </c>
      <c r="N932" s="35">
        <v>7.4841601486603917</v>
      </c>
      <c r="P932" s="232">
        <v>-24.03</v>
      </c>
      <c r="Q932" s="35">
        <v>7.7275405710066636E-3</v>
      </c>
      <c r="R932" s="232">
        <v>-765.96</v>
      </c>
      <c r="S932" s="35">
        <v>1.7023069174017964</v>
      </c>
      <c r="T932" s="232">
        <v>26331.95</v>
      </c>
      <c r="U932" s="35">
        <v>1.1421363203165988</v>
      </c>
      <c r="W932" s="35">
        <f t="shared" si="91"/>
        <v>410.40702855033317</v>
      </c>
      <c r="X932" s="35">
        <f t="shared" si="92"/>
        <v>85881.305870089825</v>
      </c>
      <c r="Y932" s="35">
        <f t="shared" si="93"/>
        <v>30774.866015829943</v>
      </c>
      <c r="Z932" s="35">
        <f t="shared" si="94"/>
        <v>0</v>
      </c>
      <c r="AA932" s="35">
        <f t="shared" si="95"/>
        <v>1</v>
      </c>
      <c r="AB932" s="35">
        <f t="shared" si="96"/>
        <v>0</v>
      </c>
    </row>
    <row r="933" spans="1:28">
      <c r="A933" s="35">
        <v>922</v>
      </c>
      <c r="B933" s="35">
        <v>4.8736162026918883E-4</v>
      </c>
      <c r="C933" s="232">
        <v>72.55</v>
      </c>
      <c r="D933" s="35">
        <v>5.0648990542546146</v>
      </c>
      <c r="E933" s="232">
        <v>40.53</v>
      </c>
      <c r="F933" s="35">
        <v>5.0516281017523621</v>
      </c>
      <c r="G933" s="232">
        <v>11609.36</v>
      </c>
      <c r="H933" s="35">
        <v>9.1232190602791583</v>
      </c>
      <c r="I933" s="232">
        <v>12224.01</v>
      </c>
      <c r="J933" s="35">
        <v>7.9144789575400898</v>
      </c>
      <c r="K933" s="232">
        <v>16538.259999999998</v>
      </c>
      <c r="L933" s="35">
        <v>8.9958339842982227</v>
      </c>
      <c r="M933" s="232">
        <v>42813.01</v>
      </c>
      <c r="N933" s="35">
        <v>7.9679312594528726</v>
      </c>
      <c r="P933" s="232">
        <v>-32.020000000000003</v>
      </c>
      <c r="Q933" s="35">
        <v>1.327095250225252E-2</v>
      </c>
      <c r="R933" s="232">
        <v>614.65</v>
      </c>
      <c r="S933" s="35">
        <v>1.2087401027390685</v>
      </c>
      <c r="T933" s="232">
        <v>26274.75</v>
      </c>
      <c r="U933" s="35">
        <v>1.0279027248453501</v>
      </c>
      <c r="W933" s="35">
        <f t="shared" si="91"/>
        <v>695.56762511262593</v>
      </c>
      <c r="X933" s="35">
        <f t="shared" si="92"/>
        <v>59822.355136953425</v>
      </c>
      <c r="Y933" s="35">
        <f t="shared" si="93"/>
        <v>25120.386242267501</v>
      </c>
      <c r="Z933" s="35">
        <f t="shared" si="94"/>
        <v>0</v>
      </c>
      <c r="AA933" s="35">
        <f t="shared" si="95"/>
        <v>1</v>
      </c>
      <c r="AB933" s="35">
        <f t="shared" si="96"/>
        <v>0</v>
      </c>
    </row>
    <row r="934" spans="1:28">
      <c r="A934" s="35">
        <v>923</v>
      </c>
      <c r="B934" s="35">
        <v>5.7485149712310779E-4</v>
      </c>
      <c r="C934" s="232">
        <v>65.209999999999994</v>
      </c>
      <c r="D934" s="35">
        <v>5.0712268995797887</v>
      </c>
      <c r="E934" s="232">
        <v>40.090000000000003</v>
      </c>
      <c r="F934" s="35">
        <v>5.056523664562981</v>
      </c>
      <c r="G934" s="232">
        <v>9073.02</v>
      </c>
      <c r="H934" s="35">
        <v>9.3060419148380387</v>
      </c>
      <c r="I934" s="232">
        <v>10728.3</v>
      </c>
      <c r="J934" s="35">
        <v>7.7385344401829919</v>
      </c>
      <c r="K934" s="232">
        <v>9671.34</v>
      </c>
      <c r="L934" s="35">
        <v>9.1394142352350229</v>
      </c>
      <c r="M934" s="232">
        <v>35491.129999999997</v>
      </c>
      <c r="N934" s="35">
        <v>8.075395861525589</v>
      </c>
      <c r="P934" s="232">
        <v>-25.12</v>
      </c>
      <c r="Q934" s="35">
        <v>1.4703235016807703E-2</v>
      </c>
      <c r="R934" s="232">
        <v>1655.28</v>
      </c>
      <c r="S934" s="35">
        <v>1.5675074746550468</v>
      </c>
      <c r="T934" s="232">
        <v>25819.79</v>
      </c>
      <c r="U934" s="35">
        <v>1.064018373709434</v>
      </c>
      <c r="W934" s="35">
        <f t="shared" si="91"/>
        <v>760.28175084038514</v>
      </c>
      <c r="X934" s="35">
        <f t="shared" si="92"/>
        <v>76720.093732752342</v>
      </c>
      <c r="Y934" s="35">
        <f t="shared" si="93"/>
        <v>27381.128685471696</v>
      </c>
      <c r="Z934" s="35">
        <f t="shared" si="94"/>
        <v>0</v>
      </c>
      <c r="AA934" s="35">
        <f t="shared" si="95"/>
        <v>1</v>
      </c>
      <c r="AB934" s="35">
        <f t="shared" si="96"/>
        <v>0</v>
      </c>
    </row>
    <row r="935" spans="1:28">
      <c r="A935" s="35">
        <v>924</v>
      </c>
      <c r="B935" s="35">
        <v>5.8347852821216684E-4</v>
      </c>
      <c r="C935" s="232">
        <v>78.900000000000006</v>
      </c>
      <c r="D935" s="35">
        <v>5.0709118660421986</v>
      </c>
      <c r="E935" s="232">
        <v>56.01</v>
      </c>
      <c r="F935" s="35">
        <v>5.0598095668992364</v>
      </c>
      <c r="G935" s="232">
        <v>10319.549999999999</v>
      </c>
      <c r="H935" s="35">
        <v>8.8277326522872457</v>
      </c>
      <c r="I935" s="232">
        <v>11791.94</v>
      </c>
      <c r="J935" s="35">
        <v>7.1899309120446286</v>
      </c>
      <c r="K935" s="232">
        <v>10922.1</v>
      </c>
      <c r="L935" s="35">
        <v>9.3557828535812977</v>
      </c>
      <c r="M935" s="232">
        <v>36874.51</v>
      </c>
      <c r="N935" s="35">
        <v>8.3431802273993796</v>
      </c>
      <c r="P935" s="232">
        <v>-22.89</v>
      </c>
      <c r="Q935" s="35">
        <v>1.1102299142962124E-2</v>
      </c>
      <c r="R935" s="232">
        <v>1472.39</v>
      </c>
      <c r="S935" s="35">
        <v>1.637801740242617</v>
      </c>
      <c r="T935" s="232">
        <v>25952.400000000001</v>
      </c>
      <c r="U935" s="35">
        <v>1.0126026261819181</v>
      </c>
      <c r="W935" s="35">
        <f t="shared" si="91"/>
        <v>578.0049571481062</v>
      </c>
      <c r="X935" s="35">
        <f t="shared" si="92"/>
        <v>80417.697012130855</v>
      </c>
      <c r="Y935" s="35">
        <f t="shared" si="93"/>
        <v>24677.731309095907</v>
      </c>
      <c r="Z935" s="35">
        <f t="shared" si="94"/>
        <v>0</v>
      </c>
      <c r="AA935" s="35">
        <f t="shared" si="95"/>
        <v>1</v>
      </c>
      <c r="AB935" s="35">
        <f t="shared" si="96"/>
        <v>0</v>
      </c>
    </row>
    <row r="936" spans="1:28">
      <c r="A936" s="35">
        <v>925</v>
      </c>
      <c r="B936" s="35">
        <v>4.5265024331708759E-4</v>
      </c>
      <c r="C936" s="232">
        <v>75.34</v>
      </c>
      <c r="D936" s="35">
        <v>5.065824455523404</v>
      </c>
      <c r="E936" s="232">
        <v>49.51</v>
      </c>
      <c r="F936" s="35">
        <v>5.0549003897924267</v>
      </c>
      <c r="G936" s="232">
        <v>12922.73</v>
      </c>
      <c r="H936" s="35">
        <v>9.4485112296375391</v>
      </c>
      <c r="I936" s="232">
        <v>14673.07</v>
      </c>
      <c r="J936" s="35">
        <v>8.527293734468028</v>
      </c>
      <c r="K936" s="232">
        <v>13472.36</v>
      </c>
      <c r="L936" s="35">
        <v>9.7329523845660368</v>
      </c>
      <c r="M936" s="232">
        <v>39409.879999999997</v>
      </c>
      <c r="N936" s="35">
        <v>8.6196980242888657</v>
      </c>
      <c r="P936" s="232">
        <v>-25.83</v>
      </c>
      <c r="Q936" s="35">
        <v>1.0924065730977262E-2</v>
      </c>
      <c r="R936" s="232">
        <v>1750.34</v>
      </c>
      <c r="S936" s="35">
        <v>0.92121749516951112</v>
      </c>
      <c r="T936" s="232">
        <v>25937.52</v>
      </c>
      <c r="U936" s="35">
        <v>1.1132543602771712</v>
      </c>
      <c r="W936" s="35">
        <f t="shared" si="91"/>
        <v>572.03328654886309</v>
      </c>
      <c r="X936" s="35">
        <f t="shared" si="92"/>
        <v>44310.534758475558</v>
      </c>
      <c r="Y936" s="35">
        <f t="shared" si="93"/>
        <v>29725.19801385856</v>
      </c>
      <c r="Z936" s="35">
        <f t="shared" si="94"/>
        <v>0</v>
      </c>
      <c r="AA936" s="35">
        <f t="shared" si="95"/>
        <v>1</v>
      </c>
      <c r="AB936" s="35">
        <f t="shared" si="96"/>
        <v>0</v>
      </c>
    </row>
    <row r="937" spans="1:28">
      <c r="A937" s="35">
        <v>926</v>
      </c>
      <c r="B937" s="35">
        <v>4.7886137466268686E-4</v>
      </c>
      <c r="C937" s="232">
        <v>62.8</v>
      </c>
      <c r="D937" s="35">
        <v>5.0622903452590942</v>
      </c>
      <c r="E937" s="232">
        <v>40.840000000000003</v>
      </c>
      <c r="F937" s="35">
        <v>5.0523463203129602</v>
      </c>
      <c r="G937" s="232">
        <v>9817.99</v>
      </c>
      <c r="H937" s="35">
        <v>8.5439193860121883</v>
      </c>
      <c r="I937" s="232">
        <v>10784.49</v>
      </c>
      <c r="J937" s="35">
        <v>7.5420002479972945</v>
      </c>
      <c r="K937" s="232">
        <v>14295.89</v>
      </c>
      <c r="L937" s="35">
        <v>8.5920253978439938</v>
      </c>
      <c r="M937" s="232">
        <v>40277.58</v>
      </c>
      <c r="N937" s="35">
        <v>7.5594203741989974</v>
      </c>
      <c r="P937" s="232">
        <v>-21.96</v>
      </c>
      <c r="Q937" s="35">
        <v>9.9440249461340002E-3</v>
      </c>
      <c r="R937" s="232">
        <v>966.51</v>
      </c>
      <c r="S937" s="35">
        <v>1.0019191380148937</v>
      </c>
      <c r="T937" s="232">
        <v>25981.69</v>
      </c>
      <c r="U937" s="35">
        <v>1.0326050236449964</v>
      </c>
      <c r="W937" s="35">
        <f t="shared" si="91"/>
        <v>519.16124730670003</v>
      </c>
      <c r="X937" s="35">
        <f t="shared" si="92"/>
        <v>49129.446900744682</v>
      </c>
      <c r="Y937" s="35">
        <f t="shared" si="93"/>
        <v>25648.561182249821</v>
      </c>
      <c r="Z937" s="35">
        <f t="shared" si="94"/>
        <v>0</v>
      </c>
      <c r="AA937" s="35">
        <f t="shared" si="95"/>
        <v>1</v>
      </c>
      <c r="AB937" s="35">
        <f t="shared" si="96"/>
        <v>0</v>
      </c>
    </row>
    <row r="938" spans="1:28">
      <c r="A938" s="35">
        <v>927</v>
      </c>
      <c r="B938" s="35">
        <v>4.4412420317671542E-4</v>
      </c>
      <c r="C938" s="232">
        <v>68.19</v>
      </c>
      <c r="D938" s="35">
        <v>5.0630134153430921</v>
      </c>
      <c r="E938" s="232">
        <v>42.7</v>
      </c>
      <c r="F938" s="35">
        <v>5.0522842643490247</v>
      </c>
      <c r="G938" s="232">
        <v>12566.57</v>
      </c>
      <c r="H938" s="35">
        <v>9.1212516462349598</v>
      </c>
      <c r="I938" s="232">
        <v>14054.41</v>
      </c>
      <c r="J938" s="35">
        <v>7.2986175708177239</v>
      </c>
      <c r="K938" s="232">
        <v>14202.45</v>
      </c>
      <c r="L938" s="35">
        <v>8.9810702856339901</v>
      </c>
      <c r="M938" s="232">
        <v>40326.089999999997</v>
      </c>
      <c r="N938" s="35">
        <v>7.8801742654921734</v>
      </c>
      <c r="P938" s="232">
        <v>-25.5</v>
      </c>
      <c r="Q938" s="35">
        <v>1.072915099406746E-2</v>
      </c>
      <c r="R938" s="232">
        <v>1487.84</v>
      </c>
      <c r="S938" s="35">
        <v>1.8226340754172359</v>
      </c>
      <c r="T938" s="232">
        <v>26123.64</v>
      </c>
      <c r="U938" s="35">
        <v>1.1008960201418168</v>
      </c>
      <c r="W938" s="35">
        <f t="shared" si="91"/>
        <v>561.95754970337305</v>
      </c>
      <c r="X938" s="35">
        <f t="shared" si="92"/>
        <v>89643.863770861804</v>
      </c>
      <c r="Y938" s="35">
        <f t="shared" si="93"/>
        <v>28921.161007090835</v>
      </c>
      <c r="Z938" s="35">
        <f t="shared" si="94"/>
        <v>0</v>
      </c>
      <c r="AA938" s="35">
        <f t="shared" si="95"/>
        <v>1</v>
      </c>
      <c r="AB938" s="35">
        <f t="shared" si="96"/>
        <v>0</v>
      </c>
    </row>
    <row r="939" spans="1:28">
      <c r="A939" s="35">
        <v>928</v>
      </c>
      <c r="B939" s="35">
        <v>5.2205826423912249E-4</v>
      </c>
      <c r="C939" s="232">
        <v>69.739999999999995</v>
      </c>
      <c r="D939" s="35">
        <v>5.0655511967577311</v>
      </c>
      <c r="E939" s="232">
        <v>44.51</v>
      </c>
      <c r="F939" s="35">
        <v>5.0541028645517319</v>
      </c>
      <c r="G939" s="232">
        <v>10061.120000000001</v>
      </c>
      <c r="H939" s="35">
        <v>8.9571377676568265</v>
      </c>
      <c r="I939" s="232">
        <v>12052.36</v>
      </c>
      <c r="J939" s="35">
        <v>8.7377591600243782</v>
      </c>
      <c r="K939" s="232">
        <v>12743.77</v>
      </c>
      <c r="L939" s="35">
        <v>8.3623123564677186</v>
      </c>
      <c r="M939" s="232">
        <v>38781.1</v>
      </c>
      <c r="N939" s="35">
        <v>7.206170212148483</v>
      </c>
      <c r="P939" s="232">
        <v>-25.23</v>
      </c>
      <c r="Q939" s="35">
        <v>1.1448332205999279E-2</v>
      </c>
      <c r="R939" s="232">
        <v>1991.23</v>
      </c>
      <c r="S939" s="35">
        <v>0.21937860763244821</v>
      </c>
      <c r="T939" s="232">
        <v>26037.33</v>
      </c>
      <c r="U939" s="35">
        <v>1.1561421443192357</v>
      </c>
      <c r="W939" s="35">
        <f t="shared" si="91"/>
        <v>597.64661029996398</v>
      </c>
      <c r="X939" s="35">
        <f t="shared" si="92"/>
        <v>8977.7003816224114</v>
      </c>
      <c r="Y939" s="35">
        <f t="shared" si="93"/>
        <v>31769.777215961782</v>
      </c>
      <c r="Z939" s="35">
        <f t="shared" si="94"/>
        <v>0</v>
      </c>
      <c r="AA939" s="35">
        <f t="shared" si="95"/>
        <v>0</v>
      </c>
      <c r="AB939" s="35">
        <f t="shared" si="96"/>
        <v>1</v>
      </c>
    </row>
    <row r="940" spans="1:28">
      <c r="A940" s="35">
        <v>929</v>
      </c>
      <c r="B940" s="35">
        <v>4.9610038867031747E-4</v>
      </c>
      <c r="C940" s="232">
        <v>68.63</v>
      </c>
      <c r="D940" s="35">
        <v>5.062700321301258</v>
      </c>
      <c r="E940" s="232">
        <v>39.950000000000003</v>
      </c>
      <c r="F940" s="35">
        <v>5.051022313929793</v>
      </c>
      <c r="G940" s="232">
        <v>11333.36</v>
      </c>
      <c r="H940" s="35">
        <v>8.7104808009146826</v>
      </c>
      <c r="I940" s="232">
        <v>12974.07</v>
      </c>
      <c r="J940" s="35">
        <v>7.1663236879156811</v>
      </c>
      <c r="K940" s="232">
        <v>12277.09</v>
      </c>
      <c r="L940" s="35">
        <v>8.3759288414860453</v>
      </c>
      <c r="M940" s="232">
        <v>38347.230000000003</v>
      </c>
      <c r="N940" s="35">
        <v>7.3790402919573124</v>
      </c>
      <c r="P940" s="232">
        <v>-28.68</v>
      </c>
      <c r="Q940" s="35">
        <v>1.1678007371465071E-2</v>
      </c>
      <c r="R940" s="232">
        <v>1640.71</v>
      </c>
      <c r="S940" s="35">
        <v>1.5441571129990015</v>
      </c>
      <c r="T940" s="232">
        <v>26070.13</v>
      </c>
      <c r="U940" s="35">
        <v>0.99688854952873296</v>
      </c>
      <c r="W940" s="35">
        <f t="shared" si="91"/>
        <v>612.58036857325351</v>
      </c>
      <c r="X940" s="35">
        <f t="shared" si="92"/>
        <v>75567.145649950064</v>
      </c>
      <c r="Y940" s="35">
        <f t="shared" si="93"/>
        <v>23774.297476436648</v>
      </c>
      <c r="Z940" s="35">
        <f t="shared" si="94"/>
        <v>0</v>
      </c>
      <c r="AA940" s="35">
        <f t="shared" si="95"/>
        <v>1</v>
      </c>
      <c r="AB940" s="35">
        <f t="shared" si="96"/>
        <v>0</v>
      </c>
    </row>
    <row r="941" spans="1:28">
      <c r="A941" s="35">
        <v>930</v>
      </c>
      <c r="B941" s="35">
        <v>3.1093549304588779E-4</v>
      </c>
      <c r="C941" s="232">
        <v>48.84</v>
      </c>
      <c r="D941" s="35">
        <v>5.05504140545235</v>
      </c>
      <c r="E941" s="232">
        <v>30.18</v>
      </c>
      <c r="F941" s="35">
        <v>5.0472180395820798</v>
      </c>
      <c r="G941" s="232">
        <v>12785.62</v>
      </c>
      <c r="H941" s="35">
        <v>9.1064974145914501</v>
      </c>
      <c r="I941" s="232">
        <v>14584.45</v>
      </c>
      <c r="J941" s="35">
        <v>7.8842187020618688</v>
      </c>
      <c r="K941" s="232">
        <v>13384.19</v>
      </c>
      <c r="L941" s="35">
        <v>8.9033787739549339</v>
      </c>
      <c r="M941" s="232">
        <v>39384.15</v>
      </c>
      <c r="N941" s="35">
        <v>7.8668928325618923</v>
      </c>
      <c r="P941" s="232">
        <v>-18.649999999999999</v>
      </c>
      <c r="Q941" s="35">
        <v>7.8233658702702158E-3</v>
      </c>
      <c r="R941" s="232">
        <v>1798.82</v>
      </c>
      <c r="S941" s="35">
        <v>1.2222787125295813</v>
      </c>
      <c r="T941" s="232">
        <v>25999.96</v>
      </c>
      <c r="U941" s="35">
        <v>1.0364859413930416</v>
      </c>
      <c r="W941" s="35">
        <f t="shared" si="91"/>
        <v>409.81829351351075</v>
      </c>
      <c r="X941" s="35">
        <f t="shared" si="92"/>
        <v>59315.115626479062</v>
      </c>
      <c r="Y941" s="35">
        <f t="shared" si="93"/>
        <v>25824.33706965208</v>
      </c>
      <c r="Z941" s="35">
        <f t="shared" si="94"/>
        <v>0</v>
      </c>
      <c r="AA941" s="35">
        <f t="shared" si="95"/>
        <v>1</v>
      </c>
      <c r="AB941" s="35">
        <f t="shared" si="96"/>
        <v>0</v>
      </c>
    </row>
    <row r="942" spans="1:28">
      <c r="A942" s="35">
        <v>931</v>
      </c>
      <c r="B942" s="35">
        <v>4.5278477826304897E-4</v>
      </c>
      <c r="C942" s="232">
        <v>62.91</v>
      </c>
      <c r="D942" s="35">
        <v>5.0604611287057137</v>
      </c>
      <c r="E942" s="232">
        <v>42.06</v>
      </c>
      <c r="F942" s="35">
        <v>5.051678340988679</v>
      </c>
      <c r="G942" s="232">
        <v>10689.48</v>
      </c>
      <c r="H942" s="35">
        <v>8.3044581138864793</v>
      </c>
      <c r="I942" s="232">
        <v>11827.23</v>
      </c>
      <c r="J942" s="35">
        <v>6.9814960716494596</v>
      </c>
      <c r="K942" s="232">
        <v>13506.28</v>
      </c>
      <c r="L942" s="35">
        <v>8.7367952477256008</v>
      </c>
      <c r="M942" s="232">
        <v>39621.69</v>
      </c>
      <c r="N942" s="35">
        <v>7.6680780076518555</v>
      </c>
      <c r="P942" s="232">
        <v>-20.85</v>
      </c>
      <c r="Q942" s="35">
        <v>8.782787717034779E-3</v>
      </c>
      <c r="R942" s="232">
        <v>1137.75</v>
      </c>
      <c r="S942" s="35">
        <v>1.3229620422370196</v>
      </c>
      <c r="T942" s="232">
        <v>26115.41</v>
      </c>
      <c r="U942" s="35">
        <v>1.0687172400737452</v>
      </c>
      <c r="W942" s="35">
        <f t="shared" si="91"/>
        <v>459.98938585173897</v>
      </c>
      <c r="X942" s="35">
        <f t="shared" si="92"/>
        <v>65010.352111850982</v>
      </c>
      <c r="Y942" s="35">
        <f t="shared" si="93"/>
        <v>27320.45200368726</v>
      </c>
      <c r="Z942" s="35">
        <f t="shared" si="94"/>
        <v>0</v>
      </c>
      <c r="AA942" s="35">
        <f t="shared" si="95"/>
        <v>1</v>
      </c>
      <c r="AB942" s="35">
        <f t="shared" si="96"/>
        <v>0</v>
      </c>
    </row>
    <row r="943" spans="1:28">
      <c r="A943" s="35">
        <v>932</v>
      </c>
      <c r="B943" s="35">
        <v>4.2649876375035206E-4</v>
      </c>
      <c r="C943" s="232">
        <v>59.04</v>
      </c>
      <c r="D943" s="35">
        <v>5.0589864718314503</v>
      </c>
      <c r="E943" s="232">
        <v>41.04</v>
      </c>
      <c r="F943" s="35">
        <v>5.0512588208829712</v>
      </c>
      <c r="G943" s="232">
        <v>10386.6</v>
      </c>
      <c r="H943" s="35">
        <v>8.470042981501912</v>
      </c>
      <c r="I943" s="232">
        <v>11628.87</v>
      </c>
      <c r="J943" s="35">
        <v>7.3014411805344102</v>
      </c>
      <c r="K943" s="232">
        <v>11743.42</v>
      </c>
      <c r="L943" s="35">
        <v>8.359103758452612</v>
      </c>
      <c r="M943" s="232">
        <v>37653.839999999997</v>
      </c>
      <c r="N943" s="35">
        <v>7.3063155840141372</v>
      </c>
      <c r="P943" s="232">
        <v>-17.989999999999998</v>
      </c>
      <c r="Q943" s="35">
        <v>7.7276509484791589E-3</v>
      </c>
      <c r="R943" s="232">
        <v>1242.26</v>
      </c>
      <c r="S943" s="35">
        <v>1.1686018009675019</v>
      </c>
      <c r="T943" s="232">
        <v>25910.43</v>
      </c>
      <c r="U943" s="35">
        <v>1.0527881744384748</v>
      </c>
      <c r="W943" s="35">
        <f t="shared" si="91"/>
        <v>404.37254742395794</v>
      </c>
      <c r="X943" s="35">
        <f t="shared" si="92"/>
        <v>57187.830048375094</v>
      </c>
      <c r="Y943" s="35">
        <f t="shared" si="93"/>
        <v>26728.978721923741</v>
      </c>
      <c r="Z943" s="35">
        <f t="shared" si="94"/>
        <v>0</v>
      </c>
      <c r="AA943" s="35">
        <f t="shared" si="95"/>
        <v>1</v>
      </c>
      <c r="AB943" s="35">
        <f t="shared" si="96"/>
        <v>0</v>
      </c>
    </row>
    <row r="944" spans="1:28">
      <c r="A944" s="35">
        <v>933</v>
      </c>
      <c r="B944" s="35">
        <v>3.3351655524822496E-4</v>
      </c>
      <c r="C944" s="232">
        <v>49.11</v>
      </c>
      <c r="D944" s="35">
        <v>5.0574221134733222</v>
      </c>
      <c r="E944" s="232">
        <v>31.68</v>
      </c>
      <c r="F944" s="35">
        <v>5.0490475666865775</v>
      </c>
      <c r="G944" s="232">
        <v>11759.85</v>
      </c>
      <c r="H944" s="35">
        <v>9.3600225311678269</v>
      </c>
      <c r="I944" s="232">
        <v>13486.42</v>
      </c>
      <c r="J944" s="35">
        <v>8.357302978738991</v>
      </c>
      <c r="K944" s="232">
        <v>12904.76</v>
      </c>
      <c r="L944" s="35">
        <v>9.0534805485896399</v>
      </c>
      <c r="M944" s="232">
        <v>38938.839999999997</v>
      </c>
      <c r="N944" s="35">
        <v>7.8663042470730637</v>
      </c>
      <c r="P944" s="232">
        <v>-17.43</v>
      </c>
      <c r="Q944" s="35">
        <v>8.3745467867446521E-3</v>
      </c>
      <c r="R944" s="232">
        <v>1726.57</v>
      </c>
      <c r="S944" s="35">
        <v>1.0027195524288359</v>
      </c>
      <c r="T944" s="232">
        <v>26034.080000000002</v>
      </c>
      <c r="U944" s="35">
        <v>1.1871763015165762</v>
      </c>
      <c r="W944" s="35">
        <f t="shared" si="91"/>
        <v>436.1573393372326</v>
      </c>
      <c r="X944" s="35">
        <f t="shared" si="92"/>
        <v>48409.407621441795</v>
      </c>
      <c r="Y944" s="35">
        <f t="shared" si="93"/>
        <v>33324.735075828808</v>
      </c>
      <c r="Z944" s="35">
        <f t="shared" si="94"/>
        <v>0</v>
      </c>
      <c r="AA944" s="35">
        <f t="shared" si="95"/>
        <v>1</v>
      </c>
      <c r="AB944" s="35">
        <f t="shared" si="96"/>
        <v>0</v>
      </c>
    </row>
    <row r="945" spans="1:28">
      <c r="A945" s="35">
        <v>934</v>
      </c>
      <c r="B945" s="35">
        <v>4.2565439831193164E-4</v>
      </c>
      <c r="C945" s="232">
        <v>91.16</v>
      </c>
      <c r="D945" s="35">
        <v>5.0603491433443653</v>
      </c>
      <c r="E945" s="232">
        <v>57.12</v>
      </c>
      <c r="F945" s="35">
        <v>5.0510717384229729</v>
      </c>
      <c r="G945" s="232">
        <v>16998.8</v>
      </c>
      <c r="H945" s="35">
        <v>8.9477339117709569</v>
      </c>
      <c r="I945" s="232">
        <v>18186.97</v>
      </c>
      <c r="J945" s="35">
        <v>8.1257419560196809</v>
      </c>
      <c r="K945" s="232">
        <v>20928.97</v>
      </c>
      <c r="L945" s="35">
        <v>8.4302829111572741</v>
      </c>
      <c r="M945" s="232">
        <v>47195.06</v>
      </c>
      <c r="N945" s="35">
        <v>7.3563653362963031</v>
      </c>
      <c r="P945" s="232">
        <v>-34.04</v>
      </c>
      <c r="Q945" s="35">
        <v>9.2774049213923959E-3</v>
      </c>
      <c r="R945" s="232">
        <v>1188.1600000000001</v>
      </c>
      <c r="S945" s="35">
        <v>0.82199195575127604</v>
      </c>
      <c r="T945" s="232">
        <v>26266.1</v>
      </c>
      <c r="U945" s="35">
        <v>1.0739175748609711</v>
      </c>
      <c r="W945" s="35">
        <f t="shared" si="91"/>
        <v>497.9102460696198</v>
      </c>
      <c r="X945" s="35">
        <f t="shared" si="92"/>
        <v>39911.437787563802</v>
      </c>
      <c r="Y945" s="35">
        <f t="shared" si="93"/>
        <v>27429.778743048555</v>
      </c>
      <c r="Z945" s="35">
        <f t="shared" si="94"/>
        <v>0</v>
      </c>
      <c r="AA945" s="35">
        <f t="shared" si="95"/>
        <v>1</v>
      </c>
      <c r="AB945" s="35">
        <f t="shared" si="96"/>
        <v>0</v>
      </c>
    </row>
    <row r="946" spans="1:28">
      <c r="A946" s="35">
        <v>935</v>
      </c>
      <c r="B946" s="35">
        <v>4.6158362881132398E-4</v>
      </c>
      <c r="C946" s="232">
        <v>56.88</v>
      </c>
      <c r="D946" s="35">
        <v>5.0614940761727318</v>
      </c>
      <c r="E946" s="232">
        <v>37</v>
      </c>
      <c r="F946" s="35">
        <v>5.0517364065993631</v>
      </c>
      <c r="G946" s="232">
        <v>8972.2999999999993</v>
      </c>
      <c r="H946" s="35">
        <v>8.4454526915351771</v>
      </c>
      <c r="I946" s="232">
        <v>9262.15</v>
      </c>
      <c r="J946" s="35">
        <v>6.7554659523263378</v>
      </c>
      <c r="K946" s="232">
        <v>12730.59</v>
      </c>
      <c r="L946" s="35">
        <v>8.6484820542301364</v>
      </c>
      <c r="M946" s="232">
        <v>38784.300000000003</v>
      </c>
      <c r="N946" s="35">
        <v>7.510977692452605</v>
      </c>
      <c r="P946" s="232">
        <v>-19.88</v>
      </c>
      <c r="Q946" s="35">
        <v>9.7576695733687657E-3</v>
      </c>
      <c r="R946" s="232">
        <v>289.85000000000002</v>
      </c>
      <c r="S946" s="35">
        <v>1.6899867392088392</v>
      </c>
      <c r="T946" s="232">
        <v>26053.71</v>
      </c>
      <c r="U946" s="35">
        <v>1.1375043617775313</v>
      </c>
      <c r="W946" s="35">
        <f t="shared" si="91"/>
        <v>507.76347866843827</v>
      </c>
      <c r="X946" s="35">
        <f t="shared" si="92"/>
        <v>84209.486960441951</v>
      </c>
      <c r="Y946" s="35">
        <f t="shared" si="93"/>
        <v>30821.508088876566</v>
      </c>
      <c r="Z946" s="35">
        <f t="shared" si="94"/>
        <v>0</v>
      </c>
      <c r="AA946" s="35">
        <f t="shared" si="95"/>
        <v>1</v>
      </c>
      <c r="AB946" s="35">
        <f t="shared" si="96"/>
        <v>0</v>
      </c>
    </row>
    <row r="947" spans="1:28">
      <c r="A947" s="35">
        <v>936</v>
      </c>
      <c r="B947" s="35">
        <v>4.6983003377221166E-4</v>
      </c>
      <c r="C947" s="232">
        <v>63.84</v>
      </c>
      <c r="D947" s="35">
        <v>5.0620483355922827</v>
      </c>
      <c r="E947" s="232">
        <v>43.17</v>
      </c>
      <c r="F947" s="35">
        <v>5.052850980413587</v>
      </c>
      <c r="G947" s="232">
        <v>10048.049999999999</v>
      </c>
      <c r="H947" s="35">
        <v>8.5102866676561018</v>
      </c>
      <c r="I947" s="232">
        <v>10986.68</v>
      </c>
      <c r="J947" s="35">
        <v>7.4309481966368862</v>
      </c>
      <c r="K947" s="232">
        <v>14078.17</v>
      </c>
      <c r="L947" s="35">
        <v>8.6291520624782674</v>
      </c>
      <c r="M947" s="232">
        <v>40223.230000000003</v>
      </c>
      <c r="N947" s="35">
        <v>7.5559255918053321</v>
      </c>
      <c r="P947" s="232">
        <v>-20.67</v>
      </c>
      <c r="Q947" s="35">
        <v>9.1973551786956875E-3</v>
      </c>
      <c r="R947" s="232">
        <v>938.63</v>
      </c>
      <c r="S947" s="35">
        <v>1.0793384710192155</v>
      </c>
      <c r="T947" s="232">
        <v>26145.07</v>
      </c>
      <c r="U947" s="35">
        <v>1.0732264706729353</v>
      </c>
      <c r="W947" s="35">
        <f t="shared" si="91"/>
        <v>480.53775893478439</v>
      </c>
      <c r="X947" s="35">
        <f t="shared" si="92"/>
        <v>53028.293550960778</v>
      </c>
      <c r="Y947" s="35">
        <f t="shared" si="93"/>
        <v>27516.253533646763</v>
      </c>
      <c r="Z947" s="35">
        <f t="shared" si="94"/>
        <v>0</v>
      </c>
      <c r="AA947" s="35">
        <f t="shared" si="95"/>
        <v>1</v>
      </c>
      <c r="AB947" s="35">
        <f t="shared" si="96"/>
        <v>0</v>
      </c>
    </row>
    <row r="948" spans="1:28">
      <c r="A948" s="35">
        <v>937</v>
      </c>
      <c r="B948" s="35">
        <v>4.911037080865821E-4</v>
      </c>
      <c r="C948" s="232">
        <v>61.57</v>
      </c>
      <c r="D948" s="35">
        <v>5.0604015212479254</v>
      </c>
      <c r="E948" s="232">
        <v>37.520000000000003</v>
      </c>
      <c r="F948" s="35">
        <v>5.0502803528317415</v>
      </c>
      <c r="G948" s="232">
        <v>9275.0400000000009</v>
      </c>
      <c r="H948" s="35">
        <v>7.9697862812230831</v>
      </c>
      <c r="I948" s="232">
        <v>10360.870000000001</v>
      </c>
      <c r="J948" s="35">
        <v>6.8807339531347669</v>
      </c>
      <c r="K948" s="232">
        <v>12464.3</v>
      </c>
      <c r="L948" s="35">
        <v>8.3608881693455395</v>
      </c>
      <c r="M948" s="232">
        <v>38453.629999999997</v>
      </c>
      <c r="N948" s="35">
        <v>7.2695638348461875</v>
      </c>
      <c r="P948" s="232">
        <v>-24.06</v>
      </c>
      <c r="Q948" s="35">
        <v>1.0121168416183934E-2</v>
      </c>
      <c r="R948" s="232">
        <v>1085.83</v>
      </c>
      <c r="S948" s="35">
        <v>1.0890523280883162</v>
      </c>
      <c r="T948" s="232">
        <v>25989.33</v>
      </c>
      <c r="U948" s="35">
        <v>1.091324334499352</v>
      </c>
      <c r="W948" s="35">
        <f t="shared" si="91"/>
        <v>530.11842080919666</v>
      </c>
      <c r="X948" s="35">
        <f t="shared" si="92"/>
        <v>53366.786404415805</v>
      </c>
      <c r="Y948" s="35">
        <f t="shared" si="93"/>
        <v>28576.886724967597</v>
      </c>
      <c r="Z948" s="35">
        <f t="shared" si="94"/>
        <v>0</v>
      </c>
      <c r="AA948" s="35">
        <f t="shared" si="95"/>
        <v>1</v>
      </c>
      <c r="AB948" s="35">
        <f t="shared" si="96"/>
        <v>0</v>
      </c>
    </row>
    <row r="949" spans="1:28">
      <c r="A949" s="35">
        <v>938</v>
      </c>
      <c r="B949" s="35">
        <v>4.5259160160471268E-4</v>
      </c>
      <c r="C949" s="232">
        <v>82.4</v>
      </c>
      <c r="D949" s="35">
        <v>5.0618668376521159</v>
      </c>
      <c r="E949" s="232">
        <v>50.73</v>
      </c>
      <c r="F949" s="35">
        <v>5.0515969840234796</v>
      </c>
      <c r="G949" s="232">
        <v>14530.86</v>
      </c>
      <c r="H949" s="35">
        <v>8.9168681049709129</v>
      </c>
      <c r="I949" s="232">
        <v>15076.92</v>
      </c>
      <c r="J949" s="35">
        <v>7.2774223081377496</v>
      </c>
      <c r="K949" s="232">
        <v>17747.71</v>
      </c>
      <c r="L949" s="35">
        <v>8.5739683079634812</v>
      </c>
      <c r="M949" s="232">
        <v>43940.08</v>
      </c>
      <c r="N949" s="35">
        <v>7.4738521161052667</v>
      </c>
      <c r="P949" s="232">
        <v>-31.68</v>
      </c>
      <c r="Q949" s="35">
        <v>1.0269853628636305E-2</v>
      </c>
      <c r="R949" s="232">
        <v>546.05999999999995</v>
      </c>
      <c r="S949" s="35">
        <v>1.6394457968331633</v>
      </c>
      <c r="T949" s="232">
        <v>26192.37</v>
      </c>
      <c r="U949" s="35">
        <v>1.1001161918582145</v>
      </c>
      <c r="W949" s="35">
        <f t="shared" si="91"/>
        <v>545.17268143181525</v>
      </c>
      <c r="X949" s="35">
        <f t="shared" si="92"/>
        <v>81426.229841658162</v>
      </c>
      <c r="Y949" s="35">
        <f t="shared" si="93"/>
        <v>28813.43959291073</v>
      </c>
      <c r="Z949" s="35">
        <f t="shared" si="94"/>
        <v>0</v>
      </c>
      <c r="AA949" s="35">
        <f t="shared" si="95"/>
        <v>1</v>
      </c>
      <c r="AB949" s="35">
        <f t="shared" si="96"/>
        <v>0</v>
      </c>
    </row>
    <row r="950" spans="1:28">
      <c r="A950" s="35">
        <v>939</v>
      </c>
      <c r="B950" s="35">
        <v>4.7419918515134718E-4</v>
      </c>
      <c r="C950" s="232">
        <v>60.47</v>
      </c>
      <c r="D950" s="35">
        <v>5.0624864192338643</v>
      </c>
      <c r="E950" s="232">
        <v>37.44</v>
      </c>
      <c r="F950" s="35">
        <v>5.0516441772778276</v>
      </c>
      <c r="G950" s="232">
        <v>9785.76</v>
      </c>
      <c r="H950" s="35">
        <v>8.5870788259919095</v>
      </c>
      <c r="I950" s="232">
        <v>10917.67</v>
      </c>
      <c r="J950" s="35">
        <v>6.9743880729812053</v>
      </c>
      <c r="K950" s="232">
        <v>11225.78</v>
      </c>
      <c r="L950" s="35">
        <v>8.9463347629173882</v>
      </c>
      <c r="M950" s="232">
        <v>37153.85</v>
      </c>
      <c r="N950" s="35">
        <v>8.0004795224074652</v>
      </c>
      <c r="P950" s="232">
        <v>-23.03</v>
      </c>
      <c r="Q950" s="35">
        <v>1.084224195603678E-2</v>
      </c>
      <c r="R950" s="232">
        <v>1131.9100000000001</v>
      </c>
      <c r="S950" s="35">
        <v>1.6126907530107042</v>
      </c>
      <c r="T950" s="232">
        <v>25928.07</v>
      </c>
      <c r="U950" s="35">
        <v>0.94585524050992298</v>
      </c>
      <c r="W950" s="35">
        <f t="shared" si="91"/>
        <v>565.14209780183899</v>
      </c>
      <c r="X950" s="35">
        <f t="shared" si="92"/>
        <v>79502.6276505352</v>
      </c>
      <c r="Y950" s="35">
        <f t="shared" si="93"/>
        <v>21364.692025496151</v>
      </c>
      <c r="Z950" s="35">
        <f t="shared" si="94"/>
        <v>0</v>
      </c>
      <c r="AA950" s="35">
        <f t="shared" si="95"/>
        <v>1</v>
      </c>
      <c r="AB950" s="35">
        <f t="shared" si="96"/>
        <v>0</v>
      </c>
    </row>
    <row r="951" spans="1:28">
      <c r="A951" s="35">
        <v>940</v>
      </c>
      <c r="B951" s="35">
        <v>4.0954416560488508E-4</v>
      </c>
      <c r="C951" s="232">
        <v>65.099999999999994</v>
      </c>
      <c r="D951" s="35">
        <v>5.0572884661552289</v>
      </c>
      <c r="E951" s="232">
        <v>40</v>
      </c>
      <c r="F951" s="35">
        <v>5.048730763552955</v>
      </c>
      <c r="G951" s="232">
        <v>11302.2</v>
      </c>
      <c r="H951" s="35">
        <v>8.2170720630845278</v>
      </c>
      <c r="I951" s="232">
        <v>12504.25</v>
      </c>
      <c r="J951" s="35">
        <v>7.7251605619523849</v>
      </c>
      <c r="K951" s="232">
        <v>18514.61</v>
      </c>
      <c r="L951" s="35">
        <v>8.3545787185809655</v>
      </c>
      <c r="M951" s="232">
        <v>44733.66</v>
      </c>
      <c r="N951" s="35">
        <v>7.2955332149817558</v>
      </c>
      <c r="P951" s="232">
        <v>-25.1</v>
      </c>
      <c r="Q951" s="35">
        <v>8.5577026022738423E-3</v>
      </c>
      <c r="R951" s="232">
        <v>1202.05</v>
      </c>
      <c r="S951" s="35">
        <v>0.49191150113214288</v>
      </c>
      <c r="T951" s="232">
        <v>26219.05</v>
      </c>
      <c r="U951" s="35">
        <v>1.0590455035992097</v>
      </c>
      <c r="W951" s="35">
        <f t="shared" si="91"/>
        <v>452.98513011369215</v>
      </c>
      <c r="X951" s="35">
        <f t="shared" si="92"/>
        <v>23393.525056607145</v>
      </c>
      <c r="Y951" s="35">
        <f t="shared" si="93"/>
        <v>26733.225179960482</v>
      </c>
      <c r="Z951" s="35">
        <f t="shared" si="94"/>
        <v>0</v>
      </c>
      <c r="AA951" s="35">
        <f t="shared" si="95"/>
        <v>0</v>
      </c>
      <c r="AB951" s="35">
        <f t="shared" si="96"/>
        <v>1</v>
      </c>
    </row>
    <row r="952" spans="1:28">
      <c r="A952" s="35">
        <v>941</v>
      </c>
      <c r="B952" s="35">
        <v>4.5653530940026332E-4</v>
      </c>
      <c r="C952" s="232">
        <v>72.11</v>
      </c>
      <c r="D952" s="35">
        <v>5.0613704635898547</v>
      </c>
      <c r="E952" s="232">
        <v>43.92</v>
      </c>
      <c r="F952" s="35">
        <v>5.0510126713496613</v>
      </c>
      <c r="G952" s="232">
        <v>12125.52</v>
      </c>
      <c r="H952" s="35">
        <v>8.5134423375225197</v>
      </c>
      <c r="I952" s="232">
        <v>13269.25</v>
      </c>
      <c r="J952" s="35">
        <v>7.5342851313377128</v>
      </c>
      <c r="K952" s="232">
        <v>16082.45</v>
      </c>
      <c r="L952" s="35">
        <v>8.8464410619070115</v>
      </c>
      <c r="M952" s="232">
        <v>42180.32</v>
      </c>
      <c r="N952" s="35">
        <v>7.6861419294574587</v>
      </c>
      <c r="P952" s="232">
        <v>-28.19</v>
      </c>
      <c r="Q952" s="35">
        <v>1.0357792240193398E-2</v>
      </c>
      <c r="R952" s="232">
        <v>1143.73</v>
      </c>
      <c r="S952" s="35">
        <v>0.97915720618480684</v>
      </c>
      <c r="T952" s="232">
        <v>26097.88</v>
      </c>
      <c r="U952" s="35">
        <v>1.1602991324495529</v>
      </c>
      <c r="W952" s="35">
        <f t="shared" si="91"/>
        <v>546.07961200966997</v>
      </c>
      <c r="X952" s="35">
        <f t="shared" si="92"/>
        <v>47814.13030924034</v>
      </c>
      <c r="Y952" s="35">
        <f t="shared" si="93"/>
        <v>31917.076622477642</v>
      </c>
      <c r="Z952" s="35">
        <f t="shared" si="94"/>
        <v>0</v>
      </c>
      <c r="AA952" s="35">
        <f t="shared" si="95"/>
        <v>1</v>
      </c>
      <c r="AB952" s="35">
        <f t="shared" si="96"/>
        <v>0</v>
      </c>
    </row>
    <row r="953" spans="1:28">
      <c r="A953" s="35">
        <v>942</v>
      </c>
      <c r="B953" s="35">
        <v>4.5901448464624739E-4</v>
      </c>
      <c r="C953" s="232">
        <v>79.06</v>
      </c>
      <c r="D953" s="35">
        <v>5.0621238061029095</v>
      </c>
      <c r="E953" s="232">
        <v>45.31</v>
      </c>
      <c r="F953" s="35">
        <v>5.0506691654306515</v>
      </c>
      <c r="G953" s="232">
        <v>13269.06</v>
      </c>
      <c r="H953" s="35">
        <v>8.8540921873388054</v>
      </c>
      <c r="I953" s="232">
        <v>13332.89</v>
      </c>
      <c r="J953" s="35">
        <v>7.2269452225076067</v>
      </c>
      <c r="K953" s="232">
        <v>17185.63</v>
      </c>
      <c r="L953" s="35">
        <v>8.8184450064368942</v>
      </c>
      <c r="M953" s="232">
        <v>43291.93</v>
      </c>
      <c r="N953" s="35">
        <v>7.7758679110807885</v>
      </c>
      <c r="P953" s="232">
        <v>-33.75</v>
      </c>
      <c r="Q953" s="35">
        <v>1.1454640672257987E-2</v>
      </c>
      <c r="R953" s="232">
        <v>63.83</v>
      </c>
      <c r="S953" s="35">
        <v>1.6271469648311987</v>
      </c>
      <c r="T953" s="232">
        <v>26106.3</v>
      </c>
      <c r="U953" s="35">
        <v>1.0425770953561058</v>
      </c>
      <c r="W953" s="35">
        <f t="shared" si="91"/>
        <v>606.48203361289939</v>
      </c>
      <c r="X953" s="35">
        <f t="shared" si="92"/>
        <v>81293.518241559927</v>
      </c>
      <c r="Y953" s="35">
        <f t="shared" si="93"/>
        <v>26022.554767805286</v>
      </c>
      <c r="Z953" s="35">
        <f t="shared" si="94"/>
        <v>0</v>
      </c>
      <c r="AA953" s="35">
        <f t="shared" si="95"/>
        <v>1</v>
      </c>
      <c r="AB953" s="35">
        <f t="shared" si="96"/>
        <v>0</v>
      </c>
    </row>
    <row r="954" spans="1:28">
      <c r="A954" s="35">
        <v>943</v>
      </c>
      <c r="B954" s="35">
        <v>5.4279734097462118E-4</v>
      </c>
      <c r="C954" s="232">
        <v>88.15</v>
      </c>
      <c r="D954" s="35">
        <v>5.0671481121957198</v>
      </c>
      <c r="E954" s="232">
        <v>54.24</v>
      </c>
      <c r="F954" s="35">
        <v>5.0546884988125607</v>
      </c>
      <c r="G954" s="232">
        <v>12461.81</v>
      </c>
      <c r="H954" s="35">
        <v>9.0016015533248694</v>
      </c>
      <c r="I954" s="232">
        <v>12865.96</v>
      </c>
      <c r="J954" s="35">
        <v>7.7014638045969477</v>
      </c>
      <c r="K954" s="232">
        <v>16718.88</v>
      </c>
      <c r="L954" s="35">
        <v>8.5963291324228575</v>
      </c>
      <c r="M954" s="232">
        <v>42914.19</v>
      </c>
      <c r="N954" s="35">
        <v>7.5059598516907489</v>
      </c>
      <c r="P954" s="232">
        <v>-33.909999999999997</v>
      </c>
      <c r="Q954" s="35">
        <v>1.2459613383159152E-2</v>
      </c>
      <c r="R954" s="232">
        <v>404.16</v>
      </c>
      <c r="S954" s="35">
        <v>1.3001377487279218</v>
      </c>
      <c r="T954" s="232">
        <v>26195.31</v>
      </c>
      <c r="U954" s="35">
        <v>1.0903692807321086</v>
      </c>
      <c r="W954" s="35">
        <f t="shared" si="91"/>
        <v>656.89066915795752</v>
      </c>
      <c r="X954" s="35">
        <f t="shared" si="92"/>
        <v>64602.727436396082</v>
      </c>
      <c r="Y954" s="35">
        <f t="shared" si="93"/>
        <v>28323.154036605429</v>
      </c>
      <c r="Z954" s="35">
        <f t="shared" si="94"/>
        <v>0</v>
      </c>
      <c r="AA954" s="35">
        <f t="shared" si="95"/>
        <v>1</v>
      </c>
      <c r="AB954" s="35">
        <f t="shared" si="96"/>
        <v>0</v>
      </c>
    </row>
    <row r="955" spans="1:28">
      <c r="A955" s="35">
        <v>944</v>
      </c>
      <c r="B955" s="35">
        <v>4.6000658028999553E-4</v>
      </c>
      <c r="C955" s="232">
        <v>83.58</v>
      </c>
      <c r="D955" s="35">
        <v>5.0638399634824012</v>
      </c>
      <c r="E955" s="232">
        <v>49.81</v>
      </c>
      <c r="F955" s="35">
        <v>5.0522303246214921</v>
      </c>
      <c r="G955" s="232">
        <v>13916.01</v>
      </c>
      <c r="H955" s="35">
        <v>9.1575161492189903</v>
      </c>
      <c r="I955" s="232">
        <v>13962.95</v>
      </c>
      <c r="J955" s="35">
        <v>7.8567732627601314</v>
      </c>
      <c r="K955" s="232">
        <v>19924.849999999999</v>
      </c>
      <c r="L955" s="35">
        <v>8.9911311184966625</v>
      </c>
      <c r="M955" s="232">
        <v>46164.74</v>
      </c>
      <c r="N955" s="35">
        <v>7.9601268881263376</v>
      </c>
      <c r="P955" s="232">
        <v>-33.770000000000003</v>
      </c>
      <c r="Q955" s="35">
        <v>1.1609638860909044E-2</v>
      </c>
      <c r="R955" s="232">
        <v>46.95</v>
      </c>
      <c r="S955" s="35">
        <v>1.3007428864588588</v>
      </c>
      <c r="T955" s="232">
        <v>26239.89</v>
      </c>
      <c r="U955" s="35">
        <v>1.0310042303703248</v>
      </c>
      <c r="W955" s="35">
        <f t="shared" si="91"/>
        <v>614.25194304545221</v>
      </c>
      <c r="X955" s="35">
        <f t="shared" si="92"/>
        <v>64990.194322942945</v>
      </c>
      <c r="Y955" s="35">
        <f t="shared" si="93"/>
        <v>25310.321518516241</v>
      </c>
      <c r="Z955" s="35">
        <f t="shared" si="94"/>
        <v>0</v>
      </c>
      <c r="AA955" s="35">
        <f t="shared" si="95"/>
        <v>1</v>
      </c>
      <c r="AB955" s="35">
        <f t="shared" si="96"/>
        <v>0</v>
      </c>
    </row>
    <row r="956" spans="1:28">
      <c r="A956" s="35">
        <v>945</v>
      </c>
      <c r="B956" s="35">
        <v>4.0470945868794332E-4</v>
      </c>
      <c r="C956" s="232">
        <v>71.7</v>
      </c>
      <c r="D956" s="35">
        <v>5.0606715747327211</v>
      </c>
      <c r="E956" s="232">
        <v>47.89</v>
      </c>
      <c r="F956" s="35">
        <v>5.0519525491338033</v>
      </c>
      <c r="G956" s="232">
        <v>13203.52</v>
      </c>
      <c r="H956" s="35">
        <v>9.0886809386213496</v>
      </c>
      <c r="I956" s="232">
        <v>14095.8</v>
      </c>
      <c r="J956" s="35">
        <v>8.2664902068978172</v>
      </c>
      <c r="K956" s="232">
        <v>18665.8</v>
      </c>
      <c r="L956" s="35">
        <v>8.8879556037492726</v>
      </c>
      <c r="M956" s="232">
        <v>45083.94</v>
      </c>
      <c r="N956" s="35">
        <v>7.7405789715246023</v>
      </c>
      <c r="P956" s="232">
        <v>-23.82</v>
      </c>
      <c r="Q956" s="35">
        <v>8.7190255989177956E-3</v>
      </c>
      <c r="R956" s="232">
        <v>892.28</v>
      </c>
      <c r="S956" s="35">
        <v>0.82219073172353241</v>
      </c>
      <c r="T956" s="232">
        <v>26418.13</v>
      </c>
      <c r="U956" s="35">
        <v>1.1473766322246703</v>
      </c>
      <c r="W956" s="35">
        <f t="shared" si="91"/>
        <v>459.77127994588977</v>
      </c>
      <c r="X956" s="35">
        <f t="shared" si="92"/>
        <v>40217.25658617662</v>
      </c>
      <c r="Y956" s="35">
        <f t="shared" si="93"/>
        <v>30950.701611233515</v>
      </c>
      <c r="Z956" s="35">
        <f t="shared" si="94"/>
        <v>0</v>
      </c>
      <c r="AA956" s="35">
        <f t="shared" si="95"/>
        <v>1</v>
      </c>
      <c r="AB956" s="35">
        <f t="shared" si="96"/>
        <v>0</v>
      </c>
    </row>
    <row r="957" spans="1:28">
      <c r="A957" s="35">
        <v>946</v>
      </c>
      <c r="B957" s="35">
        <v>3.8536075090953151E-4</v>
      </c>
      <c r="C957" s="232">
        <v>41.1</v>
      </c>
      <c r="D957" s="35">
        <v>5.0589893658427769</v>
      </c>
      <c r="E957" s="232">
        <v>25.42</v>
      </c>
      <c r="F957" s="35">
        <v>5.049075883707312</v>
      </c>
      <c r="G957" s="232">
        <v>8456.86</v>
      </c>
      <c r="H957" s="35">
        <v>9.0399068709528017</v>
      </c>
      <c r="I957" s="232">
        <v>10362.49</v>
      </c>
      <c r="J957" s="35">
        <v>8.0978021693855666</v>
      </c>
      <c r="K957" s="232">
        <v>8637.8799999999992</v>
      </c>
      <c r="L957" s="35">
        <v>8.7639464366113362</v>
      </c>
      <c r="M957" s="232">
        <v>34419.35</v>
      </c>
      <c r="N957" s="35">
        <v>7.6290365355442926</v>
      </c>
      <c r="P957" s="232">
        <v>-15.68</v>
      </c>
      <c r="Q957" s="35">
        <v>9.9134821354649461E-3</v>
      </c>
      <c r="R957" s="232">
        <v>1905.62</v>
      </c>
      <c r="S957" s="35">
        <v>0.94210470156723503</v>
      </c>
      <c r="T957" s="232">
        <v>25781.47</v>
      </c>
      <c r="U957" s="35">
        <v>1.1349099010670436</v>
      </c>
      <c r="W957" s="35">
        <f t="shared" si="91"/>
        <v>511.35410677324734</v>
      </c>
      <c r="X957" s="35">
        <f t="shared" si="92"/>
        <v>45199.615078361749</v>
      </c>
      <c r="Y957" s="35">
        <f t="shared" si="93"/>
        <v>30964.025053352176</v>
      </c>
      <c r="Z957" s="35">
        <f t="shared" si="94"/>
        <v>0</v>
      </c>
      <c r="AA957" s="35">
        <f t="shared" si="95"/>
        <v>1</v>
      </c>
      <c r="AB957" s="35">
        <f t="shared" si="96"/>
        <v>0</v>
      </c>
    </row>
    <row r="958" spans="1:28">
      <c r="A958" s="35">
        <v>947</v>
      </c>
      <c r="B958" s="35">
        <v>4.6290669799176065E-4</v>
      </c>
      <c r="C958" s="232">
        <v>63.4</v>
      </c>
      <c r="D958" s="35">
        <v>5.0597320981487481</v>
      </c>
      <c r="E958" s="232">
        <v>37.93</v>
      </c>
      <c r="F958" s="35">
        <v>5.0497098218373209</v>
      </c>
      <c r="G958" s="232">
        <v>11062.78</v>
      </c>
      <c r="H958" s="35">
        <v>8.2521571056883722</v>
      </c>
      <c r="I958" s="232">
        <v>13006.33</v>
      </c>
      <c r="J958" s="35">
        <v>7.7808051015874575</v>
      </c>
      <c r="K958" s="232">
        <v>13104.69</v>
      </c>
      <c r="L958" s="35">
        <v>8.3632254953439507</v>
      </c>
      <c r="M958" s="232">
        <v>39000.25</v>
      </c>
      <c r="N958" s="35">
        <v>7.3208791705363812</v>
      </c>
      <c r="P958" s="232">
        <v>-25.47</v>
      </c>
      <c r="Q958" s="35">
        <v>1.0022276311427269E-2</v>
      </c>
      <c r="R958" s="232">
        <v>1943.55</v>
      </c>
      <c r="S958" s="35">
        <v>0.47135200410091471</v>
      </c>
      <c r="T958" s="232">
        <v>25895.56</v>
      </c>
      <c r="U958" s="35">
        <v>1.0423463248075695</v>
      </c>
      <c r="W958" s="35">
        <f t="shared" si="91"/>
        <v>526.58381557136352</v>
      </c>
      <c r="X958" s="35">
        <f t="shared" si="92"/>
        <v>21624.050205045736</v>
      </c>
      <c r="Y958" s="35">
        <f t="shared" si="93"/>
        <v>26221.756240378472</v>
      </c>
      <c r="Z958" s="35">
        <f t="shared" si="94"/>
        <v>0</v>
      </c>
      <c r="AA958" s="35">
        <f t="shared" si="95"/>
        <v>0</v>
      </c>
      <c r="AB958" s="35">
        <f t="shared" si="96"/>
        <v>1</v>
      </c>
    </row>
    <row r="959" spans="1:28">
      <c r="A959" s="35">
        <v>948</v>
      </c>
      <c r="B959" s="35">
        <v>4.357745049851289E-4</v>
      </c>
      <c r="C959" s="232">
        <v>68.28</v>
      </c>
      <c r="D959" s="35">
        <v>5.0628261484704185</v>
      </c>
      <c r="E959" s="232">
        <v>49.06</v>
      </c>
      <c r="F959" s="35">
        <v>5.0544793870974232</v>
      </c>
      <c r="G959" s="232">
        <v>12710.49</v>
      </c>
      <c r="H959" s="35">
        <v>9.2393672059076764</v>
      </c>
      <c r="I959" s="232">
        <v>14368.91</v>
      </c>
      <c r="J959" s="35">
        <v>8.0408122735562078</v>
      </c>
      <c r="K959" s="232">
        <v>14833.46</v>
      </c>
      <c r="L959" s="35">
        <v>8.8129481095962205</v>
      </c>
      <c r="M959" s="232">
        <v>41009.550000000003</v>
      </c>
      <c r="N959" s="35">
        <v>7.7467511393124981</v>
      </c>
      <c r="P959" s="232">
        <v>-19.22</v>
      </c>
      <c r="Q959" s="35">
        <v>8.3467613729952816E-3</v>
      </c>
      <c r="R959" s="232">
        <v>1658.43</v>
      </c>
      <c r="S959" s="35">
        <v>1.1985549323514686</v>
      </c>
      <c r="T959" s="232">
        <v>26176.1</v>
      </c>
      <c r="U959" s="35">
        <v>1.0661969702837224</v>
      </c>
      <c r="W959" s="35">
        <f t="shared" si="91"/>
        <v>436.5580686497641</v>
      </c>
      <c r="X959" s="35">
        <f t="shared" si="92"/>
        <v>58269.31661757343</v>
      </c>
      <c r="Y959" s="35">
        <f t="shared" si="93"/>
        <v>27133.748514186118</v>
      </c>
      <c r="Z959" s="35">
        <f t="shared" si="94"/>
        <v>0</v>
      </c>
      <c r="AA959" s="35">
        <f t="shared" si="95"/>
        <v>1</v>
      </c>
      <c r="AB959" s="35">
        <f t="shared" si="96"/>
        <v>0</v>
      </c>
    </row>
    <row r="960" spans="1:28">
      <c r="A960" s="35">
        <v>949</v>
      </c>
      <c r="B960" s="35">
        <v>3.8602126531997254E-4</v>
      </c>
      <c r="C960" s="232">
        <v>42.33</v>
      </c>
      <c r="D960" s="35">
        <v>5.0607047305235122</v>
      </c>
      <c r="E960" s="232">
        <v>26.56</v>
      </c>
      <c r="F960" s="35">
        <v>5.0502484963274501</v>
      </c>
      <c r="G960" s="232">
        <v>9166.44</v>
      </c>
      <c r="H960" s="35">
        <v>9.4759423803760701</v>
      </c>
      <c r="I960" s="232">
        <v>11510.3</v>
      </c>
      <c r="J960" s="35">
        <v>7.7707176494964481</v>
      </c>
      <c r="K960" s="232">
        <v>8320.16</v>
      </c>
      <c r="L960" s="35">
        <v>9.2003424510318546</v>
      </c>
      <c r="M960" s="232">
        <v>34005.629999999997</v>
      </c>
      <c r="N960" s="35">
        <v>8.1299836597005743</v>
      </c>
      <c r="P960" s="232">
        <v>-15.77</v>
      </c>
      <c r="Q960" s="35">
        <v>1.045623419606212E-2</v>
      </c>
      <c r="R960" s="232">
        <v>2343.87</v>
      </c>
      <c r="S960" s="35">
        <v>1.705224730879622</v>
      </c>
      <c r="T960" s="232">
        <v>25685.47</v>
      </c>
      <c r="U960" s="35">
        <v>1.0703587913312802</v>
      </c>
      <c r="W960" s="35">
        <f t="shared" si="91"/>
        <v>538.58170980310592</v>
      </c>
      <c r="X960" s="35">
        <f t="shared" si="92"/>
        <v>82917.366543981101</v>
      </c>
      <c r="Y960" s="35">
        <f t="shared" si="93"/>
        <v>27832.46956656401</v>
      </c>
      <c r="Z960" s="35">
        <f t="shared" si="94"/>
        <v>0</v>
      </c>
      <c r="AA960" s="35">
        <f t="shared" si="95"/>
        <v>1</v>
      </c>
      <c r="AB960" s="35">
        <f t="shared" si="96"/>
        <v>0</v>
      </c>
    </row>
    <row r="961" spans="1:28">
      <c r="A961" s="35">
        <v>950</v>
      </c>
      <c r="B961" s="35">
        <v>3.9616569249820426E-4</v>
      </c>
      <c r="C961" s="232">
        <v>56.92</v>
      </c>
      <c r="D961" s="35">
        <v>5.0595227927063329</v>
      </c>
      <c r="E961" s="232">
        <v>35.06</v>
      </c>
      <c r="F961" s="35">
        <v>5.0498359714122723</v>
      </c>
      <c r="G961" s="232">
        <v>10715.68</v>
      </c>
      <c r="H961" s="35">
        <v>9.0808787057892761</v>
      </c>
      <c r="I961" s="232">
        <v>12176.61</v>
      </c>
      <c r="J961" s="35">
        <v>8.4754869807613922</v>
      </c>
      <c r="K961" s="232">
        <v>13613.76</v>
      </c>
      <c r="L961" s="35">
        <v>8.6633400942915326</v>
      </c>
      <c r="M961" s="232">
        <v>39510.410000000003</v>
      </c>
      <c r="N961" s="35">
        <v>7.6126787446907942</v>
      </c>
      <c r="P961" s="232">
        <v>-21.86</v>
      </c>
      <c r="Q961" s="35">
        <v>9.6868212940606213E-3</v>
      </c>
      <c r="R961" s="232">
        <v>1460.92</v>
      </c>
      <c r="S961" s="35">
        <v>0.60539172502788396</v>
      </c>
      <c r="T961" s="232">
        <v>25896.66</v>
      </c>
      <c r="U961" s="35">
        <v>1.0506613496007384</v>
      </c>
      <c r="W961" s="35">
        <f t="shared" si="91"/>
        <v>506.20106470303108</v>
      </c>
      <c r="X961" s="35">
        <f t="shared" si="92"/>
        <v>28808.666251394199</v>
      </c>
      <c r="Y961" s="35">
        <f t="shared" si="93"/>
        <v>26636.407480036924</v>
      </c>
      <c r="Z961" s="35">
        <f t="shared" si="94"/>
        <v>0</v>
      </c>
      <c r="AA961" s="35">
        <f t="shared" si="95"/>
        <v>1</v>
      </c>
      <c r="AB961" s="35">
        <f t="shared" si="96"/>
        <v>0</v>
      </c>
    </row>
    <row r="962" spans="1:28">
      <c r="A962" s="35">
        <v>951</v>
      </c>
      <c r="B962" s="35">
        <v>4.6939275245339029E-4</v>
      </c>
      <c r="C962" s="232">
        <v>77.849999999999994</v>
      </c>
      <c r="D962" s="35">
        <v>5.0627511630375865</v>
      </c>
      <c r="E962" s="232">
        <v>46.44</v>
      </c>
      <c r="F962" s="35">
        <v>5.0515640922891256</v>
      </c>
      <c r="G962" s="232">
        <v>13024.74</v>
      </c>
      <c r="H962" s="35">
        <v>8.9619535493724403</v>
      </c>
      <c r="I962" s="232">
        <v>14122.39</v>
      </c>
      <c r="J962" s="35">
        <v>8.090297235507748</v>
      </c>
      <c r="K962" s="232">
        <v>17488.830000000002</v>
      </c>
      <c r="L962" s="35">
        <v>8.5498644819937173</v>
      </c>
      <c r="M962" s="232">
        <v>43779.01</v>
      </c>
      <c r="N962" s="35">
        <v>7.4573164517144273</v>
      </c>
      <c r="P962" s="232">
        <v>-31.41</v>
      </c>
      <c r="Q962" s="35">
        <v>1.1187070748460926E-2</v>
      </c>
      <c r="R962" s="232">
        <v>1097.6400000000001</v>
      </c>
      <c r="S962" s="35">
        <v>0.87165631386469222</v>
      </c>
      <c r="T962" s="232">
        <v>26290.18</v>
      </c>
      <c r="U962" s="35">
        <v>1.09254803027929</v>
      </c>
      <c r="W962" s="35">
        <f t="shared" si="91"/>
        <v>590.76353742304627</v>
      </c>
      <c r="X962" s="35">
        <f t="shared" si="92"/>
        <v>42485.175693234611</v>
      </c>
      <c r="Y962" s="35">
        <f t="shared" si="93"/>
        <v>28337.221513964505</v>
      </c>
      <c r="Z962" s="35">
        <f t="shared" si="94"/>
        <v>0</v>
      </c>
      <c r="AA962" s="35">
        <f t="shared" si="95"/>
        <v>1</v>
      </c>
      <c r="AB962" s="35">
        <f t="shared" si="96"/>
        <v>0</v>
      </c>
    </row>
    <row r="963" spans="1:28">
      <c r="A963" s="35">
        <v>952</v>
      </c>
      <c r="B963" s="35">
        <v>4.0470022569401998E-4</v>
      </c>
      <c r="C963" s="232">
        <v>60.43</v>
      </c>
      <c r="D963" s="35">
        <v>5.0583565342488512</v>
      </c>
      <c r="E963" s="232">
        <v>39.26</v>
      </c>
      <c r="F963" s="35">
        <v>5.0499586998719348</v>
      </c>
      <c r="G963" s="232">
        <v>10840.5</v>
      </c>
      <c r="H963" s="35">
        <v>8.5180458562063315</v>
      </c>
      <c r="I963" s="232">
        <v>10335.379999999999</v>
      </c>
      <c r="J963" s="35">
        <v>6.8200868693753396</v>
      </c>
      <c r="K963" s="232">
        <v>15637.33</v>
      </c>
      <c r="L963" s="35">
        <v>8.5067475101598866</v>
      </c>
      <c r="M963" s="232">
        <v>41742.21</v>
      </c>
      <c r="N963" s="35">
        <v>7.3939090132707497</v>
      </c>
      <c r="P963" s="232">
        <v>-21.17</v>
      </c>
      <c r="Q963" s="35">
        <v>8.3978343769164354E-3</v>
      </c>
      <c r="R963" s="232">
        <v>-505.12</v>
      </c>
      <c r="S963" s="35">
        <v>1.6979589868309919</v>
      </c>
      <c r="T963" s="232">
        <v>26104.880000000001</v>
      </c>
      <c r="U963" s="35">
        <v>1.1128384968891369</v>
      </c>
      <c r="W963" s="35">
        <f t="shared" si="91"/>
        <v>441.06171884582176</v>
      </c>
      <c r="X963" s="35">
        <f t="shared" si="92"/>
        <v>85403.069341549592</v>
      </c>
      <c r="Y963" s="35">
        <f t="shared" si="93"/>
        <v>29537.044844456843</v>
      </c>
      <c r="Z963" s="35">
        <f t="shared" si="94"/>
        <v>0</v>
      </c>
      <c r="AA963" s="35">
        <f t="shared" si="95"/>
        <v>1</v>
      </c>
      <c r="AB963" s="35">
        <f t="shared" si="96"/>
        <v>0</v>
      </c>
    </row>
    <row r="964" spans="1:28">
      <c r="A964" s="35">
        <v>953</v>
      </c>
      <c r="B964" s="35">
        <v>6.5059387041943584E-4</v>
      </c>
      <c r="C964" s="232">
        <v>109.92</v>
      </c>
      <c r="D964" s="35">
        <v>5.0739926675350446</v>
      </c>
      <c r="E964" s="232">
        <v>63.93</v>
      </c>
      <c r="F964" s="35">
        <v>5.0576946926301751</v>
      </c>
      <c r="G964" s="232">
        <v>13412.74</v>
      </c>
      <c r="H964" s="35">
        <v>9.2279979140316435</v>
      </c>
      <c r="I964" s="232">
        <v>13965.14</v>
      </c>
      <c r="J964" s="35">
        <v>7.2850596900378157</v>
      </c>
      <c r="K964" s="232">
        <v>15236.56</v>
      </c>
      <c r="L964" s="35">
        <v>8.6667166063417866</v>
      </c>
      <c r="M964" s="232">
        <v>41244.629999999997</v>
      </c>
      <c r="N964" s="35">
        <v>7.5693233049271358</v>
      </c>
      <c r="P964" s="232">
        <v>-45.99</v>
      </c>
      <c r="Q964" s="35">
        <v>1.6297974904869506E-2</v>
      </c>
      <c r="R964" s="232">
        <v>552.4</v>
      </c>
      <c r="S964" s="35">
        <v>1.9429382239938278</v>
      </c>
      <c r="T964" s="232">
        <v>26008.07</v>
      </c>
      <c r="U964" s="35">
        <v>1.0973933014146509</v>
      </c>
      <c r="W964" s="35">
        <f t="shared" si="91"/>
        <v>860.88874524347534</v>
      </c>
      <c r="X964" s="35">
        <f t="shared" si="92"/>
        <v>96594.511199691391</v>
      </c>
      <c r="Y964" s="35">
        <f t="shared" si="93"/>
        <v>28861.595070732546</v>
      </c>
      <c r="Z964" s="35">
        <f t="shared" si="94"/>
        <v>0</v>
      </c>
      <c r="AA964" s="35">
        <f t="shared" si="95"/>
        <v>1</v>
      </c>
      <c r="AB964" s="35">
        <f t="shared" si="96"/>
        <v>0</v>
      </c>
    </row>
    <row r="965" spans="1:28">
      <c r="A965" s="35">
        <v>954</v>
      </c>
      <c r="B965" s="35">
        <v>4.8482522711779108E-4</v>
      </c>
      <c r="C965" s="232">
        <v>64.69</v>
      </c>
      <c r="D965" s="35">
        <v>5.0622500106228534</v>
      </c>
      <c r="E965" s="232">
        <v>45.54</v>
      </c>
      <c r="F965" s="35">
        <v>5.0536701818034073</v>
      </c>
      <c r="G965" s="232">
        <v>8929.43</v>
      </c>
      <c r="H965" s="35">
        <v>8.229154411674946</v>
      </c>
      <c r="I965" s="232">
        <v>9214.59</v>
      </c>
      <c r="J965" s="35">
        <v>7.0332442156768851</v>
      </c>
      <c r="K965" s="232">
        <v>14179.24</v>
      </c>
      <c r="L965" s="35">
        <v>8.8202919394917352</v>
      </c>
      <c r="M965" s="232">
        <v>40226.699999999997</v>
      </c>
      <c r="N965" s="35">
        <v>7.7625206010833105</v>
      </c>
      <c r="P965" s="232">
        <v>-19.149999999999999</v>
      </c>
      <c r="Q965" s="35">
        <v>8.5798288194460781E-3</v>
      </c>
      <c r="R965" s="232">
        <v>285.17</v>
      </c>
      <c r="S965" s="35">
        <v>1.1959101959980609</v>
      </c>
      <c r="T965" s="232">
        <v>26047.45</v>
      </c>
      <c r="U965" s="35">
        <v>1.0577713384084246</v>
      </c>
      <c r="W965" s="35">
        <f t="shared" si="91"/>
        <v>448.14144097230388</v>
      </c>
      <c r="X965" s="35">
        <f t="shared" si="92"/>
        <v>59510.339799903049</v>
      </c>
      <c r="Y965" s="35">
        <f t="shared" si="93"/>
        <v>26841.116920421231</v>
      </c>
      <c r="Z965" s="35">
        <f t="shared" si="94"/>
        <v>0</v>
      </c>
      <c r="AA965" s="35">
        <f t="shared" si="95"/>
        <v>1</v>
      </c>
      <c r="AB965" s="35">
        <f t="shared" si="96"/>
        <v>0</v>
      </c>
    </row>
    <row r="966" spans="1:28">
      <c r="A966" s="35">
        <v>955</v>
      </c>
      <c r="B966" s="35">
        <v>4.0329813129752137E-4</v>
      </c>
      <c r="C966" s="232">
        <v>57.95</v>
      </c>
      <c r="D966" s="35">
        <v>5.0569602891561702</v>
      </c>
      <c r="E966" s="232">
        <v>34.81</v>
      </c>
      <c r="F966" s="35">
        <v>5.0481539266699818</v>
      </c>
      <c r="G966" s="232">
        <v>11670.68</v>
      </c>
      <c r="H966" s="35">
        <v>8.2971707765478815</v>
      </c>
      <c r="I966" s="232">
        <v>13645.87</v>
      </c>
      <c r="J966" s="35">
        <v>7.6352694241312724</v>
      </c>
      <c r="K966" s="232">
        <v>12552.23</v>
      </c>
      <c r="L966" s="35">
        <v>8.3367111150157545</v>
      </c>
      <c r="M966" s="232">
        <v>38558.449999999997</v>
      </c>
      <c r="N966" s="35">
        <v>7.2762014060091884</v>
      </c>
      <c r="P966" s="232">
        <v>-23.14</v>
      </c>
      <c r="Q966" s="35">
        <v>8.8063624861884904E-3</v>
      </c>
      <c r="R966" s="232">
        <v>1975.19</v>
      </c>
      <c r="S966" s="35">
        <v>0.66190135241660908</v>
      </c>
      <c r="T966" s="232">
        <v>26006.22</v>
      </c>
      <c r="U966" s="35">
        <v>1.060509709006566</v>
      </c>
      <c r="W966" s="35">
        <f t="shared" si="91"/>
        <v>463.45812430942453</v>
      </c>
      <c r="X966" s="35">
        <f t="shared" si="92"/>
        <v>31119.877620830452</v>
      </c>
      <c r="Y966" s="35">
        <f t="shared" si="93"/>
        <v>27019.265450328305</v>
      </c>
      <c r="Z966" s="35">
        <f t="shared" si="94"/>
        <v>0</v>
      </c>
      <c r="AA966" s="35">
        <f t="shared" si="95"/>
        <v>1</v>
      </c>
      <c r="AB966" s="35">
        <f t="shared" si="96"/>
        <v>0</v>
      </c>
    </row>
    <row r="967" spans="1:28">
      <c r="A967" s="35">
        <v>956</v>
      </c>
      <c r="B967" s="35">
        <v>4.7901814629347506E-4</v>
      </c>
      <c r="C967" s="232">
        <v>98.74</v>
      </c>
      <c r="D967" s="35">
        <v>5.0646839338100049</v>
      </c>
      <c r="E967" s="232">
        <v>65.58</v>
      </c>
      <c r="F967" s="35">
        <v>5.0547028039605948</v>
      </c>
      <c r="G967" s="232">
        <v>15348.75</v>
      </c>
      <c r="H967" s="35">
        <v>9.1129796041472151</v>
      </c>
      <c r="I967" s="232">
        <v>14141.76</v>
      </c>
      <c r="J967" s="35">
        <v>7.5408179067487762</v>
      </c>
      <c r="K967" s="232">
        <v>22277.85</v>
      </c>
      <c r="L967" s="35">
        <v>8.8800312784475572</v>
      </c>
      <c r="M967" s="232">
        <v>48792.37</v>
      </c>
      <c r="N967" s="35">
        <v>7.7938551125858151</v>
      </c>
      <c r="P967" s="232">
        <v>-33.159999999999997</v>
      </c>
      <c r="Q967" s="35">
        <v>9.9811298494101308E-3</v>
      </c>
      <c r="R967" s="232">
        <v>-1206.99</v>
      </c>
      <c r="S967" s="35">
        <v>1.5721616973984389</v>
      </c>
      <c r="T967" s="232">
        <v>26514.52</v>
      </c>
      <c r="U967" s="35">
        <v>1.0861761658617421</v>
      </c>
      <c r="W967" s="35">
        <f t="shared" si="91"/>
        <v>532.21649247050652</v>
      </c>
      <c r="X967" s="35">
        <f t="shared" si="92"/>
        <v>79815.074869921955</v>
      </c>
      <c r="Y967" s="35">
        <f t="shared" si="93"/>
        <v>27794.288293087109</v>
      </c>
      <c r="Z967" s="35">
        <f t="shared" si="94"/>
        <v>0</v>
      </c>
      <c r="AA967" s="35">
        <f t="shared" si="95"/>
        <v>1</v>
      </c>
      <c r="AB967" s="35">
        <f t="shared" si="96"/>
        <v>0</v>
      </c>
    </row>
    <row r="968" spans="1:28">
      <c r="A968" s="35">
        <v>957</v>
      </c>
      <c r="B968" s="35">
        <v>4.549689552307834E-4</v>
      </c>
      <c r="C968" s="232">
        <v>65.099999999999994</v>
      </c>
      <c r="D968" s="35">
        <v>5.0605621973507144</v>
      </c>
      <c r="E968" s="232">
        <v>41.95</v>
      </c>
      <c r="F968" s="35">
        <v>5.0512378598184506</v>
      </c>
      <c r="G968" s="232">
        <v>10544.72</v>
      </c>
      <c r="H968" s="35">
        <v>8.254851357989061</v>
      </c>
      <c r="I968" s="232">
        <v>10466.040000000001</v>
      </c>
      <c r="J968" s="35">
        <v>6.4839566917770739</v>
      </c>
      <c r="K968" s="232">
        <v>15436.86</v>
      </c>
      <c r="L968" s="35">
        <v>8.7346387475182521</v>
      </c>
      <c r="M968" s="232">
        <v>41632.75</v>
      </c>
      <c r="N968" s="35">
        <v>7.6203135527577244</v>
      </c>
      <c r="P968" s="232">
        <v>-23.15</v>
      </c>
      <c r="Q968" s="35">
        <v>9.3243375322638045E-3</v>
      </c>
      <c r="R968" s="232">
        <v>-78.680000000000007</v>
      </c>
      <c r="S968" s="35">
        <v>1.7708946662119871</v>
      </c>
      <c r="T968" s="232">
        <v>26195.89</v>
      </c>
      <c r="U968" s="35">
        <v>1.1143251947605277</v>
      </c>
      <c r="W968" s="35">
        <f t="shared" si="91"/>
        <v>489.36687661319019</v>
      </c>
      <c r="X968" s="35">
        <f t="shared" si="92"/>
        <v>88623.413310599353</v>
      </c>
      <c r="Y968" s="35">
        <f t="shared" si="93"/>
        <v>29520.369738026384</v>
      </c>
      <c r="Z968" s="35">
        <f t="shared" si="94"/>
        <v>0</v>
      </c>
      <c r="AA968" s="35">
        <f t="shared" si="95"/>
        <v>1</v>
      </c>
      <c r="AB968" s="35">
        <f t="shared" si="96"/>
        <v>0</v>
      </c>
    </row>
    <row r="969" spans="1:28">
      <c r="A969" s="35">
        <v>958</v>
      </c>
      <c r="B969" s="35">
        <v>4.5390323998084625E-4</v>
      </c>
      <c r="C969" s="232">
        <v>79.78</v>
      </c>
      <c r="D969" s="35">
        <v>5.0615549947924672</v>
      </c>
      <c r="E969" s="232">
        <v>60.54</v>
      </c>
      <c r="F969" s="35">
        <v>5.0547714932273875</v>
      </c>
      <c r="G969" s="232">
        <v>12961.23</v>
      </c>
      <c r="H969" s="35">
        <v>8.5136900781511429</v>
      </c>
      <c r="I969" s="232">
        <v>11665.78</v>
      </c>
      <c r="J969" s="35">
        <v>6.4147501969226584</v>
      </c>
      <c r="K969" s="232">
        <v>19180.310000000001</v>
      </c>
      <c r="L969" s="35">
        <v>8.5979938181744959</v>
      </c>
      <c r="M969" s="232">
        <v>45489.64</v>
      </c>
      <c r="N969" s="35">
        <v>7.4182625427890834</v>
      </c>
      <c r="P969" s="232">
        <v>-19.239999999999998</v>
      </c>
      <c r="Q969" s="35">
        <v>6.7835015650796748E-3</v>
      </c>
      <c r="R969" s="232">
        <v>-1295.46</v>
      </c>
      <c r="S969" s="35">
        <v>2.0989398812284845</v>
      </c>
      <c r="T969" s="232">
        <v>26309.33</v>
      </c>
      <c r="U969" s="35">
        <v>1.1797312753854126</v>
      </c>
      <c r="W969" s="35">
        <f t="shared" si="91"/>
        <v>358.41507825398378</v>
      </c>
      <c r="X969" s="35">
        <f t="shared" si="92"/>
        <v>106242.45406142423</v>
      </c>
      <c r="Y969" s="35">
        <f t="shared" si="93"/>
        <v>32677.233769270628</v>
      </c>
      <c r="Z969" s="35">
        <f t="shared" si="94"/>
        <v>0</v>
      </c>
      <c r="AA969" s="35">
        <f t="shared" si="95"/>
        <v>1</v>
      </c>
      <c r="AB969" s="35">
        <f t="shared" si="96"/>
        <v>0</v>
      </c>
    </row>
    <row r="970" spans="1:28">
      <c r="A970" s="35">
        <v>959</v>
      </c>
      <c r="B970" s="35">
        <v>5.1972645064624068E-4</v>
      </c>
      <c r="C970" s="232">
        <v>99.12</v>
      </c>
      <c r="D970" s="35">
        <v>5.0633226428092257</v>
      </c>
      <c r="E970" s="232">
        <v>61.59</v>
      </c>
      <c r="F970" s="35">
        <v>5.0527652840860213</v>
      </c>
      <c r="G970" s="232">
        <v>14081.1</v>
      </c>
      <c r="H970" s="35">
        <v>8.3806124779213</v>
      </c>
      <c r="I970" s="232">
        <v>13635.63</v>
      </c>
      <c r="J970" s="35">
        <v>6.9581157894887378</v>
      </c>
      <c r="K970" s="232">
        <v>19834.830000000002</v>
      </c>
      <c r="L970" s="35">
        <v>8.4417632871644983</v>
      </c>
      <c r="M970" s="232">
        <v>46119.38</v>
      </c>
      <c r="N970" s="35">
        <v>7.4076099708206096</v>
      </c>
      <c r="P970" s="232">
        <v>-37.53</v>
      </c>
      <c r="Q970" s="35">
        <v>1.0557358723204402E-2</v>
      </c>
      <c r="R970" s="232">
        <v>-445.47</v>
      </c>
      <c r="S970" s="35">
        <v>1.4224966884325623</v>
      </c>
      <c r="T970" s="232">
        <v>26284.55</v>
      </c>
      <c r="U970" s="35">
        <v>1.0341533163438887</v>
      </c>
      <c r="W970" s="35">
        <f t="shared" si="91"/>
        <v>565.39793616022007</v>
      </c>
      <c r="X970" s="35">
        <f t="shared" si="92"/>
        <v>71570.304421628112</v>
      </c>
      <c r="Y970" s="35">
        <f t="shared" si="93"/>
        <v>25423.115817194437</v>
      </c>
      <c r="Z970" s="35">
        <f t="shared" si="94"/>
        <v>0</v>
      </c>
      <c r="AA970" s="35">
        <f t="shared" si="95"/>
        <v>1</v>
      </c>
      <c r="AB970" s="35">
        <f t="shared" si="96"/>
        <v>0</v>
      </c>
    </row>
    <row r="971" spans="1:28">
      <c r="A971" s="35">
        <v>960</v>
      </c>
      <c r="B971" s="35">
        <v>4.2223108208001695E-4</v>
      </c>
      <c r="C971" s="232">
        <v>63.71</v>
      </c>
      <c r="D971" s="35">
        <v>5.0610031668848503</v>
      </c>
      <c r="E971" s="232">
        <v>42.28</v>
      </c>
      <c r="F971" s="35">
        <v>5.051913043455154</v>
      </c>
      <c r="G971" s="232">
        <v>11743.56</v>
      </c>
      <c r="H971" s="35">
        <v>8.8878507225046199</v>
      </c>
      <c r="I971" s="232">
        <v>12990.75</v>
      </c>
      <c r="J971" s="35">
        <v>7.7074892646079247</v>
      </c>
      <c r="K971" s="232">
        <v>14382.68</v>
      </c>
      <c r="L971" s="35">
        <v>8.9530740841013952</v>
      </c>
      <c r="M971" s="232">
        <v>40344.25</v>
      </c>
      <c r="N971" s="35">
        <v>7.916626092115747</v>
      </c>
      <c r="P971" s="232">
        <v>-21.43</v>
      </c>
      <c r="Q971" s="35">
        <v>9.0901234296962841E-3</v>
      </c>
      <c r="R971" s="232">
        <v>1247.19</v>
      </c>
      <c r="S971" s="35">
        <v>1.1803614578966952</v>
      </c>
      <c r="T971" s="232">
        <v>25961.57</v>
      </c>
      <c r="U971" s="35">
        <v>1.0364479919856482</v>
      </c>
      <c r="W971" s="35">
        <f t="shared" si="91"/>
        <v>475.93617148481422</v>
      </c>
      <c r="X971" s="35">
        <f t="shared" si="92"/>
        <v>57770.882894834758</v>
      </c>
      <c r="Y971" s="35">
        <f t="shared" si="93"/>
        <v>25860.829599282413</v>
      </c>
      <c r="Z971" s="35">
        <f t="shared" si="94"/>
        <v>0</v>
      </c>
      <c r="AA971" s="35">
        <f t="shared" si="95"/>
        <v>1</v>
      </c>
      <c r="AB971" s="35">
        <f t="shared" si="96"/>
        <v>0</v>
      </c>
    </row>
    <row r="972" spans="1:28">
      <c r="A972" s="35">
        <v>961</v>
      </c>
      <c r="B972" s="35">
        <v>4.7874541538206472E-4</v>
      </c>
      <c r="C972" s="232">
        <v>91.76</v>
      </c>
      <c r="D972" s="35">
        <v>5.0635079746716816</v>
      </c>
      <c r="E972" s="232">
        <v>56.49</v>
      </c>
      <c r="F972" s="35">
        <v>5.0526504673912989</v>
      </c>
      <c r="G972" s="232">
        <v>14757.23</v>
      </c>
      <c r="H972" s="35">
        <v>8.5710721780509136</v>
      </c>
      <c r="I972" s="232">
        <v>15367.06</v>
      </c>
      <c r="J972" s="35">
        <v>7.4308015994454077</v>
      </c>
      <c r="K972" s="232">
        <v>21462.26</v>
      </c>
      <c r="L972" s="35">
        <v>9.1110075583500016</v>
      </c>
      <c r="M972" s="232">
        <v>47884.28</v>
      </c>
      <c r="N972" s="35">
        <v>7.9537108957840976</v>
      </c>
      <c r="P972" s="232">
        <v>-35.270000000000003</v>
      </c>
      <c r="Q972" s="35">
        <v>1.0857507280382706E-2</v>
      </c>
      <c r="R972" s="232">
        <v>609.84</v>
      </c>
      <c r="S972" s="35">
        <v>1.1402705786055058</v>
      </c>
      <c r="T972" s="232">
        <v>26422.02</v>
      </c>
      <c r="U972" s="35">
        <v>1.157296662565904</v>
      </c>
      <c r="W972" s="35">
        <f t="shared" ref="W972:W1035" si="97">$X$2*Q972-P972</f>
        <v>578.14536401913529</v>
      </c>
      <c r="X972" s="35">
        <f t="shared" ref="X972:X1035" si="98">$X$2*S972-R972</f>
        <v>56403.688930275297</v>
      </c>
      <c r="Y972" s="35">
        <f t="shared" ref="Y972:Y1035" si="99">$X$2*U972-T972</f>
        <v>31442.813128295198</v>
      </c>
      <c r="Z972" s="35">
        <f t="shared" ref="Z972:Z1035" si="100">IF(W972=MAX($W972:$Y972), 1, 0)</f>
        <v>0</v>
      </c>
      <c r="AA972" s="35">
        <f t="shared" ref="AA972:AA1035" si="101">IF(X972=MAX($W972:$Y972), 1, 0)</f>
        <v>1</v>
      </c>
      <c r="AB972" s="35">
        <f t="shared" ref="AB972:AB1035" si="102">IF(Y972=MAX($W972:$Y972), 1, 0)</f>
        <v>0</v>
      </c>
    </row>
    <row r="973" spans="1:28">
      <c r="A973" s="35">
        <v>962</v>
      </c>
      <c r="B973" s="35">
        <v>6.0631126708143857E-4</v>
      </c>
      <c r="C973" s="232">
        <v>70.86</v>
      </c>
      <c r="D973" s="35">
        <v>5.0679295259466652</v>
      </c>
      <c r="E973" s="232">
        <v>41.99</v>
      </c>
      <c r="F973" s="35">
        <v>5.0541529055818133</v>
      </c>
      <c r="G973" s="232">
        <v>9712.74</v>
      </c>
      <c r="H973" s="35">
        <v>8.4809374763104408</v>
      </c>
      <c r="I973" s="232">
        <v>11752.8</v>
      </c>
      <c r="J973" s="35">
        <v>7.4632514067152993</v>
      </c>
      <c r="K973" s="232">
        <v>10111.799999999999</v>
      </c>
      <c r="L973" s="35">
        <v>8.4315161787381019</v>
      </c>
      <c r="M973" s="232">
        <v>35891.25</v>
      </c>
      <c r="N973" s="35">
        <v>7.3352298113819927</v>
      </c>
      <c r="P973" s="232">
        <v>-28.86</v>
      </c>
      <c r="Q973" s="35">
        <v>1.3776620364851944E-2</v>
      </c>
      <c r="R973" s="232">
        <v>2040.06</v>
      </c>
      <c r="S973" s="35">
        <v>1.0176860695951415</v>
      </c>
      <c r="T973" s="232">
        <v>25779.46</v>
      </c>
      <c r="U973" s="35">
        <v>1.0962863673561092</v>
      </c>
      <c r="W973" s="35">
        <f t="shared" si="97"/>
        <v>717.69101824259724</v>
      </c>
      <c r="X973" s="35">
        <f t="shared" si="98"/>
        <v>48844.243479757075</v>
      </c>
      <c r="Y973" s="35">
        <f t="shared" si="99"/>
        <v>29034.858367805457</v>
      </c>
      <c r="Z973" s="35">
        <f t="shared" si="100"/>
        <v>0</v>
      </c>
      <c r="AA973" s="35">
        <f t="shared" si="101"/>
        <v>1</v>
      </c>
      <c r="AB973" s="35">
        <f t="shared" si="102"/>
        <v>0</v>
      </c>
    </row>
    <row r="974" spans="1:28">
      <c r="A974" s="35">
        <v>963</v>
      </c>
      <c r="B974" s="35">
        <v>4.4265592768749596E-4</v>
      </c>
      <c r="C974" s="232">
        <v>62.78</v>
      </c>
      <c r="D974" s="35">
        <v>5.0615838900154859</v>
      </c>
      <c r="E974" s="232">
        <v>34.97</v>
      </c>
      <c r="F974" s="35">
        <v>5.0497203022710604</v>
      </c>
      <c r="G974" s="232">
        <v>11011.59</v>
      </c>
      <c r="H974" s="35">
        <v>8.852195196030662</v>
      </c>
      <c r="I974" s="232">
        <v>12358.26</v>
      </c>
      <c r="J974" s="35">
        <v>7.7557737646413738</v>
      </c>
      <c r="K974" s="232">
        <v>13114.16</v>
      </c>
      <c r="L974" s="35">
        <v>8.9590474308525465</v>
      </c>
      <c r="M974" s="232">
        <v>39146.699999999997</v>
      </c>
      <c r="N974" s="35">
        <v>7.9093697572352202</v>
      </c>
      <c r="P974" s="232">
        <v>-27.81</v>
      </c>
      <c r="Q974" s="35">
        <v>1.186358774442553E-2</v>
      </c>
      <c r="R974" s="232">
        <v>1346.67</v>
      </c>
      <c r="S974" s="35">
        <v>1.0964214313892882</v>
      </c>
      <c r="T974" s="232">
        <v>26032.54</v>
      </c>
      <c r="U974" s="35">
        <v>1.0496776736173263</v>
      </c>
      <c r="W974" s="35">
        <f t="shared" si="97"/>
        <v>620.9893872212765</v>
      </c>
      <c r="X974" s="35">
        <f t="shared" si="98"/>
        <v>53474.401569464411</v>
      </c>
      <c r="Y974" s="35">
        <f t="shared" si="99"/>
        <v>26451.343680866317</v>
      </c>
      <c r="Z974" s="35">
        <f t="shared" si="100"/>
        <v>0</v>
      </c>
      <c r="AA974" s="35">
        <f t="shared" si="101"/>
        <v>1</v>
      </c>
      <c r="AB974" s="35">
        <f t="shared" si="102"/>
        <v>0</v>
      </c>
    </row>
    <row r="975" spans="1:28">
      <c r="A975" s="35">
        <v>964</v>
      </c>
      <c r="B975" s="35">
        <v>4.6060811699633053E-4</v>
      </c>
      <c r="C975" s="232">
        <v>63.39</v>
      </c>
      <c r="D975" s="35">
        <v>5.0629896591526036</v>
      </c>
      <c r="E975" s="232">
        <v>37.67</v>
      </c>
      <c r="F975" s="35">
        <v>5.0513685663069374</v>
      </c>
      <c r="G975" s="232">
        <v>11223.78</v>
      </c>
      <c r="H975" s="35">
        <v>8.8857274427180482</v>
      </c>
      <c r="I975" s="232">
        <v>12836.74</v>
      </c>
      <c r="J975" s="35">
        <v>7.0843988463322987</v>
      </c>
      <c r="K975" s="232">
        <v>12040.11</v>
      </c>
      <c r="L975" s="35">
        <v>8.9008336119553224</v>
      </c>
      <c r="M975" s="232">
        <v>37919.21</v>
      </c>
      <c r="N975" s="35">
        <v>7.7721816305271156</v>
      </c>
      <c r="P975" s="232">
        <v>-25.72</v>
      </c>
      <c r="Q975" s="35">
        <v>1.1621092845666148E-2</v>
      </c>
      <c r="R975" s="232">
        <v>1612.96</v>
      </c>
      <c r="S975" s="35">
        <v>1.8013285963857495</v>
      </c>
      <c r="T975" s="232">
        <v>25879.1</v>
      </c>
      <c r="U975" s="35">
        <v>1.1286519814282068</v>
      </c>
      <c r="W975" s="35">
        <f t="shared" si="97"/>
        <v>606.77464228330746</v>
      </c>
      <c r="X975" s="35">
        <f t="shared" si="98"/>
        <v>88453.469819287464</v>
      </c>
      <c r="Y975" s="35">
        <f t="shared" si="99"/>
        <v>30553.499071410341</v>
      </c>
      <c r="Z975" s="35">
        <f t="shared" si="100"/>
        <v>0</v>
      </c>
      <c r="AA975" s="35">
        <f t="shared" si="101"/>
        <v>1</v>
      </c>
      <c r="AB975" s="35">
        <f t="shared" si="102"/>
        <v>0</v>
      </c>
    </row>
    <row r="976" spans="1:28">
      <c r="A976" s="35">
        <v>965</v>
      </c>
      <c r="B976" s="35">
        <v>5.8597498180379404E-4</v>
      </c>
      <c r="C976" s="232">
        <v>96.81</v>
      </c>
      <c r="D976" s="35">
        <v>5.0675630679492984</v>
      </c>
      <c r="E976" s="232">
        <v>65.989999999999995</v>
      </c>
      <c r="F976" s="35">
        <v>5.0570017554479891</v>
      </c>
      <c r="G976" s="232">
        <v>11417.56</v>
      </c>
      <c r="H976" s="35">
        <v>8.3451267139810739</v>
      </c>
      <c r="I976" s="232">
        <v>11955</v>
      </c>
      <c r="J976" s="35">
        <v>7.4876576899960714</v>
      </c>
      <c r="K976" s="232">
        <v>18368.29</v>
      </c>
      <c r="L976" s="35">
        <v>8.6477292701746133</v>
      </c>
      <c r="M976" s="232">
        <v>44739.41</v>
      </c>
      <c r="N976" s="35">
        <v>7.5049447334558259</v>
      </c>
      <c r="P976" s="232">
        <v>-30.83</v>
      </c>
      <c r="Q976" s="35">
        <v>1.0561312501309317E-2</v>
      </c>
      <c r="R976" s="232">
        <v>537.44000000000005</v>
      </c>
      <c r="S976" s="35">
        <v>0.85746902398500247</v>
      </c>
      <c r="T976" s="232">
        <v>26371.119999999999</v>
      </c>
      <c r="U976" s="35">
        <v>1.1427845367187874</v>
      </c>
      <c r="W976" s="35">
        <f t="shared" si="97"/>
        <v>558.89562506546588</v>
      </c>
      <c r="X976" s="35">
        <f t="shared" si="98"/>
        <v>42336.011199250119</v>
      </c>
      <c r="Y976" s="35">
        <f t="shared" si="99"/>
        <v>30768.106835939372</v>
      </c>
      <c r="Z976" s="35">
        <f t="shared" si="100"/>
        <v>0</v>
      </c>
      <c r="AA976" s="35">
        <f t="shared" si="101"/>
        <v>1</v>
      </c>
      <c r="AB976" s="35">
        <f t="shared" si="102"/>
        <v>0</v>
      </c>
    </row>
    <row r="977" spans="1:28">
      <c r="A977" s="35">
        <v>966</v>
      </c>
      <c r="B977" s="35">
        <v>4.7150278188778927E-4</v>
      </c>
      <c r="C977" s="232">
        <v>57.01</v>
      </c>
      <c r="D977" s="35">
        <v>5.0627160813278627</v>
      </c>
      <c r="E977" s="232">
        <v>37</v>
      </c>
      <c r="F977" s="35">
        <v>5.0524225197097508</v>
      </c>
      <c r="G977" s="232">
        <v>9265.7900000000009</v>
      </c>
      <c r="H977" s="35">
        <v>8.6601473933484474</v>
      </c>
      <c r="I977" s="232">
        <v>10788.96</v>
      </c>
      <c r="J977" s="35">
        <v>7.8292872718127606</v>
      </c>
      <c r="K977" s="232">
        <v>12090.72</v>
      </c>
      <c r="L977" s="35">
        <v>8.832987612342345</v>
      </c>
      <c r="M977" s="232">
        <v>37898.519999999997</v>
      </c>
      <c r="N977" s="35">
        <v>7.7958187009390754</v>
      </c>
      <c r="P977" s="232">
        <v>-20</v>
      </c>
      <c r="Q977" s="35">
        <v>1.0293561618111902E-2</v>
      </c>
      <c r="R977" s="232">
        <v>1523.17</v>
      </c>
      <c r="S977" s="35">
        <v>0.83086012153568678</v>
      </c>
      <c r="T977" s="232">
        <v>25807.8</v>
      </c>
      <c r="U977" s="35">
        <v>1.0371689114032696</v>
      </c>
      <c r="W977" s="35">
        <f t="shared" si="97"/>
        <v>534.67808090559504</v>
      </c>
      <c r="X977" s="35">
        <f t="shared" si="98"/>
        <v>40019.836076784341</v>
      </c>
      <c r="Y977" s="35">
        <f t="shared" si="99"/>
        <v>26050.64557016348</v>
      </c>
      <c r="Z977" s="35">
        <f t="shared" si="100"/>
        <v>0</v>
      </c>
      <c r="AA977" s="35">
        <f t="shared" si="101"/>
        <v>1</v>
      </c>
      <c r="AB977" s="35">
        <f t="shared" si="102"/>
        <v>0</v>
      </c>
    </row>
    <row r="978" spans="1:28">
      <c r="A978" s="35">
        <v>967</v>
      </c>
      <c r="B978" s="35">
        <v>3.7580737671698695E-4</v>
      </c>
      <c r="C978" s="232">
        <v>54.37</v>
      </c>
      <c r="D978" s="35">
        <v>5.0563632567167875</v>
      </c>
      <c r="E978" s="232">
        <v>35.67</v>
      </c>
      <c r="F978" s="35">
        <v>5.0487773626525154</v>
      </c>
      <c r="G978" s="232">
        <v>11269.45</v>
      </c>
      <c r="H978" s="35">
        <v>8.342266135115656</v>
      </c>
      <c r="I978" s="232">
        <v>12532.5</v>
      </c>
      <c r="J978" s="35">
        <v>7.0659534756157045</v>
      </c>
      <c r="K978" s="232">
        <v>13150.5</v>
      </c>
      <c r="L978" s="35">
        <v>8.6230894313007376</v>
      </c>
      <c r="M978" s="232">
        <v>38919.39</v>
      </c>
      <c r="N978" s="35">
        <v>7.6256201799142138</v>
      </c>
      <c r="P978" s="232">
        <v>-18.7</v>
      </c>
      <c r="Q978" s="35">
        <v>7.5858940642721251E-3</v>
      </c>
      <c r="R978" s="232">
        <v>1263.05</v>
      </c>
      <c r="S978" s="35">
        <v>1.2763126594999514</v>
      </c>
      <c r="T978" s="232">
        <v>25768.89</v>
      </c>
      <c r="U978" s="35">
        <v>0.99746925138652376</v>
      </c>
      <c r="W978" s="35">
        <f t="shared" si="97"/>
        <v>397.99470321360621</v>
      </c>
      <c r="X978" s="35">
        <f t="shared" si="98"/>
        <v>62552.582974997567</v>
      </c>
      <c r="Y978" s="35">
        <f t="shared" si="99"/>
        <v>24104.572569326192</v>
      </c>
      <c r="Z978" s="35">
        <f t="shared" si="100"/>
        <v>0</v>
      </c>
      <c r="AA978" s="35">
        <f t="shared" si="101"/>
        <v>1</v>
      </c>
      <c r="AB978" s="35">
        <f t="shared" si="102"/>
        <v>0</v>
      </c>
    </row>
    <row r="979" spans="1:28">
      <c r="A979" s="35">
        <v>968</v>
      </c>
      <c r="B979" s="35">
        <v>4.945976950402331E-4</v>
      </c>
      <c r="C979" s="232">
        <v>46.27</v>
      </c>
      <c r="D979" s="35">
        <v>5.0642341053648687</v>
      </c>
      <c r="E979" s="232">
        <v>29.07</v>
      </c>
      <c r="F979" s="35">
        <v>5.052370677493129</v>
      </c>
      <c r="G979" s="232">
        <v>7811.15</v>
      </c>
      <c r="H979" s="35">
        <v>8.7544511576047572</v>
      </c>
      <c r="I979" s="232">
        <v>9951.39</v>
      </c>
      <c r="J979" s="35">
        <v>7.6073773402757139</v>
      </c>
      <c r="K979" s="232">
        <v>7910.11</v>
      </c>
      <c r="L979" s="35">
        <v>8.8399218572231124</v>
      </c>
      <c r="M979" s="232">
        <v>33603.11</v>
      </c>
      <c r="N979" s="35">
        <v>7.7478459503982924</v>
      </c>
      <c r="P979" s="232">
        <v>-17.2</v>
      </c>
      <c r="Q979" s="35">
        <v>1.1863427871739773E-2</v>
      </c>
      <c r="R979" s="232">
        <v>2140.2399999999998</v>
      </c>
      <c r="S979" s="35">
        <v>1.1470738173290433</v>
      </c>
      <c r="T979" s="232">
        <v>25693</v>
      </c>
      <c r="U979" s="35">
        <v>1.09207590682482</v>
      </c>
      <c r="W979" s="35">
        <f t="shared" si="97"/>
        <v>610.37139358698869</v>
      </c>
      <c r="X979" s="35">
        <f t="shared" si="98"/>
        <v>55213.450866452171</v>
      </c>
      <c r="Y979" s="35">
        <f t="shared" si="99"/>
        <v>28910.795341240999</v>
      </c>
      <c r="Z979" s="35">
        <f t="shared" si="100"/>
        <v>0</v>
      </c>
      <c r="AA979" s="35">
        <f t="shared" si="101"/>
        <v>1</v>
      </c>
      <c r="AB979" s="35">
        <f t="shared" si="102"/>
        <v>0</v>
      </c>
    </row>
    <row r="980" spans="1:28">
      <c r="A980" s="35">
        <v>969</v>
      </c>
      <c r="B980" s="35">
        <v>4.0637310984483681E-4</v>
      </c>
      <c r="C980" s="232">
        <v>46.24</v>
      </c>
      <c r="D980" s="35">
        <v>5.0595223968472789</v>
      </c>
      <c r="E980" s="232">
        <v>29.06</v>
      </c>
      <c r="F980" s="35">
        <v>5.0497841142616142</v>
      </c>
      <c r="G980" s="232">
        <v>9577.75</v>
      </c>
      <c r="H980" s="35">
        <v>9.0377971193137085</v>
      </c>
      <c r="I980" s="232">
        <v>11806.25</v>
      </c>
      <c r="J980" s="35">
        <v>7.9968092675434947</v>
      </c>
      <c r="K980" s="232">
        <v>9423.7199999999993</v>
      </c>
      <c r="L980" s="35">
        <v>8.5067725085003545</v>
      </c>
      <c r="M980" s="232">
        <v>35153.69</v>
      </c>
      <c r="N980" s="35">
        <v>7.496677619244041</v>
      </c>
      <c r="P980" s="232">
        <v>-17.190000000000001</v>
      </c>
      <c r="Q980" s="35">
        <v>9.7382825856646704E-3</v>
      </c>
      <c r="R980" s="232">
        <v>2228.5</v>
      </c>
      <c r="S980" s="35">
        <v>1.0409878517702138</v>
      </c>
      <c r="T980" s="232">
        <v>25729.96</v>
      </c>
      <c r="U980" s="35">
        <v>1.0100948892563135</v>
      </c>
      <c r="W980" s="35">
        <f t="shared" si="97"/>
        <v>504.10412928323353</v>
      </c>
      <c r="X980" s="35">
        <f t="shared" si="98"/>
        <v>49820.892588510687</v>
      </c>
      <c r="Y980" s="35">
        <f t="shared" si="99"/>
        <v>24774.784462815674</v>
      </c>
      <c r="Z980" s="35">
        <f t="shared" si="100"/>
        <v>0</v>
      </c>
      <c r="AA980" s="35">
        <f t="shared" si="101"/>
        <v>1</v>
      </c>
      <c r="AB980" s="35">
        <f t="shared" si="102"/>
        <v>0</v>
      </c>
    </row>
    <row r="981" spans="1:28">
      <c r="A981" s="35">
        <v>970</v>
      </c>
      <c r="B981" s="35">
        <v>4.9754739813367976E-4</v>
      </c>
      <c r="C981" s="232">
        <v>69.42</v>
      </c>
      <c r="D981" s="35">
        <v>5.0650846213241474</v>
      </c>
      <c r="E981" s="232">
        <v>39.06</v>
      </c>
      <c r="F981" s="35">
        <v>5.0517701679950706</v>
      </c>
      <c r="G981" s="232">
        <v>11500.77</v>
      </c>
      <c r="H981" s="35">
        <v>9.1045224329612342</v>
      </c>
      <c r="I981" s="232">
        <v>13021.81</v>
      </c>
      <c r="J981" s="35">
        <v>7.6529005397536451</v>
      </c>
      <c r="K981" s="232">
        <v>13237.02</v>
      </c>
      <c r="L981" s="35">
        <v>8.7744510525046895</v>
      </c>
      <c r="M981" s="232">
        <v>39244.69</v>
      </c>
      <c r="N981" s="35">
        <v>7.7202149759454519</v>
      </c>
      <c r="P981" s="232">
        <v>-30.36</v>
      </c>
      <c r="Q981" s="35">
        <v>1.331445332907677E-2</v>
      </c>
      <c r="R981" s="232">
        <v>1521.04</v>
      </c>
      <c r="S981" s="35">
        <v>1.4516218932075891</v>
      </c>
      <c r="T981" s="232">
        <v>26007.67</v>
      </c>
      <c r="U981" s="35">
        <v>1.0542360765592376</v>
      </c>
      <c r="W981" s="35">
        <f t="shared" si="97"/>
        <v>696.08266645383844</v>
      </c>
      <c r="X981" s="35">
        <f t="shared" si="98"/>
        <v>71060.054660379465</v>
      </c>
      <c r="Y981" s="35">
        <f t="shared" si="99"/>
        <v>26704.133827961879</v>
      </c>
      <c r="Z981" s="35">
        <f t="shared" si="100"/>
        <v>0</v>
      </c>
      <c r="AA981" s="35">
        <f t="shared" si="101"/>
        <v>1</v>
      </c>
      <c r="AB981" s="35">
        <f t="shared" si="102"/>
        <v>0</v>
      </c>
    </row>
    <row r="982" spans="1:28">
      <c r="A982" s="35">
        <v>971</v>
      </c>
      <c r="B982" s="35">
        <v>4.0524419229678827E-4</v>
      </c>
      <c r="C982" s="232">
        <v>48.27</v>
      </c>
      <c r="D982" s="35">
        <v>5.0587897250599205</v>
      </c>
      <c r="E982" s="232">
        <v>30.64</v>
      </c>
      <c r="F982" s="35">
        <v>5.0495851036760468</v>
      </c>
      <c r="G982" s="232">
        <v>9067.83</v>
      </c>
      <c r="H982" s="35">
        <v>8.6772895867738669</v>
      </c>
      <c r="I982" s="232">
        <v>9765.35</v>
      </c>
      <c r="J982" s="35">
        <v>7.0440504303600324</v>
      </c>
      <c r="K982" s="232">
        <v>11527.48</v>
      </c>
      <c r="L982" s="35">
        <v>8.599069237178723</v>
      </c>
      <c r="M982" s="232">
        <v>37401.870000000003</v>
      </c>
      <c r="N982" s="35">
        <v>7.5105739991517462</v>
      </c>
      <c r="P982" s="232">
        <v>-17.63</v>
      </c>
      <c r="Q982" s="35">
        <v>9.204621383873679E-3</v>
      </c>
      <c r="R982" s="232">
        <v>697.52</v>
      </c>
      <c r="S982" s="35">
        <v>1.6332391564138344</v>
      </c>
      <c r="T982" s="232">
        <v>25874.39</v>
      </c>
      <c r="U982" s="35">
        <v>1.0884952380269768</v>
      </c>
      <c r="W982" s="35">
        <f t="shared" si="97"/>
        <v>477.86106919368393</v>
      </c>
      <c r="X982" s="35">
        <f t="shared" si="98"/>
        <v>80964.437820691717</v>
      </c>
      <c r="Y982" s="35">
        <f t="shared" si="99"/>
        <v>28550.371901348837</v>
      </c>
      <c r="Z982" s="35">
        <f t="shared" si="100"/>
        <v>0</v>
      </c>
      <c r="AA982" s="35">
        <f t="shared" si="101"/>
        <v>1</v>
      </c>
      <c r="AB982" s="35">
        <f t="shared" si="102"/>
        <v>0</v>
      </c>
    </row>
    <row r="983" spans="1:28">
      <c r="A983" s="35">
        <v>972</v>
      </c>
      <c r="B983" s="35">
        <v>4.5066289519180014E-4</v>
      </c>
      <c r="C983" s="232">
        <v>64.53</v>
      </c>
      <c r="D983" s="35">
        <v>5.0616666698109496</v>
      </c>
      <c r="E983" s="232">
        <v>37.25</v>
      </c>
      <c r="F983" s="35">
        <v>5.0502795446139661</v>
      </c>
      <c r="G983" s="232">
        <v>11647.66</v>
      </c>
      <c r="H983" s="35">
        <v>8.8758103574820399</v>
      </c>
      <c r="I983" s="232">
        <v>13406.57</v>
      </c>
      <c r="J983" s="35">
        <v>8.0675558547955077</v>
      </c>
      <c r="K983" s="232">
        <v>13606.7</v>
      </c>
      <c r="L983" s="35">
        <v>8.575782177144589</v>
      </c>
      <c r="M983" s="232">
        <v>39631.519999999997</v>
      </c>
      <c r="N983" s="35">
        <v>7.4208193221363947</v>
      </c>
      <c r="P983" s="232">
        <v>-27.28</v>
      </c>
      <c r="Q983" s="35">
        <v>1.1387125196983483E-2</v>
      </c>
      <c r="R983" s="232">
        <v>1758.9</v>
      </c>
      <c r="S983" s="35">
        <v>0.80825450268653221</v>
      </c>
      <c r="T983" s="232">
        <v>26024.83</v>
      </c>
      <c r="U983" s="35">
        <v>1.1549628550081943</v>
      </c>
      <c r="W983" s="35">
        <f t="shared" si="97"/>
        <v>596.63625984917417</v>
      </c>
      <c r="X983" s="35">
        <f t="shared" si="98"/>
        <v>38653.825134326609</v>
      </c>
      <c r="Y983" s="35">
        <f t="shared" si="99"/>
        <v>31723.312750409714</v>
      </c>
      <c r="Z983" s="35">
        <f t="shared" si="100"/>
        <v>0</v>
      </c>
      <c r="AA983" s="35">
        <f t="shared" si="101"/>
        <v>1</v>
      </c>
      <c r="AB983" s="35">
        <f t="shared" si="102"/>
        <v>0</v>
      </c>
    </row>
    <row r="984" spans="1:28">
      <c r="A984" s="35">
        <v>973</v>
      </c>
      <c r="B984" s="35">
        <v>4.0156712104388035E-4</v>
      </c>
      <c r="C984" s="232">
        <v>48.23</v>
      </c>
      <c r="D984" s="35">
        <v>5.0593783341785645</v>
      </c>
      <c r="E984" s="232">
        <v>30.74</v>
      </c>
      <c r="F984" s="35">
        <v>5.0499686579798242</v>
      </c>
      <c r="G984" s="232">
        <v>9286.76</v>
      </c>
      <c r="H984" s="35">
        <v>8.8401013050711086</v>
      </c>
      <c r="I984" s="232">
        <v>10526.74</v>
      </c>
      <c r="J984" s="35">
        <v>7.7448228564697565</v>
      </c>
      <c r="K984" s="232">
        <v>12234.17</v>
      </c>
      <c r="L984" s="35">
        <v>8.7906900496684539</v>
      </c>
      <c r="M984" s="232">
        <v>38151.07</v>
      </c>
      <c r="N984" s="35">
        <v>7.7231221381715223</v>
      </c>
      <c r="P984" s="232">
        <v>-17.489999999999998</v>
      </c>
      <c r="Q984" s="35">
        <v>9.4096761987403355E-3</v>
      </c>
      <c r="R984" s="232">
        <v>1239.98</v>
      </c>
      <c r="S984" s="35">
        <v>1.095278448601352</v>
      </c>
      <c r="T984" s="232">
        <v>25916.9</v>
      </c>
      <c r="U984" s="35">
        <v>1.0675679114969316</v>
      </c>
      <c r="W984" s="35">
        <f t="shared" si="97"/>
        <v>487.97380993701677</v>
      </c>
      <c r="X984" s="35">
        <f t="shared" si="98"/>
        <v>53523.942430067596</v>
      </c>
      <c r="Y984" s="35">
        <f t="shared" si="99"/>
        <v>27461.49557484658</v>
      </c>
      <c r="Z984" s="35">
        <f t="shared" si="100"/>
        <v>0</v>
      </c>
      <c r="AA984" s="35">
        <f t="shared" si="101"/>
        <v>1</v>
      </c>
      <c r="AB984" s="35">
        <f t="shared" si="102"/>
        <v>0</v>
      </c>
    </row>
    <row r="985" spans="1:28">
      <c r="A985" s="35">
        <v>974</v>
      </c>
      <c r="B985" s="35">
        <v>4.9939440639101829E-4</v>
      </c>
      <c r="C985" s="232">
        <v>89.89</v>
      </c>
      <c r="D985" s="35">
        <v>5.0654933355755798</v>
      </c>
      <c r="E985" s="232">
        <v>63.44</v>
      </c>
      <c r="F985" s="35">
        <v>5.0562553351929616</v>
      </c>
      <c r="G985" s="232">
        <v>13685.8</v>
      </c>
      <c r="H985" s="35">
        <v>9.0885618423044434</v>
      </c>
      <c r="I985" s="232">
        <v>15017.84</v>
      </c>
      <c r="J985" s="35">
        <v>8.4977609973318255</v>
      </c>
      <c r="K985" s="232">
        <v>18689.72</v>
      </c>
      <c r="L985" s="35">
        <v>8.6188190888549041</v>
      </c>
      <c r="M985" s="232">
        <v>44998.97</v>
      </c>
      <c r="N985" s="35">
        <v>7.4711992062416037</v>
      </c>
      <c r="P985" s="232">
        <v>-26.45</v>
      </c>
      <c r="Q985" s="35">
        <v>9.2380003826182389E-3</v>
      </c>
      <c r="R985" s="232">
        <v>1332.05</v>
      </c>
      <c r="S985" s="35">
        <v>0.59080084497261787</v>
      </c>
      <c r="T985" s="232">
        <v>26309.24</v>
      </c>
      <c r="U985" s="35">
        <v>1.1476198826133004</v>
      </c>
      <c r="W985" s="35">
        <f t="shared" si="97"/>
        <v>488.3500191309119</v>
      </c>
      <c r="X985" s="35">
        <f t="shared" si="98"/>
        <v>28207.992248630893</v>
      </c>
      <c r="Y985" s="35">
        <f t="shared" si="99"/>
        <v>31071.75413066502</v>
      </c>
      <c r="Z985" s="35">
        <f t="shared" si="100"/>
        <v>0</v>
      </c>
      <c r="AA985" s="35">
        <f t="shared" si="101"/>
        <v>0</v>
      </c>
      <c r="AB985" s="35">
        <f t="shared" si="102"/>
        <v>1</v>
      </c>
    </row>
    <row r="986" spans="1:28">
      <c r="A986" s="35">
        <v>975</v>
      </c>
      <c r="B986" s="35">
        <v>4.7207958040251796E-4</v>
      </c>
      <c r="C986" s="232">
        <v>65.22</v>
      </c>
      <c r="D986" s="35">
        <v>5.0638510659293159</v>
      </c>
      <c r="E986" s="232">
        <v>46.36</v>
      </c>
      <c r="F986" s="35">
        <v>5.0548958696382309</v>
      </c>
      <c r="G986" s="232">
        <v>10520.71</v>
      </c>
      <c r="H986" s="35">
        <v>9.0366544566625517</v>
      </c>
      <c r="I986" s="232">
        <v>11736.62</v>
      </c>
      <c r="J986" s="35">
        <v>8.0422216951206131</v>
      </c>
      <c r="K986" s="232">
        <v>13413.13</v>
      </c>
      <c r="L986" s="35">
        <v>8.6449133021899218</v>
      </c>
      <c r="M986" s="232">
        <v>39360.67</v>
      </c>
      <c r="N986" s="35">
        <v>7.5627324441187831</v>
      </c>
      <c r="P986" s="232">
        <v>-18.86</v>
      </c>
      <c r="Q986" s="35">
        <v>8.955196291084988E-3</v>
      </c>
      <c r="R986" s="232">
        <v>1215.92</v>
      </c>
      <c r="S986" s="35">
        <v>0.9944327615419386</v>
      </c>
      <c r="T986" s="232">
        <v>25947.54</v>
      </c>
      <c r="U986" s="35">
        <v>1.0821808580711387</v>
      </c>
      <c r="W986" s="35">
        <f t="shared" si="97"/>
        <v>466.61981455424939</v>
      </c>
      <c r="X986" s="35">
        <f t="shared" si="98"/>
        <v>48505.718077096935</v>
      </c>
      <c r="Y986" s="35">
        <f t="shared" si="99"/>
        <v>28161.502903556939</v>
      </c>
      <c r="Z986" s="35">
        <f t="shared" si="100"/>
        <v>0</v>
      </c>
      <c r="AA986" s="35">
        <f t="shared" si="101"/>
        <v>1</v>
      </c>
      <c r="AB986" s="35">
        <f t="shared" si="102"/>
        <v>0</v>
      </c>
    </row>
    <row r="987" spans="1:28">
      <c r="A987" s="35">
        <v>976</v>
      </c>
      <c r="B987" s="35">
        <v>6.2273300085846639E-4</v>
      </c>
      <c r="C987" s="232">
        <v>91.03</v>
      </c>
      <c r="D987" s="35">
        <v>5.0696296534973824</v>
      </c>
      <c r="E987" s="232">
        <v>50.74</v>
      </c>
      <c r="F987" s="35">
        <v>5.0543166482286832</v>
      </c>
      <c r="G987" s="232">
        <v>11649.11</v>
      </c>
      <c r="H987" s="35">
        <v>8.3037516947063406</v>
      </c>
      <c r="I987" s="232">
        <v>12932.12</v>
      </c>
      <c r="J987" s="35">
        <v>7.0277473044997718</v>
      </c>
      <c r="K987" s="232">
        <v>15127.85</v>
      </c>
      <c r="L987" s="35">
        <v>9.1016587745836137</v>
      </c>
      <c r="M987" s="232">
        <v>41184.050000000003</v>
      </c>
      <c r="N987" s="35">
        <v>7.9610766354879301</v>
      </c>
      <c r="P987" s="232">
        <v>-40.29</v>
      </c>
      <c r="Q987" s="35">
        <v>1.5313005268699165E-2</v>
      </c>
      <c r="R987" s="232">
        <v>1283.01</v>
      </c>
      <c r="S987" s="35">
        <v>1.2760043902065688</v>
      </c>
      <c r="T987" s="232">
        <v>26056.21</v>
      </c>
      <c r="U987" s="35">
        <v>1.1405821390956836</v>
      </c>
      <c r="W987" s="35">
        <f t="shared" si="97"/>
        <v>805.94026343495818</v>
      </c>
      <c r="X987" s="35">
        <f t="shared" si="98"/>
        <v>62517.209510328437</v>
      </c>
      <c r="Y987" s="35">
        <f t="shared" si="99"/>
        <v>30972.896954784184</v>
      </c>
      <c r="Z987" s="35">
        <f t="shared" si="100"/>
        <v>0</v>
      </c>
      <c r="AA987" s="35">
        <f t="shared" si="101"/>
        <v>1</v>
      </c>
      <c r="AB987" s="35">
        <f t="shared" si="102"/>
        <v>0</v>
      </c>
    </row>
    <row r="988" spans="1:28">
      <c r="A988" s="35">
        <v>977</v>
      </c>
      <c r="B988" s="35">
        <v>4.3514389496289723E-4</v>
      </c>
      <c r="C988" s="232">
        <v>50.51</v>
      </c>
      <c r="D988" s="35">
        <v>5.0616509687802482</v>
      </c>
      <c r="E988" s="232">
        <v>35.93</v>
      </c>
      <c r="F988" s="35">
        <v>5.0530790490349959</v>
      </c>
      <c r="G988" s="232">
        <v>9121.6</v>
      </c>
      <c r="H988" s="35">
        <v>8.8483531575784138</v>
      </c>
      <c r="I988" s="232">
        <v>10799.76</v>
      </c>
      <c r="J988" s="35">
        <v>7.7362932675156753</v>
      </c>
      <c r="K988" s="232">
        <v>10453.56</v>
      </c>
      <c r="L988" s="35">
        <v>8.8061589799865914</v>
      </c>
      <c r="M988" s="232">
        <v>36242.019999999997</v>
      </c>
      <c r="N988" s="35">
        <v>7.7185443821575532</v>
      </c>
      <c r="P988" s="232">
        <v>-14.59</v>
      </c>
      <c r="Q988" s="35">
        <v>8.5719197452522877E-3</v>
      </c>
      <c r="R988" s="232">
        <v>1678.16</v>
      </c>
      <c r="S988" s="35">
        <v>1.1120598900627385</v>
      </c>
      <c r="T988" s="232">
        <v>25788.47</v>
      </c>
      <c r="U988" s="35">
        <v>1.0876145978290381</v>
      </c>
      <c r="W988" s="35">
        <f t="shared" si="97"/>
        <v>443.18598726261433</v>
      </c>
      <c r="X988" s="35">
        <f t="shared" si="98"/>
        <v>53924.834503136924</v>
      </c>
      <c r="Y988" s="35">
        <f t="shared" si="99"/>
        <v>28592.259891451904</v>
      </c>
      <c r="Z988" s="35">
        <f t="shared" si="100"/>
        <v>0</v>
      </c>
      <c r="AA988" s="35">
        <f t="shared" si="101"/>
        <v>1</v>
      </c>
      <c r="AB988" s="35">
        <f t="shared" si="102"/>
        <v>0</v>
      </c>
    </row>
    <row r="989" spans="1:28">
      <c r="A989" s="35">
        <v>978</v>
      </c>
      <c r="B989" s="35">
        <v>4.8613285328480416E-4</v>
      </c>
      <c r="C989" s="232">
        <v>76.41</v>
      </c>
      <c r="D989" s="35">
        <v>5.0635085143065783</v>
      </c>
      <c r="E989" s="232">
        <v>51.29</v>
      </c>
      <c r="F989" s="35">
        <v>5.0538683675862339</v>
      </c>
      <c r="G989" s="232">
        <v>12565.93</v>
      </c>
      <c r="H989" s="35">
        <v>8.7539188279027105</v>
      </c>
      <c r="I989" s="232">
        <v>13757.82</v>
      </c>
      <c r="J989" s="35">
        <v>7.419444197850793</v>
      </c>
      <c r="K989" s="232">
        <v>15703.07</v>
      </c>
      <c r="L989" s="35">
        <v>8.5089172377454805</v>
      </c>
      <c r="M989" s="232">
        <v>41771.440000000002</v>
      </c>
      <c r="N989" s="35">
        <v>7.3919649503207232</v>
      </c>
      <c r="P989" s="232">
        <v>-25.12</v>
      </c>
      <c r="Q989" s="35">
        <v>9.6401467203444113E-3</v>
      </c>
      <c r="R989" s="232">
        <v>1191.8900000000001</v>
      </c>
      <c r="S989" s="35">
        <v>1.3344746300519175</v>
      </c>
      <c r="T989" s="232">
        <v>26068.37</v>
      </c>
      <c r="U989" s="35">
        <v>1.1169522874247573</v>
      </c>
      <c r="W989" s="35">
        <f t="shared" si="97"/>
        <v>507.12733601722056</v>
      </c>
      <c r="X989" s="35">
        <f t="shared" si="98"/>
        <v>65531.841502595867</v>
      </c>
      <c r="Y989" s="35">
        <f t="shared" si="99"/>
        <v>29779.244371237863</v>
      </c>
      <c r="Z989" s="35">
        <f t="shared" si="100"/>
        <v>0</v>
      </c>
      <c r="AA989" s="35">
        <f t="shared" si="101"/>
        <v>1</v>
      </c>
      <c r="AB989" s="35">
        <f t="shared" si="102"/>
        <v>0</v>
      </c>
    </row>
    <row r="990" spans="1:28">
      <c r="A990" s="35">
        <v>979</v>
      </c>
      <c r="B990" s="35">
        <v>3.6742644862261217E-4</v>
      </c>
      <c r="C990" s="232">
        <v>38.51</v>
      </c>
      <c r="D990" s="35">
        <v>5.0589768122459891</v>
      </c>
      <c r="E990" s="232">
        <v>27.44</v>
      </c>
      <c r="F990" s="35">
        <v>5.050923048638051</v>
      </c>
      <c r="G990" s="232">
        <v>8060.27</v>
      </c>
      <c r="H990" s="35">
        <v>9.1399267288322772</v>
      </c>
      <c r="I990" s="232">
        <v>9682.9699999999993</v>
      </c>
      <c r="J990" s="35">
        <v>7.9314249594760486</v>
      </c>
      <c r="K990" s="232">
        <v>9126.1200000000008</v>
      </c>
      <c r="L990" s="35">
        <v>8.9848430274237998</v>
      </c>
      <c r="M990" s="232">
        <v>35029.83</v>
      </c>
      <c r="N990" s="35">
        <v>7.8029476209508672</v>
      </c>
      <c r="P990" s="232">
        <v>-11.07</v>
      </c>
      <c r="Q990" s="35">
        <v>8.0537636079380803E-3</v>
      </c>
      <c r="R990" s="232">
        <v>1622.7</v>
      </c>
      <c r="S990" s="35">
        <v>1.2085017693562286</v>
      </c>
      <c r="T990" s="232">
        <v>25903.71</v>
      </c>
      <c r="U990" s="35">
        <v>1.1818954064729326</v>
      </c>
      <c r="W990" s="35">
        <f t="shared" si="97"/>
        <v>413.75818039690404</v>
      </c>
      <c r="X990" s="35">
        <f t="shared" si="98"/>
        <v>58802.388467811434</v>
      </c>
      <c r="Y990" s="35">
        <f t="shared" si="99"/>
        <v>33191.060323646627</v>
      </c>
      <c r="Z990" s="35">
        <f t="shared" si="100"/>
        <v>0</v>
      </c>
      <c r="AA990" s="35">
        <f t="shared" si="101"/>
        <v>1</v>
      </c>
      <c r="AB990" s="35">
        <f t="shared" si="102"/>
        <v>0</v>
      </c>
    </row>
    <row r="991" spans="1:28">
      <c r="A991" s="35">
        <v>980</v>
      </c>
      <c r="B991" s="35">
        <v>3.8778525118478849E-4</v>
      </c>
      <c r="C991" s="232">
        <v>57.98</v>
      </c>
      <c r="D991" s="35">
        <v>5.0574156014023277</v>
      </c>
      <c r="E991" s="232">
        <v>39.78</v>
      </c>
      <c r="F991" s="35">
        <v>5.0500649226271577</v>
      </c>
      <c r="G991" s="232">
        <v>11731.39</v>
      </c>
      <c r="H991" s="35">
        <v>8.5767322786623428</v>
      </c>
      <c r="I991" s="232">
        <v>13370.48</v>
      </c>
      <c r="J991" s="35">
        <v>7.9212438295599146</v>
      </c>
      <c r="K991" s="232">
        <v>14830.47</v>
      </c>
      <c r="L991" s="35">
        <v>8.2932006879154461</v>
      </c>
      <c r="M991" s="232">
        <v>40891.449999999997</v>
      </c>
      <c r="N991" s="35">
        <v>7.2186500447592135</v>
      </c>
      <c r="P991" s="232">
        <v>-18.2</v>
      </c>
      <c r="Q991" s="35">
        <v>7.3506787751700386E-3</v>
      </c>
      <c r="R991" s="232">
        <v>1639.1</v>
      </c>
      <c r="S991" s="35">
        <v>0.65548844910242821</v>
      </c>
      <c r="T991" s="232">
        <v>26060.97</v>
      </c>
      <c r="U991" s="35">
        <v>1.0745506431562326</v>
      </c>
      <c r="W991" s="35">
        <f t="shared" si="97"/>
        <v>385.73393875850189</v>
      </c>
      <c r="X991" s="35">
        <f t="shared" si="98"/>
        <v>31135.322455121415</v>
      </c>
      <c r="Y991" s="35">
        <f t="shared" si="99"/>
        <v>27666.562157811626</v>
      </c>
      <c r="Z991" s="35">
        <f t="shared" si="100"/>
        <v>0</v>
      </c>
      <c r="AA991" s="35">
        <f t="shared" si="101"/>
        <v>1</v>
      </c>
      <c r="AB991" s="35">
        <f t="shared" si="102"/>
        <v>0</v>
      </c>
    </row>
    <row r="992" spans="1:28">
      <c r="A992" s="35">
        <v>981</v>
      </c>
      <c r="B992" s="35">
        <v>5.6431428033587583E-4</v>
      </c>
      <c r="C992" s="232">
        <v>118.04</v>
      </c>
      <c r="D992" s="35">
        <v>5.0669152594741682</v>
      </c>
      <c r="E992" s="232">
        <v>66.849999999999994</v>
      </c>
      <c r="F992" s="35">
        <v>5.0534398144981223</v>
      </c>
      <c r="G992" s="232">
        <v>16566.68</v>
      </c>
      <c r="H992" s="35">
        <v>8.6295659419354749</v>
      </c>
      <c r="I992" s="232">
        <v>16550.79</v>
      </c>
      <c r="J992" s="35">
        <v>6.8799699068620965</v>
      </c>
      <c r="K992" s="232">
        <v>21585.98</v>
      </c>
      <c r="L992" s="35">
        <v>8.6364240834307697</v>
      </c>
      <c r="M992" s="232">
        <v>48089.89</v>
      </c>
      <c r="N992" s="35">
        <v>7.5063475509150974</v>
      </c>
      <c r="P992" s="232">
        <v>-51.19</v>
      </c>
      <c r="Q992" s="35">
        <v>1.3475444976045914E-2</v>
      </c>
      <c r="R992" s="232">
        <v>-15.89</v>
      </c>
      <c r="S992" s="35">
        <v>1.7495960350733784</v>
      </c>
      <c r="T992" s="232">
        <v>26503.91</v>
      </c>
      <c r="U992" s="35">
        <v>1.1300765325156723</v>
      </c>
      <c r="W992" s="35">
        <f t="shared" si="97"/>
        <v>724.96224880229579</v>
      </c>
      <c r="X992" s="35">
        <f t="shared" si="98"/>
        <v>87495.691753668914</v>
      </c>
      <c r="Y992" s="35">
        <f t="shared" si="99"/>
        <v>29999.916625783615</v>
      </c>
      <c r="Z992" s="35">
        <f t="shared" si="100"/>
        <v>0</v>
      </c>
      <c r="AA992" s="35">
        <f t="shared" si="101"/>
        <v>1</v>
      </c>
      <c r="AB992" s="35">
        <f t="shared" si="102"/>
        <v>0</v>
      </c>
    </row>
    <row r="993" spans="1:28">
      <c r="A993" s="35">
        <v>982</v>
      </c>
      <c r="B993" s="35">
        <v>4.0731853317340169E-4</v>
      </c>
      <c r="C993" s="232">
        <v>82.83</v>
      </c>
      <c r="D993" s="35">
        <v>5.0581381907205527</v>
      </c>
      <c r="E993" s="232">
        <v>49.8</v>
      </c>
      <c r="F993" s="35">
        <v>5.0491820604334077</v>
      </c>
      <c r="G993" s="232">
        <v>16015.91</v>
      </c>
      <c r="H993" s="35">
        <v>8.4127602404972972</v>
      </c>
      <c r="I993" s="232">
        <v>15455.93</v>
      </c>
      <c r="J993" s="35">
        <v>6.3457785098628241</v>
      </c>
      <c r="K993" s="232">
        <v>21271.05</v>
      </c>
      <c r="L993" s="35">
        <v>8.6014537384708767</v>
      </c>
      <c r="M993" s="232">
        <v>47769.02</v>
      </c>
      <c r="N993" s="35">
        <v>7.5166732920627872</v>
      </c>
      <c r="P993" s="232">
        <v>-33.03</v>
      </c>
      <c r="Q993" s="35">
        <v>8.9561302871450366E-3</v>
      </c>
      <c r="R993" s="232">
        <v>-559.98</v>
      </c>
      <c r="S993" s="35">
        <v>2.0669817306344731</v>
      </c>
      <c r="T993" s="232">
        <v>26497.98</v>
      </c>
      <c r="U993" s="35">
        <v>1.0847804464080895</v>
      </c>
      <c r="W993" s="35">
        <f t="shared" si="97"/>
        <v>480.83651435725187</v>
      </c>
      <c r="X993" s="35">
        <f t="shared" si="98"/>
        <v>103909.06653172366</v>
      </c>
      <c r="Y993" s="35">
        <f t="shared" si="99"/>
        <v>27741.042320404475</v>
      </c>
      <c r="Z993" s="35">
        <f t="shared" si="100"/>
        <v>0</v>
      </c>
      <c r="AA993" s="35">
        <f t="shared" si="101"/>
        <v>1</v>
      </c>
      <c r="AB993" s="35">
        <f t="shared" si="102"/>
        <v>0</v>
      </c>
    </row>
    <row r="994" spans="1:28">
      <c r="A994" s="35">
        <v>983</v>
      </c>
      <c r="B994" s="35">
        <v>4.4006557834889943E-4</v>
      </c>
      <c r="C994" s="232">
        <v>73.78</v>
      </c>
      <c r="D994" s="35">
        <v>5.0608189851466108</v>
      </c>
      <c r="E994" s="232">
        <v>47.21</v>
      </c>
      <c r="F994" s="35">
        <v>5.0514338975715418</v>
      </c>
      <c r="G994" s="232">
        <v>13047.47</v>
      </c>
      <c r="H994" s="35">
        <v>8.8311580702988</v>
      </c>
      <c r="I994" s="232">
        <v>14143.88</v>
      </c>
      <c r="J994" s="35">
        <v>7.2824228027288394</v>
      </c>
      <c r="K994" s="232">
        <v>13945.52</v>
      </c>
      <c r="L994" s="35">
        <v>8.4802464741759351</v>
      </c>
      <c r="M994" s="232">
        <v>40019.11</v>
      </c>
      <c r="N994" s="35">
        <v>7.4153660461516502</v>
      </c>
      <c r="P994" s="232">
        <v>-26.58</v>
      </c>
      <c r="Q994" s="35">
        <v>9.3850875750689511E-3</v>
      </c>
      <c r="R994" s="232">
        <v>1096.4100000000001</v>
      </c>
      <c r="S994" s="35">
        <v>1.5487352675699606</v>
      </c>
      <c r="T994" s="232">
        <v>26073.58</v>
      </c>
      <c r="U994" s="35">
        <v>1.064880428024285</v>
      </c>
      <c r="W994" s="35">
        <f t="shared" si="97"/>
        <v>495.83437875344754</v>
      </c>
      <c r="X994" s="35">
        <f t="shared" si="98"/>
        <v>76340.353378498025</v>
      </c>
      <c r="Y994" s="35">
        <f t="shared" si="99"/>
        <v>27170.441401214244</v>
      </c>
      <c r="Z994" s="35">
        <f t="shared" si="100"/>
        <v>0</v>
      </c>
      <c r="AA994" s="35">
        <f t="shared" si="101"/>
        <v>1</v>
      </c>
      <c r="AB994" s="35">
        <f t="shared" si="102"/>
        <v>0</v>
      </c>
    </row>
    <row r="995" spans="1:28">
      <c r="A995" s="35">
        <v>984</v>
      </c>
      <c r="B995" s="35">
        <v>5.6372059402787222E-4</v>
      </c>
      <c r="C995" s="232">
        <v>74.88</v>
      </c>
      <c r="D995" s="35">
        <v>5.0671722177258385</v>
      </c>
      <c r="E995" s="232">
        <v>49.51</v>
      </c>
      <c r="F995" s="35">
        <v>5.0558300777337237</v>
      </c>
      <c r="G995" s="232">
        <v>9833.48</v>
      </c>
      <c r="H995" s="35">
        <v>8.5858479208793366</v>
      </c>
      <c r="I995" s="232">
        <v>10493.52</v>
      </c>
      <c r="J995" s="35">
        <v>7.2320202559545317</v>
      </c>
      <c r="K995" s="232">
        <v>13200.99</v>
      </c>
      <c r="L995" s="35">
        <v>8.8863941378745519</v>
      </c>
      <c r="M995" s="232">
        <v>39161.980000000003</v>
      </c>
      <c r="N995" s="35">
        <v>7.8502635681310959</v>
      </c>
      <c r="P995" s="232">
        <v>-25.37</v>
      </c>
      <c r="Q995" s="35">
        <v>1.1342139992114753E-2</v>
      </c>
      <c r="R995" s="232">
        <v>660.03</v>
      </c>
      <c r="S995" s="35">
        <v>1.3538276649248049</v>
      </c>
      <c r="T995" s="232">
        <v>25960.99</v>
      </c>
      <c r="U995" s="35">
        <v>1.036130569743456</v>
      </c>
      <c r="W995" s="35">
        <f t="shared" si="97"/>
        <v>592.47699960573766</v>
      </c>
      <c r="X995" s="35">
        <f t="shared" si="98"/>
        <v>67031.353246240251</v>
      </c>
      <c r="Y995" s="35">
        <f t="shared" si="99"/>
        <v>25845.538487172798</v>
      </c>
      <c r="Z995" s="35">
        <f t="shared" si="100"/>
        <v>0</v>
      </c>
      <c r="AA995" s="35">
        <f t="shared" si="101"/>
        <v>1</v>
      </c>
      <c r="AB995" s="35">
        <f t="shared" si="102"/>
        <v>0</v>
      </c>
    </row>
    <row r="996" spans="1:28">
      <c r="A996" s="35">
        <v>985</v>
      </c>
      <c r="B996" s="35">
        <v>5.4740334075442654E-4</v>
      </c>
      <c r="C996" s="232">
        <v>68.98</v>
      </c>
      <c r="D996" s="35">
        <v>5.066620006294011</v>
      </c>
      <c r="E996" s="232">
        <v>43.74</v>
      </c>
      <c r="F996" s="35">
        <v>5.0545948309148905</v>
      </c>
      <c r="G996" s="232">
        <v>10258.66</v>
      </c>
      <c r="H996" s="35">
        <v>8.6085604552296946</v>
      </c>
      <c r="I996" s="232">
        <v>12175.1</v>
      </c>
      <c r="J996" s="35">
        <v>7.776486573931324</v>
      </c>
      <c r="K996" s="232">
        <v>11739.6</v>
      </c>
      <c r="L996" s="35">
        <v>8.7981426597601242</v>
      </c>
      <c r="M996" s="232">
        <v>37629.78</v>
      </c>
      <c r="N996" s="35">
        <v>7.6715029410099032</v>
      </c>
      <c r="P996" s="232">
        <v>-25.24</v>
      </c>
      <c r="Q996" s="35">
        <v>1.2025175379120512E-2</v>
      </c>
      <c r="R996" s="232">
        <v>1916.44</v>
      </c>
      <c r="S996" s="35">
        <v>0.83207388129837057</v>
      </c>
      <c r="T996" s="232">
        <v>25890.18</v>
      </c>
      <c r="U996" s="35">
        <v>1.1266397187502211</v>
      </c>
      <c r="W996" s="35">
        <f t="shared" si="97"/>
        <v>626.49876895602563</v>
      </c>
      <c r="X996" s="35">
        <f t="shared" si="98"/>
        <v>39687.254064918525</v>
      </c>
      <c r="Y996" s="35">
        <f t="shared" si="99"/>
        <v>30441.805937511053</v>
      </c>
      <c r="Z996" s="35">
        <f t="shared" si="100"/>
        <v>0</v>
      </c>
      <c r="AA996" s="35">
        <f t="shared" si="101"/>
        <v>1</v>
      </c>
      <c r="AB996" s="35">
        <f t="shared" si="102"/>
        <v>0</v>
      </c>
    </row>
    <row r="997" spans="1:28">
      <c r="A997" s="35">
        <v>986</v>
      </c>
      <c r="B997" s="35">
        <v>4.3834089607050654E-4</v>
      </c>
      <c r="C997" s="232">
        <v>62.71</v>
      </c>
      <c r="D997" s="35">
        <v>5.0599482650695027</v>
      </c>
      <c r="E997" s="232">
        <v>33.270000000000003</v>
      </c>
      <c r="F997" s="35">
        <v>5.0483202968735394</v>
      </c>
      <c r="G997" s="232">
        <v>11245.19</v>
      </c>
      <c r="H997" s="35">
        <v>8.6481389417351373</v>
      </c>
      <c r="I997" s="232">
        <v>12006.01</v>
      </c>
      <c r="J997" s="35">
        <v>7.2851835280802275</v>
      </c>
      <c r="K997" s="232">
        <v>14667.53</v>
      </c>
      <c r="L997" s="35">
        <v>8.5538050888388515</v>
      </c>
      <c r="M997" s="232">
        <v>40799.81</v>
      </c>
      <c r="N997" s="35">
        <v>7.5068986951098235</v>
      </c>
      <c r="P997" s="232">
        <v>-29.44</v>
      </c>
      <c r="Q997" s="35">
        <v>1.1627968195963234E-2</v>
      </c>
      <c r="R997" s="232">
        <v>760.83</v>
      </c>
      <c r="S997" s="35">
        <v>1.3629554136549098</v>
      </c>
      <c r="T997" s="232">
        <v>26132.28</v>
      </c>
      <c r="U997" s="35">
        <v>1.0469063937290279</v>
      </c>
      <c r="W997" s="35">
        <f t="shared" si="97"/>
        <v>610.83840979816182</v>
      </c>
      <c r="X997" s="35">
        <f t="shared" si="98"/>
        <v>67386.940682745495</v>
      </c>
      <c r="Y997" s="35">
        <f t="shared" si="99"/>
        <v>26213.039686451397</v>
      </c>
      <c r="Z997" s="35">
        <f t="shared" si="100"/>
        <v>0</v>
      </c>
      <c r="AA997" s="35">
        <f t="shared" si="101"/>
        <v>1</v>
      </c>
      <c r="AB997" s="35">
        <f t="shared" si="102"/>
        <v>0</v>
      </c>
    </row>
    <row r="998" spans="1:28">
      <c r="A998" s="35">
        <v>987</v>
      </c>
      <c r="B998" s="35">
        <v>5.1703261975899473E-4</v>
      </c>
      <c r="C998" s="232">
        <v>85.99</v>
      </c>
      <c r="D998" s="35">
        <v>5.0652108397284543</v>
      </c>
      <c r="E998" s="232">
        <v>54.18</v>
      </c>
      <c r="F998" s="35">
        <v>5.0539514535868051</v>
      </c>
      <c r="G998" s="232">
        <v>13418.04</v>
      </c>
      <c r="H998" s="35">
        <v>8.6370121473168293</v>
      </c>
      <c r="I998" s="232">
        <v>14772.89</v>
      </c>
      <c r="J998" s="35">
        <v>7.4459642918421132</v>
      </c>
      <c r="K998" s="232">
        <v>17061.39</v>
      </c>
      <c r="L998" s="35">
        <v>8.8313327955588594</v>
      </c>
      <c r="M998" s="232">
        <v>43375.14</v>
      </c>
      <c r="N998" s="35">
        <v>7.6678489267823622</v>
      </c>
      <c r="P998" s="232">
        <v>-31.81</v>
      </c>
      <c r="Q998" s="35">
        <v>1.125938614164923E-2</v>
      </c>
      <c r="R998" s="232">
        <v>1354.86</v>
      </c>
      <c r="S998" s="35">
        <v>1.1910478554747161</v>
      </c>
      <c r="T998" s="232">
        <v>26313.74</v>
      </c>
      <c r="U998" s="35">
        <v>1.1634838687764972</v>
      </c>
      <c r="W998" s="35">
        <f t="shared" si="97"/>
        <v>594.7793070824614</v>
      </c>
      <c r="X998" s="35">
        <f t="shared" si="98"/>
        <v>58197.532773735809</v>
      </c>
      <c r="Y998" s="35">
        <f t="shared" si="99"/>
        <v>31860.453438824861</v>
      </c>
      <c r="Z998" s="35">
        <f t="shared" si="100"/>
        <v>0</v>
      </c>
      <c r="AA998" s="35">
        <f t="shared" si="101"/>
        <v>1</v>
      </c>
      <c r="AB998" s="35">
        <f t="shared" si="102"/>
        <v>0</v>
      </c>
    </row>
    <row r="999" spans="1:28">
      <c r="A999" s="35">
        <v>988</v>
      </c>
      <c r="B999" s="35">
        <v>3.9528727518846839E-4</v>
      </c>
      <c r="C999" s="232">
        <v>47.2</v>
      </c>
      <c r="D999" s="35">
        <v>5.0587568661261422</v>
      </c>
      <c r="E999" s="232">
        <v>28.9</v>
      </c>
      <c r="F999" s="35">
        <v>5.0490610800192535</v>
      </c>
      <c r="G999" s="232">
        <v>8966.07</v>
      </c>
      <c r="H999" s="35">
        <v>8.8162131968569781</v>
      </c>
      <c r="I999" s="232">
        <v>10062.77</v>
      </c>
      <c r="J999" s="35">
        <v>7.5436522745583909</v>
      </c>
      <c r="K999" s="232">
        <v>10789.08</v>
      </c>
      <c r="L999" s="35">
        <v>8.7057926720749865</v>
      </c>
      <c r="M999" s="232">
        <v>36613.42</v>
      </c>
      <c r="N999" s="35">
        <v>7.5979677167077737</v>
      </c>
      <c r="P999" s="232">
        <v>-18.3</v>
      </c>
      <c r="Q999" s="35">
        <v>9.6957861068887041E-3</v>
      </c>
      <c r="R999" s="232">
        <v>1096.71</v>
      </c>
      <c r="S999" s="35">
        <v>1.2725609222985872</v>
      </c>
      <c r="T999" s="232">
        <v>25824.34</v>
      </c>
      <c r="U999" s="35">
        <v>1.1078249553672128</v>
      </c>
      <c r="W999" s="35">
        <f t="shared" si="97"/>
        <v>503.08930534443522</v>
      </c>
      <c r="X999" s="35">
        <f t="shared" si="98"/>
        <v>62531.336114929363</v>
      </c>
      <c r="Y999" s="35">
        <f t="shared" si="99"/>
        <v>29566.907768360641</v>
      </c>
      <c r="Z999" s="35">
        <f t="shared" si="100"/>
        <v>0</v>
      </c>
      <c r="AA999" s="35">
        <f t="shared" si="101"/>
        <v>1</v>
      </c>
      <c r="AB999" s="35">
        <f t="shared" si="102"/>
        <v>0</v>
      </c>
    </row>
    <row r="1000" spans="1:28">
      <c r="A1000" s="35">
        <v>989</v>
      </c>
      <c r="B1000" s="35">
        <v>5.1371198561922515E-4</v>
      </c>
      <c r="C1000" s="232">
        <v>87.05</v>
      </c>
      <c r="D1000" s="35">
        <v>5.0666804648016477</v>
      </c>
      <c r="E1000" s="232">
        <v>57.37</v>
      </c>
      <c r="F1000" s="35">
        <v>5.0556660741934829</v>
      </c>
      <c r="G1000" s="232">
        <v>13568.43</v>
      </c>
      <c r="H1000" s="35">
        <v>9.1663813726306049</v>
      </c>
      <c r="I1000" s="232">
        <v>14890.35</v>
      </c>
      <c r="J1000" s="35">
        <v>7.9232376161452969</v>
      </c>
      <c r="K1000" s="232">
        <v>16122.37</v>
      </c>
      <c r="L1000" s="35">
        <v>8.7004641519345576</v>
      </c>
      <c r="M1000" s="232">
        <v>42488.4</v>
      </c>
      <c r="N1000" s="35">
        <v>7.4721991531516112</v>
      </c>
      <c r="P1000" s="232">
        <v>-29.67</v>
      </c>
      <c r="Q1000" s="35">
        <v>1.1014390608164781E-2</v>
      </c>
      <c r="R1000" s="232">
        <v>1321.92</v>
      </c>
      <c r="S1000" s="35">
        <v>1.2431437564853081</v>
      </c>
      <c r="T1000" s="232">
        <v>26366.03</v>
      </c>
      <c r="U1000" s="35">
        <v>1.2282649987829464</v>
      </c>
      <c r="W1000" s="35">
        <f t="shared" si="97"/>
        <v>580.38953040823901</v>
      </c>
      <c r="X1000" s="35">
        <f t="shared" si="98"/>
        <v>60835.267824265407</v>
      </c>
      <c r="Y1000" s="35">
        <f t="shared" si="99"/>
        <v>35047.219939147319</v>
      </c>
      <c r="Z1000" s="35">
        <f t="shared" si="100"/>
        <v>0</v>
      </c>
      <c r="AA1000" s="35">
        <f t="shared" si="101"/>
        <v>1</v>
      </c>
      <c r="AB1000" s="35">
        <f t="shared" si="102"/>
        <v>0</v>
      </c>
    </row>
    <row r="1001" spans="1:28">
      <c r="A1001" s="35">
        <v>990</v>
      </c>
      <c r="B1001" s="35">
        <v>5.0499026562300653E-4</v>
      </c>
      <c r="C1001" s="232">
        <v>57.82</v>
      </c>
      <c r="D1001" s="35">
        <v>5.06418068143069</v>
      </c>
      <c r="E1001" s="232">
        <v>37.450000000000003</v>
      </c>
      <c r="F1001" s="35">
        <v>5.0532629758969048</v>
      </c>
      <c r="G1001" s="232">
        <v>9064.18</v>
      </c>
      <c r="H1001" s="35">
        <v>8.7228797145787951</v>
      </c>
      <c r="I1001" s="232">
        <v>10653.95</v>
      </c>
      <c r="J1001" s="35">
        <v>7.6493672243258688</v>
      </c>
      <c r="K1001" s="232">
        <v>10972.71</v>
      </c>
      <c r="L1001" s="35">
        <v>8.6526861658835497</v>
      </c>
      <c r="M1001" s="232">
        <v>36885.21</v>
      </c>
      <c r="N1001" s="35">
        <v>7.5614098862127008</v>
      </c>
      <c r="P1001" s="232">
        <v>-20.38</v>
      </c>
      <c r="Q1001" s="35">
        <v>1.0917705533785238E-2</v>
      </c>
      <c r="R1001" s="232">
        <v>1589.77</v>
      </c>
      <c r="S1001" s="35">
        <v>1.0735124902529263</v>
      </c>
      <c r="T1001" s="232">
        <v>25912.49</v>
      </c>
      <c r="U1001" s="35">
        <v>1.0912762796708488</v>
      </c>
      <c r="W1001" s="35">
        <f t="shared" si="97"/>
        <v>566.2652766892619</v>
      </c>
      <c r="X1001" s="35">
        <f t="shared" si="98"/>
        <v>52085.854512646314</v>
      </c>
      <c r="Y1001" s="35">
        <f t="shared" si="99"/>
        <v>28651.323983542443</v>
      </c>
      <c r="Z1001" s="35">
        <f t="shared" si="100"/>
        <v>0</v>
      </c>
      <c r="AA1001" s="35">
        <f t="shared" si="101"/>
        <v>1</v>
      </c>
      <c r="AB1001" s="35">
        <f t="shared" si="102"/>
        <v>0</v>
      </c>
    </row>
    <row r="1002" spans="1:28">
      <c r="A1002" s="35">
        <v>991</v>
      </c>
      <c r="B1002" s="35">
        <v>4.372857056816599E-4</v>
      </c>
      <c r="C1002" s="232">
        <v>79.44</v>
      </c>
      <c r="D1002" s="35">
        <v>5.0571993733167657</v>
      </c>
      <c r="E1002" s="232">
        <v>46.68</v>
      </c>
      <c r="F1002" s="35">
        <v>5.0483592524784209</v>
      </c>
      <c r="G1002" s="232">
        <v>12315.4</v>
      </c>
      <c r="H1002" s="35">
        <v>7.7331076960730822</v>
      </c>
      <c r="I1002" s="232">
        <v>11318.78</v>
      </c>
      <c r="J1002" s="35">
        <v>6.5260977590754372</v>
      </c>
      <c r="K1002" s="232">
        <v>22359.200000000001</v>
      </c>
      <c r="L1002" s="35">
        <v>8.3388721768962526</v>
      </c>
      <c r="M1002" s="232">
        <v>48935.18</v>
      </c>
      <c r="N1002" s="35">
        <v>7.2055182541830236</v>
      </c>
      <c r="P1002" s="232">
        <v>-32.76</v>
      </c>
      <c r="Q1002" s="35">
        <v>8.8401208383448449E-3</v>
      </c>
      <c r="R1002" s="232">
        <v>-996.62</v>
      </c>
      <c r="S1002" s="35">
        <v>1.207009936997645</v>
      </c>
      <c r="T1002" s="232">
        <v>26575.98</v>
      </c>
      <c r="U1002" s="35">
        <v>1.133353922713229</v>
      </c>
      <c r="W1002" s="35">
        <f t="shared" si="97"/>
        <v>474.76604191724221</v>
      </c>
      <c r="X1002" s="35">
        <f t="shared" si="98"/>
        <v>61347.116849882252</v>
      </c>
      <c r="Y1002" s="35">
        <f t="shared" si="99"/>
        <v>30091.716135661449</v>
      </c>
      <c r="Z1002" s="35">
        <f t="shared" si="100"/>
        <v>0</v>
      </c>
      <c r="AA1002" s="35">
        <f t="shared" si="101"/>
        <v>1</v>
      </c>
      <c r="AB1002" s="35">
        <f t="shared" si="102"/>
        <v>0</v>
      </c>
    </row>
    <row r="1003" spans="1:28">
      <c r="A1003" s="35">
        <v>992</v>
      </c>
      <c r="B1003" s="35">
        <v>3.8960865514366669E-4</v>
      </c>
      <c r="C1003" s="232">
        <v>60.97</v>
      </c>
      <c r="D1003" s="35">
        <v>5.0571496795118582</v>
      </c>
      <c r="E1003" s="232">
        <v>38.65</v>
      </c>
      <c r="F1003" s="35">
        <v>5.0489541298108946</v>
      </c>
      <c r="G1003" s="232">
        <v>11100.15</v>
      </c>
      <c r="H1003" s="35">
        <v>8.1765832088096175</v>
      </c>
      <c r="I1003" s="232">
        <v>10490.89</v>
      </c>
      <c r="J1003" s="35">
        <v>6.7480969354608851</v>
      </c>
      <c r="K1003" s="232">
        <v>19488.47</v>
      </c>
      <c r="L1003" s="35">
        <v>8.7672077008186449</v>
      </c>
      <c r="M1003" s="232">
        <v>45765.15</v>
      </c>
      <c r="N1003" s="35">
        <v>7.6339659573282423</v>
      </c>
      <c r="P1003" s="232">
        <v>-22.32</v>
      </c>
      <c r="Q1003" s="35">
        <v>8.1955497009635891E-3</v>
      </c>
      <c r="R1003" s="232">
        <v>-609.26</v>
      </c>
      <c r="S1003" s="35">
        <v>1.4284862733487325</v>
      </c>
      <c r="T1003" s="232">
        <v>26276.68</v>
      </c>
      <c r="U1003" s="35">
        <v>1.1332417434904025</v>
      </c>
      <c r="W1003" s="35">
        <f t="shared" si="97"/>
        <v>432.09748504817946</v>
      </c>
      <c r="X1003" s="35">
        <f t="shared" si="98"/>
        <v>72033.57366743662</v>
      </c>
      <c r="Y1003" s="35">
        <f t="shared" si="99"/>
        <v>30385.407174520129</v>
      </c>
      <c r="Z1003" s="35">
        <f t="shared" si="100"/>
        <v>0</v>
      </c>
      <c r="AA1003" s="35">
        <f t="shared" si="101"/>
        <v>1</v>
      </c>
      <c r="AB1003" s="35">
        <f t="shared" si="102"/>
        <v>0</v>
      </c>
    </row>
    <row r="1004" spans="1:28">
      <c r="A1004" s="35">
        <v>993</v>
      </c>
      <c r="B1004" s="35">
        <v>3.726162120819967E-4</v>
      </c>
      <c r="C1004" s="232">
        <v>60.26</v>
      </c>
      <c r="D1004" s="35">
        <v>5.0567513353814553</v>
      </c>
      <c r="E1004" s="232">
        <v>35.18</v>
      </c>
      <c r="F1004" s="35">
        <v>5.0477681843362854</v>
      </c>
      <c r="G1004" s="232">
        <v>14117.53</v>
      </c>
      <c r="H1004" s="35">
        <v>8.6049355155700713</v>
      </c>
      <c r="I1004" s="232">
        <v>16641.12</v>
      </c>
      <c r="J1004" s="35">
        <v>7.8904172213139159</v>
      </c>
      <c r="K1004" s="232">
        <v>12894.28</v>
      </c>
      <c r="L1004" s="35">
        <v>8.6110295527058334</v>
      </c>
      <c r="M1004" s="232">
        <v>38933.839999999997</v>
      </c>
      <c r="N1004" s="35">
        <v>7.5416705825615047</v>
      </c>
      <c r="P1004" s="232">
        <v>-25.08</v>
      </c>
      <c r="Q1004" s="35">
        <v>8.9831510451698904E-3</v>
      </c>
      <c r="R1004" s="232">
        <v>2523.59</v>
      </c>
      <c r="S1004" s="35">
        <v>0.71451829425615543</v>
      </c>
      <c r="T1004" s="232">
        <v>26039.56</v>
      </c>
      <c r="U1004" s="35">
        <v>1.0693589701443287</v>
      </c>
      <c r="W1004" s="35">
        <f t="shared" si="97"/>
        <v>474.23755225849453</v>
      </c>
      <c r="X1004" s="35">
        <f t="shared" si="98"/>
        <v>33202.324712807778</v>
      </c>
      <c r="Y1004" s="35">
        <f t="shared" si="99"/>
        <v>27428.38850721643</v>
      </c>
      <c r="Z1004" s="35">
        <f t="shared" si="100"/>
        <v>0</v>
      </c>
      <c r="AA1004" s="35">
        <f t="shared" si="101"/>
        <v>1</v>
      </c>
      <c r="AB1004" s="35">
        <f t="shared" si="102"/>
        <v>0</v>
      </c>
    </row>
    <row r="1005" spans="1:28">
      <c r="A1005" s="35">
        <v>994</v>
      </c>
      <c r="B1005" s="35">
        <v>5.2434771677956071E-4</v>
      </c>
      <c r="C1005" s="232">
        <v>77.27</v>
      </c>
      <c r="D1005" s="35">
        <v>5.0629938864872273</v>
      </c>
      <c r="E1005" s="232">
        <v>51.23</v>
      </c>
      <c r="F1005" s="35">
        <v>5.053357106373646</v>
      </c>
      <c r="G1005" s="232">
        <v>10792.39</v>
      </c>
      <c r="H1005" s="35">
        <v>8.3271566375477288</v>
      </c>
      <c r="I1005" s="232">
        <v>11786.82</v>
      </c>
      <c r="J1005" s="35">
        <v>7.4619785609517857</v>
      </c>
      <c r="K1005" s="232">
        <v>14452.9</v>
      </c>
      <c r="L1005" s="35">
        <v>8.2875578911965171</v>
      </c>
      <c r="M1005" s="232">
        <v>40462.6</v>
      </c>
      <c r="N1005" s="35">
        <v>7.2258803959662847</v>
      </c>
      <c r="P1005" s="232">
        <v>-26.03</v>
      </c>
      <c r="Q1005" s="35">
        <v>9.636780113581267E-3</v>
      </c>
      <c r="R1005" s="232">
        <v>994.43</v>
      </c>
      <c r="S1005" s="35">
        <v>0.86517807659594315</v>
      </c>
      <c r="T1005" s="232">
        <v>26009.7</v>
      </c>
      <c r="U1005" s="35">
        <v>1.0616774952302324</v>
      </c>
      <c r="W1005" s="35">
        <f t="shared" si="97"/>
        <v>507.86900567906332</v>
      </c>
      <c r="X1005" s="35">
        <f t="shared" si="98"/>
        <v>42264.473829797156</v>
      </c>
      <c r="Y1005" s="35">
        <f t="shared" si="99"/>
        <v>27074.174761511615</v>
      </c>
      <c r="Z1005" s="35">
        <f t="shared" si="100"/>
        <v>0</v>
      </c>
      <c r="AA1005" s="35">
        <f t="shared" si="101"/>
        <v>1</v>
      </c>
      <c r="AB1005" s="35">
        <f t="shared" si="102"/>
        <v>0</v>
      </c>
    </row>
    <row r="1006" spans="1:28">
      <c r="A1006" s="35">
        <v>995</v>
      </c>
      <c r="B1006" s="35">
        <v>5.0192354202638345E-4</v>
      </c>
      <c r="C1006" s="232">
        <v>71.900000000000006</v>
      </c>
      <c r="D1006" s="35">
        <v>5.0639066294752357</v>
      </c>
      <c r="E1006" s="232">
        <v>49.82</v>
      </c>
      <c r="F1006" s="35">
        <v>5.0546006731661777</v>
      </c>
      <c r="G1006" s="232">
        <v>11176.97</v>
      </c>
      <c r="H1006" s="35">
        <v>8.6893926340363929</v>
      </c>
      <c r="I1006" s="232">
        <v>13048.36</v>
      </c>
      <c r="J1006" s="35">
        <v>7.8129859952380016</v>
      </c>
      <c r="K1006" s="232">
        <v>11262.64</v>
      </c>
      <c r="L1006" s="35">
        <v>8.4640777562466525</v>
      </c>
      <c r="M1006" s="232">
        <v>37164.870000000003</v>
      </c>
      <c r="N1006" s="35">
        <v>7.3287887014886222</v>
      </c>
      <c r="P1006" s="232">
        <v>-22.08</v>
      </c>
      <c r="Q1006" s="35">
        <v>9.305956309058061E-3</v>
      </c>
      <c r="R1006" s="232">
        <v>1871.4</v>
      </c>
      <c r="S1006" s="35">
        <v>0.87640663879839131</v>
      </c>
      <c r="T1006" s="232">
        <v>25902.240000000002</v>
      </c>
      <c r="U1006" s="35">
        <v>1.1352890547580303</v>
      </c>
      <c r="W1006" s="35">
        <f t="shared" si="97"/>
        <v>487.37781545290301</v>
      </c>
      <c r="X1006" s="35">
        <f t="shared" si="98"/>
        <v>41948.931939919567</v>
      </c>
      <c r="Y1006" s="35">
        <f t="shared" si="99"/>
        <v>30862.212737901518</v>
      </c>
      <c r="Z1006" s="35">
        <f t="shared" si="100"/>
        <v>0</v>
      </c>
      <c r="AA1006" s="35">
        <f t="shared" si="101"/>
        <v>1</v>
      </c>
      <c r="AB1006" s="35">
        <f t="shared" si="102"/>
        <v>0</v>
      </c>
    </row>
    <row r="1007" spans="1:28">
      <c r="A1007" s="35">
        <v>996</v>
      </c>
      <c r="B1007" s="35">
        <v>5.1311401243336885E-4</v>
      </c>
      <c r="C1007" s="232">
        <v>82.19</v>
      </c>
      <c r="D1007" s="35">
        <v>5.0648040847382676</v>
      </c>
      <c r="E1007" s="232">
        <v>46.82</v>
      </c>
      <c r="F1007" s="35">
        <v>5.0520373092314275</v>
      </c>
      <c r="G1007" s="232">
        <v>11586.21</v>
      </c>
      <c r="H1007" s="35">
        <v>8.7383818954338537</v>
      </c>
      <c r="I1007" s="232">
        <v>11977.51</v>
      </c>
      <c r="J1007" s="35">
        <v>7.3724298586210786</v>
      </c>
      <c r="K1007" s="232">
        <v>14017.95</v>
      </c>
      <c r="L1007" s="35">
        <v>8.6949684120378024</v>
      </c>
      <c r="M1007" s="232">
        <v>40216.080000000002</v>
      </c>
      <c r="N1007" s="35">
        <v>7.5440595480642179</v>
      </c>
      <c r="P1007" s="232">
        <v>-35.369999999999997</v>
      </c>
      <c r="Q1007" s="35">
        <v>1.2766775506840133E-2</v>
      </c>
      <c r="R1007" s="232">
        <v>391.31</v>
      </c>
      <c r="S1007" s="35">
        <v>1.3659520368127751</v>
      </c>
      <c r="T1007" s="232">
        <v>26198.13</v>
      </c>
      <c r="U1007" s="35">
        <v>1.1509088639735845</v>
      </c>
      <c r="W1007" s="35">
        <f t="shared" si="97"/>
        <v>673.70877534200667</v>
      </c>
      <c r="X1007" s="35">
        <f t="shared" si="98"/>
        <v>67906.291840638762</v>
      </c>
      <c r="Y1007" s="35">
        <f t="shared" si="99"/>
        <v>31347.313198679225</v>
      </c>
      <c r="Z1007" s="35">
        <f t="shared" si="100"/>
        <v>0</v>
      </c>
      <c r="AA1007" s="35">
        <f t="shared" si="101"/>
        <v>1</v>
      </c>
      <c r="AB1007" s="35">
        <f t="shared" si="102"/>
        <v>0</v>
      </c>
    </row>
    <row r="1008" spans="1:28">
      <c r="A1008" s="35">
        <v>997</v>
      </c>
      <c r="B1008" s="35">
        <v>4.6472151497201075E-4</v>
      </c>
      <c r="C1008" s="232">
        <v>94.87</v>
      </c>
      <c r="D1008" s="35">
        <v>5.0603426465394241</v>
      </c>
      <c r="E1008" s="232">
        <v>55.86</v>
      </c>
      <c r="F1008" s="35">
        <v>5.0502553707594027</v>
      </c>
      <c r="G1008" s="232">
        <v>15899.93</v>
      </c>
      <c r="H1008" s="35">
        <v>8.3170735022311995</v>
      </c>
      <c r="I1008" s="232">
        <v>16411.89</v>
      </c>
      <c r="J1008" s="35">
        <v>7.1246860569697574</v>
      </c>
      <c r="K1008" s="232">
        <v>20822.32</v>
      </c>
      <c r="L1008" s="35">
        <v>8.4040355911904179</v>
      </c>
      <c r="M1008" s="232">
        <v>47158.93</v>
      </c>
      <c r="N1008" s="35">
        <v>7.2385048273962243</v>
      </c>
      <c r="P1008" s="232">
        <v>-39.01</v>
      </c>
      <c r="Q1008" s="35">
        <v>1.0087275780021443E-2</v>
      </c>
      <c r="R1008" s="232">
        <v>511.95</v>
      </c>
      <c r="S1008" s="35">
        <v>1.192387445261442</v>
      </c>
      <c r="T1008" s="232">
        <v>26336.61</v>
      </c>
      <c r="U1008" s="35">
        <v>1.1655307637941936</v>
      </c>
      <c r="W1008" s="35">
        <f t="shared" si="97"/>
        <v>543.37378900107217</v>
      </c>
      <c r="X1008" s="35">
        <f t="shared" si="98"/>
        <v>59107.422263072105</v>
      </c>
      <c r="Y1008" s="35">
        <f t="shared" si="99"/>
        <v>31939.928189709681</v>
      </c>
      <c r="Z1008" s="35">
        <f t="shared" si="100"/>
        <v>0</v>
      </c>
      <c r="AA1008" s="35">
        <f t="shared" si="101"/>
        <v>1</v>
      </c>
      <c r="AB1008" s="35">
        <f t="shared" si="102"/>
        <v>0</v>
      </c>
    </row>
    <row r="1009" spans="1:28">
      <c r="A1009" s="35">
        <v>998</v>
      </c>
      <c r="B1009" s="35">
        <v>4.5940448291170721E-4</v>
      </c>
      <c r="C1009" s="232">
        <v>81.52</v>
      </c>
      <c r="D1009" s="35">
        <v>5.0649276999116219</v>
      </c>
      <c r="E1009" s="232">
        <v>53.43</v>
      </c>
      <c r="F1009" s="35">
        <v>5.0544076933748281</v>
      </c>
      <c r="G1009" s="232">
        <v>13434.26</v>
      </c>
      <c r="H1009" s="35">
        <v>9.432921545569199</v>
      </c>
      <c r="I1009" s="232">
        <v>13723.13</v>
      </c>
      <c r="J1009" s="35">
        <v>8.0827080477605691</v>
      </c>
      <c r="K1009" s="232">
        <v>17420.54</v>
      </c>
      <c r="L1009" s="35">
        <v>8.9114485842268873</v>
      </c>
      <c r="M1009" s="232">
        <v>43632.45</v>
      </c>
      <c r="N1009" s="35">
        <v>7.7507564057925951</v>
      </c>
      <c r="P1009" s="232">
        <v>-28.09</v>
      </c>
      <c r="Q1009" s="35">
        <v>1.0520006536793858E-2</v>
      </c>
      <c r="R1009" s="232">
        <v>288.87</v>
      </c>
      <c r="S1009" s="35">
        <v>1.35021349780863</v>
      </c>
      <c r="T1009" s="232">
        <v>26211.91</v>
      </c>
      <c r="U1009" s="35">
        <v>1.1606921784342923</v>
      </c>
      <c r="W1009" s="35">
        <f t="shared" si="97"/>
        <v>554.09032683969292</v>
      </c>
      <c r="X1009" s="35">
        <f t="shared" si="98"/>
        <v>67221.804890431507</v>
      </c>
      <c r="Y1009" s="35">
        <f t="shared" si="99"/>
        <v>31822.698921714615</v>
      </c>
      <c r="Z1009" s="35">
        <f t="shared" si="100"/>
        <v>0</v>
      </c>
      <c r="AA1009" s="35">
        <f t="shared" si="101"/>
        <v>1</v>
      </c>
      <c r="AB1009" s="35">
        <f t="shared" si="102"/>
        <v>0</v>
      </c>
    </row>
    <row r="1010" spans="1:28">
      <c r="A1010" s="35">
        <v>999</v>
      </c>
      <c r="B1010" s="35">
        <v>4.136809923521592E-4</v>
      </c>
      <c r="C1010" s="232">
        <v>86.91</v>
      </c>
      <c r="D1010" s="35">
        <v>5.0603194467163046</v>
      </c>
      <c r="E1010" s="232">
        <v>55.07</v>
      </c>
      <c r="F1010" s="35">
        <v>5.0511702798357163</v>
      </c>
      <c r="G1010" s="232">
        <v>15824.04</v>
      </c>
      <c r="H1010" s="35">
        <v>8.9111426020247411</v>
      </c>
      <c r="I1010" s="232">
        <v>14080.29</v>
      </c>
      <c r="J1010" s="35">
        <v>7.022380982393555</v>
      </c>
      <c r="K1010" s="232">
        <v>23290.37</v>
      </c>
      <c r="L1010" s="35">
        <v>8.6887024565279365</v>
      </c>
      <c r="M1010" s="232">
        <v>50031.41</v>
      </c>
      <c r="N1010" s="35">
        <v>7.4672838603241152</v>
      </c>
      <c r="P1010" s="232">
        <v>-31.84</v>
      </c>
      <c r="Q1010" s="35">
        <v>9.1491668805883108E-3</v>
      </c>
      <c r="R1010" s="232">
        <v>-1743.75</v>
      </c>
      <c r="S1010" s="35">
        <v>1.8887616196311861</v>
      </c>
      <c r="T1010" s="232">
        <v>26741.03</v>
      </c>
      <c r="U1010" s="35">
        <v>1.2214185962038213</v>
      </c>
      <c r="W1010" s="35">
        <f t="shared" si="97"/>
        <v>489.29834402941555</v>
      </c>
      <c r="X1010" s="35">
        <f t="shared" si="98"/>
        <v>96181.830981559309</v>
      </c>
      <c r="Y1010" s="35">
        <f t="shared" si="99"/>
        <v>34329.899810191069</v>
      </c>
      <c r="Z1010" s="35">
        <f t="shared" si="100"/>
        <v>0</v>
      </c>
      <c r="AA1010" s="35">
        <f t="shared" si="101"/>
        <v>1</v>
      </c>
      <c r="AB1010" s="35">
        <f t="shared" si="102"/>
        <v>0</v>
      </c>
    </row>
    <row r="1011" spans="1:28">
      <c r="A1011" s="35">
        <v>1000</v>
      </c>
      <c r="B1011" s="35">
        <v>4.1964575417330433E-4</v>
      </c>
      <c r="C1011" s="232">
        <v>79.39</v>
      </c>
      <c r="D1011" s="35">
        <v>5.0582340010503009</v>
      </c>
      <c r="E1011" s="232">
        <v>46.33</v>
      </c>
      <c r="F1011" s="35">
        <v>5.0488371536300827</v>
      </c>
      <c r="G1011" s="232">
        <v>14744.63</v>
      </c>
      <c r="H1011" s="35">
        <v>8.3733704910070657</v>
      </c>
      <c r="I1011" s="232">
        <v>15549.31</v>
      </c>
      <c r="J1011" s="35">
        <v>7.4601908228792153</v>
      </c>
      <c r="K1011" s="232">
        <v>20785.82</v>
      </c>
      <c r="L1011" s="35">
        <v>8.3813666315706143</v>
      </c>
      <c r="M1011" s="232">
        <v>47177.54</v>
      </c>
      <c r="N1011" s="35">
        <v>7.2209674869533327</v>
      </c>
      <c r="P1011" s="232">
        <v>-33.06</v>
      </c>
      <c r="Q1011" s="35">
        <v>9.3968474202181795E-3</v>
      </c>
      <c r="R1011" s="232">
        <v>804.69</v>
      </c>
      <c r="S1011" s="35">
        <v>0.91317966812785034</v>
      </c>
      <c r="T1011" s="232">
        <v>26391.72</v>
      </c>
      <c r="U1011" s="35">
        <v>1.1603991446172817</v>
      </c>
      <c r="W1011" s="35">
        <f t="shared" si="97"/>
        <v>502.90237101090901</v>
      </c>
      <c r="X1011" s="35">
        <f t="shared" si="98"/>
        <v>44854.293406392513</v>
      </c>
      <c r="Y1011" s="35">
        <f t="shared" si="99"/>
        <v>31628.237230864084</v>
      </c>
      <c r="Z1011" s="35">
        <f t="shared" si="100"/>
        <v>0</v>
      </c>
      <c r="AA1011" s="35">
        <f t="shared" si="101"/>
        <v>1</v>
      </c>
      <c r="AB1011" s="35">
        <f t="shared" si="102"/>
        <v>0</v>
      </c>
    </row>
    <row r="1012" spans="1:28">
      <c r="A1012" s="35">
        <v>1001</v>
      </c>
      <c r="B1012" s="35">
        <v>3.894848902140102E-4</v>
      </c>
      <c r="C1012" s="232">
        <v>59.61</v>
      </c>
      <c r="D1012" s="35">
        <v>5.0586318027160555</v>
      </c>
      <c r="E1012" s="232">
        <v>36.68</v>
      </c>
      <c r="F1012" s="35">
        <v>5.049391964488688</v>
      </c>
      <c r="G1012" s="232">
        <v>11814.02</v>
      </c>
      <c r="H1012" s="35">
        <v>9.0522906110664447</v>
      </c>
      <c r="I1012" s="232">
        <v>13271.15</v>
      </c>
      <c r="J1012" s="35">
        <v>8.4243344164431964</v>
      </c>
      <c r="K1012" s="232">
        <v>15189.85</v>
      </c>
      <c r="L1012" s="35">
        <v>8.3947104242671067</v>
      </c>
      <c r="M1012" s="232">
        <v>41356.339999999997</v>
      </c>
      <c r="N1012" s="35">
        <v>7.3162075438694041</v>
      </c>
      <c r="P1012" s="232">
        <v>-22.93</v>
      </c>
      <c r="Q1012" s="35">
        <v>9.2398382273675139E-3</v>
      </c>
      <c r="R1012" s="232">
        <v>1457.14</v>
      </c>
      <c r="S1012" s="35">
        <v>0.62795619462324836</v>
      </c>
      <c r="T1012" s="232">
        <v>26166.5</v>
      </c>
      <c r="U1012" s="35">
        <v>1.0785028803977026</v>
      </c>
      <c r="W1012" s="35">
        <f t="shared" si="97"/>
        <v>484.92191136837567</v>
      </c>
      <c r="X1012" s="35">
        <f t="shared" si="98"/>
        <v>29940.669731162419</v>
      </c>
      <c r="Y1012" s="35">
        <f t="shared" si="99"/>
        <v>27758.644019885127</v>
      </c>
      <c r="Z1012" s="35">
        <f t="shared" si="100"/>
        <v>0</v>
      </c>
      <c r="AA1012" s="35">
        <f t="shared" si="101"/>
        <v>1</v>
      </c>
      <c r="AB1012" s="35">
        <f t="shared" si="102"/>
        <v>0</v>
      </c>
    </row>
    <row r="1013" spans="1:28">
      <c r="A1013" s="35">
        <v>1002</v>
      </c>
      <c r="B1013" s="35">
        <v>4.2867253939315509E-4</v>
      </c>
      <c r="C1013" s="232">
        <v>58.42</v>
      </c>
      <c r="D1013" s="35">
        <v>5.0611931765722176</v>
      </c>
      <c r="E1013" s="232">
        <v>44</v>
      </c>
      <c r="F1013" s="35">
        <v>5.053989661995745</v>
      </c>
      <c r="G1013" s="232">
        <v>10895.25</v>
      </c>
      <c r="H1013" s="35">
        <v>8.8855589715754189</v>
      </c>
      <c r="I1013" s="232">
        <v>13135.74</v>
      </c>
      <c r="J1013" s="35">
        <v>8.9639792500894497</v>
      </c>
      <c r="K1013" s="232">
        <v>11036.78</v>
      </c>
      <c r="L1013" s="35">
        <v>8.6310244898475368</v>
      </c>
      <c r="M1013" s="232">
        <v>36983.42</v>
      </c>
      <c r="N1013" s="35">
        <v>7.518645380326352</v>
      </c>
      <c r="P1013" s="232">
        <v>-14.42</v>
      </c>
      <c r="Q1013" s="35">
        <v>7.2035145764726138E-3</v>
      </c>
      <c r="R1013" s="232">
        <v>2240.48</v>
      </c>
      <c r="S1013" s="35">
        <v>-7.8420278514030883E-2</v>
      </c>
      <c r="T1013" s="232">
        <v>25946.63</v>
      </c>
      <c r="U1013" s="35">
        <v>1.1123791095211848</v>
      </c>
      <c r="W1013" s="35">
        <f t="shared" si="97"/>
        <v>374.59572882363074</v>
      </c>
      <c r="X1013" s="35">
        <f t="shared" si="98"/>
        <v>-6161.4939257015449</v>
      </c>
      <c r="Y1013" s="35">
        <f t="shared" si="99"/>
        <v>29672.325476059235</v>
      </c>
      <c r="Z1013" s="35">
        <f t="shared" si="100"/>
        <v>0</v>
      </c>
      <c r="AA1013" s="35">
        <f t="shared" si="101"/>
        <v>0</v>
      </c>
      <c r="AB1013" s="35">
        <f t="shared" si="102"/>
        <v>1</v>
      </c>
    </row>
    <row r="1014" spans="1:28">
      <c r="A1014" s="35">
        <v>1003</v>
      </c>
      <c r="B1014" s="35">
        <v>4.2682264310133779E-4</v>
      </c>
      <c r="C1014" s="232">
        <v>76.37</v>
      </c>
      <c r="D1014" s="35">
        <v>5.0591074048176514</v>
      </c>
      <c r="E1014" s="232">
        <v>45.3</v>
      </c>
      <c r="F1014" s="35">
        <v>5.0494711683558808</v>
      </c>
      <c r="G1014" s="232">
        <v>13771.76</v>
      </c>
      <c r="H1014" s="35">
        <v>8.3743964736976668</v>
      </c>
      <c r="I1014" s="232">
        <v>14736.53</v>
      </c>
      <c r="J1014" s="35">
        <v>7.3328017850924114</v>
      </c>
      <c r="K1014" s="232">
        <v>18034.12</v>
      </c>
      <c r="L1014" s="35">
        <v>8.771412171256209</v>
      </c>
      <c r="M1014" s="232">
        <v>44307.79</v>
      </c>
      <c r="N1014" s="35">
        <v>7.7321747881156906</v>
      </c>
      <c r="P1014" s="232">
        <v>-31.07</v>
      </c>
      <c r="Q1014" s="35">
        <v>9.6362364617705865E-3</v>
      </c>
      <c r="R1014" s="232">
        <v>964.77</v>
      </c>
      <c r="S1014" s="35">
        <v>1.0415946886052554</v>
      </c>
      <c r="T1014" s="232">
        <v>26273.67</v>
      </c>
      <c r="U1014" s="35">
        <v>1.0392373831405184</v>
      </c>
      <c r="W1014" s="35">
        <f t="shared" si="97"/>
        <v>512.88182308852936</v>
      </c>
      <c r="X1014" s="35">
        <f t="shared" si="98"/>
        <v>51114.964430262771</v>
      </c>
      <c r="Y1014" s="35">
        <f t="shared" si="99"/>
        <v>25688.19915702592</v>
      </c>
      <c r="Z1014" s="35">
        <f t="shared" si="100"/>
        <v>0</v>
      </c>
      <c r="AA1014" s="35">
        <f t="shared" si="101"/>
        <v>1</v>
      </c>
      <c r="AB1014" s="35">
        <f t="shared" si="102"/>
        <v>0</v>
      </c>
    </row>
    <row r="1015" spans="1:28">
      <c r="A1015" s="35">
        <v>1004</v>
      </c>
      <c r="B1015" s="35">
        <v>5.9989917529734704E-4</v>
      </c>
      <c r="C1015" s="232">
        <v>77.959999999999994</v>
      </c>
      <c r="D1015" s="35">
        <v>5.0686605055365286</v>
      </c>
      <c r="E1015" s="232">
        <v>40.090000000000003</v>
      </c>
      <c r="F1015" s="35">
        <v>5.0522811163217778</v>
      </c>
      <c r="G1015" s="232">
        <v>10084.31</v>
      </c>
      <c r="H1015" s="35">
        <v>8.92049534247022</v>
      </c>
      <c r="I1015" s="232">
        <v>11919.68</v>
      </c>
      <c r="J1015" s="35">
        <v>8.4895546812791416</v>
      </c>
      <c r="K1015" s="232">
        <v>11556.6</v>
      </c>
      <c r="L1015" s="35">
        <v>8.4651308106469081</v>
      </c>
      <c r="M1015" s="232">
        <v>37261.919999999998</v>
      </c>
      <c r="N1015" s="35">
        <v>7.4277063780393338</v>
      </c>
      <c r="P1015" s="232">
        <v>-37.880000000000003</v>
      </c>
      <c r="Q1015" s="35">
        <v>1.6379389214750795E-2</v>
      </c>
      <c r="R1015" s="232">
        <v>1835.36</v>
      </c>
      <c r="S1015" s="35">
        <v>0.43094066119107843</v>
      </c>
      <c r="T1015" s="232">
        <v>25705.32</v>
      </c>
      <c r="U1015" s="35">
        <v>1.0374244326075743</v>
      </c>
      <c r="W1015" s="35">
        <f t="shared" si="97"/>
        <v>856.84946073753974</v>
      </c>
      <c r="X1015" s="35">
        <f t="shared" si="98"/>
        <v>19711.673059553919</v>
      </c>
      <c r="Y1015" s="35">
        <f t="shared" si="99"/>
        <v>26165.901630378714</v>
      </c>
      <c r="Z1015" s="35">
        <f t="shared" si="100"/>
        <v>0</v>
      </c>
      <c r="AA1015" s="35">
        <f t="shared" si="101"/>
        <v>0</v>
      </c>
      <c r="AB1015" s="35">
        <f t="shared" si="102"/>
        <v>1</v>
      </c>
    </row>
    <row r="1016" spans="1:28">
      <c r="A1016" s="35">
        <v>1005</v>
      </c>
      <c r="B1016" s="35">
        <v>4.3291465953975366E-4</v>
      </c>
      <c r="C1016" s="232">
        <v>70.209999999999994</v>
      </c>
      <c r="D1016" s="35">
        <v>5.0593671277228891</v>
      </c>
      <c r="E1016" s="232">
        <v>39.25</v>
      </c>
      <c r="F1016" s="35">
        <v>5.0487918607179969</v>
      </c>
      <c r="G1016" s="232">
        <v>11179.44</v>
      </c>
      <c r="H1016" s="35">
        <v>8.4499608653700484</v>
      </c>
      <c r="I1016" s="232">
        <v>10941.41</v>
      </c>
      <c r="J1016" s="35">
        <v>7.2126686341219015</v>
      </c>
      <c r="K1016" s="232">
        <v>15902.37</v>
      </c>
      <c r="L1016" s="35">
        <v>8.5070153501780759</v>
      </c>
      <c r="M1016" s="232">
        <v>41845.31</v>
      </c>
      <c r="N1016" s="35">
        <v>7.396287143073943</v>
      </c>
      <c r="P1016" s="232">
        <v>-30.96</v>
      </c>
      <c r="Q1016" s="35">
        <v>1.0575267004892197E-2</v>
      </c>
      <c r="R1016" s="232">
        <v>-238.03</v>
      </c>
      <c r="S1016" s="35">
        <v>1.2372922312481469</v>
      </c>
      <c r="T1016" s="232">
        <v>25942.94</v>
      </c>
      <c r="U1016" s="35">
        <v>1.1107282071041329</v>
      </c>
      <c r="W1016" s="35">
        <f t="shared" si="97"/>
        <v>559.72335024460995</v>
      </c>
      <c r="X1016" s="35">
        <f t="shared" si="98"/>
        <v>62102.641562407342</v>
      </c>
      <c r="Y1016" s="35">
        <f t="shared" si="99"/>
        <v>29593.470355206646</v>
      </c>
      <c r="Z1016" s="35">
        <f t="shared" si="100"/>
        <v>0</v>
      </c>
      <c r="AA1016" s="35">
        <f t="shared" si="101"/>
        <v>1</v>
      </c>
      <c r="AB1016" s="35">
        <f t="shared" si="102"/>
        <v>0</v>
      </c>
    </row>
    <row r="1017" spans="1:28">
      <c r="A1017" s="35">
        <v>1006</v>
      </c>
      <c r="B1017" s="35">
        <v>4.9826295921839847E-4</v>
      </c>
      <c r="C1017" s="232">
        <v>125.17</v>
      </c>
      <c r="D1017" s="35">
        <v>5.0639954976355561</v>
      </c>
      <c r="E1017" s="232">
        <v>74.680000000000007</v>
      </c>
      <c r="F1017" s="35">
        <v>5.052713924025503</v>
      </c>
      <c r="G1017" s="232">
        <v>19052.41</v>
      </c>
      <c r="H1017" s="35">
        <v>8.875295028834044</v>
      </c>
      <c r="I1017" s="232">
        <v>17807.71</v>
      </c>
      <c r="J1017" s="35">
        <v>7.6381864946091529</v>
      </c>
      <c r="K1017" s="232">
        <v>28615.9</v>
      </c>
      <c r="L1017" s="35">
        <v>8.437748756229638</v>
      </c>
      <c r="M1017" s="232">
        <v>55317.24</v>
      </c>
      <c r="N1017" s="35">
        <v>7.4263064770105176</v>
      </c>
      <c r="P1017" s="232">
        <v>-50.49</v>
      </c>
      <c r="Q1017" s="35">
        <v>1.1281573610053108E-2</v>
      </c>
      <c r="R1017" s="232">
        <v>-1244.7</v>
      </c>
      <c r="S1017" s="35">
        <v>1.2371085342248911</v>
      </c>
      <c r="T1017" s="232">
        <v>26701.34</v>
      </c>
      <c r="U1017" s="35">
        <v>1.0114422792191204</v>
      </c>
      <c r="W1017" s="35">
        <f t="shared" si="97"/>
        <v>614.56868050265541</v>
      </c>
      <c r="X1017" s="35">
        <f t="shared" si="98"/>
        <v>63100.126711244549</v>
      </c>
      <c r="Y1017" s="35">
        <f t="shared" si="99"/>
        <v>23870.773960956019</v>
      </c>
      <c r="Z1017" s="35">
        <f t="shared" si="100"/>
        <v>0</v>
      </c>
      <c r="AA1017" s="35">
        <f t="shared" si="101"/>
        <v>1</v>
      </c>
      <c r="AB1017" s="35">
        <f t="shared" si="102"/>
        <v>0</v>
      </c>
    </row>
    <row r="1018" spans="1:28">
      <c r="A1018" s="35">
        <v>1007</v>
      </c>
      <c r="B1018" s="35">
        <v>3.7485628720177789E-4</v>
      </c>
      <c r="C1018" s="232">
        <v>84.62</v>
      </c>
      <c r="D1018" s="35">
        <v>5.0584462267763497</v>
      </c>
      <c r="E1018" s="232">
        <v>50.61</v>
      </c>
      <c r="F1018" s="35">
        <v>5.0493083807845975</v>
      </c>
      <c r="G1018" s="232">
        <v>17393.939999999999</v>
      </c>
      <c r="H1018" s="35">
        <v>9.1210240152148518</v>
      </c>
      <c r="I1018" s="232">
        <v>17631.36</v>
      </c>
      <c r="J1018" s="35">
        <v>8.1066150769642888</v>
      </c>
      <c r="K1018" s="232">
        <v>23834.07</v>
      </c>
      <c r="L1018" s="35">
        <v>8.6864279187266238</v>
      </c>
      <c r="M1018" s="232">
        <v>50449.19</v>
      </c>
      <c r="N1018" s="35">
        <v>7.5657457148647032</v>
      </c>
      <c r="P1018" s="232">
        <v>-34.01</v>
      </c>
      <c r="Q1018" s="35">
        <v>9.1378459917521582E-3</v>
      </c>
      <c r="R1018" s="232">
        <v>237.42</v>
      </c>
      <c r="S1018" s="35">
        <v>1.014408938250563</v>
      </c>
      <c r="T1018" s="232">
        <v>26615.119999999999</v>
      </c>
      <c r="U1018" s="35">
        <v>1.1206822038619206</v>
      </c>
      <c r="W1018" s="35">
        <f t="shared" si="97"/>
        <v>490.9022995876079</v>
      </c>
      <c r="X1018" s="35">
        <f t="shared" si="98"/>
        <v>50483.026912528148</v>
      </c>
      <c r="Y1018" s="35">
        <f t="shared" si="99"/>
        <v>29418.99019309603</v>
      </c>
      <c r="Z1018" s="35">
        <f t="shared" si="100"/>
        <v>0</v>
      </c>
      <c r="AA1018" s="35">
        <f t="shared" si="101"/>
        <v>1</v>
      </c>
      <c r="AB1018" s="35">
        <f t="shared" si="102"/>
        <v>0</v>
      </c>
    </row>
    <row r="1019" spans="1:28">
      <c r="A1019" s="35">
        <v>1008</v>
      </c>
      <c r="B1019" s="35">
        <v>4.2105446437026384E-4</v>
      </c>
      <c r="C1019" s="232">
        <v>68.52</v>
      </c>
      <c r="D1019" s="35">
        <v>5.0607614039840074</v>
      </c>
      <c r="E1019" s="232">
        <v>39.369999999999997</v>
      </c>
      <c r="F1019" s="35">
        <v>5.0498225660100378</v>
      </c>
      <c r="G1019" s="232">
        <v>13384.54</v>
      </c>
      <c r="H1019" s="35">
        <v>9.1139917187052255</v>
      </c>
      <c r="I1019" s="232">
        <v>15012.76</v>
      </c>
      <c r="J1019" s="35">
        <v>7.8773384702555846</v>
      </c>
      <c r="K1019" s="232">
        <v>14852.31</v>
      </c>
      <c r="L1019" s="35">
        <v>8.683853632440993</v>
      </c>
      <c r="M1019" s="232">
        <v>40928.94</v>
      </c>
      <c r="N1019" s="35">
        <v>7.633436962486523</v>
      </c>
      <c r="P1019" s="232">
        <v>-29.15</v>
      </c>
      <c r="Q1019" s="35">
        <v>1.0938837973969662E-2</v>
      </c>
      <c r="R1019" s="232">
        <v>1628.22</v>
      </c>
      <c r="S1019" s="35">
        <v>1.2366532484496409</v>
      </c>
      <c r="T1019" s="232">
        <v>26076.63</v>
      </c>
      <c r="U1019" s="35">
        <v>1.0504166699544699</v>
      </c>
      <c r="W1019" s="35">
        <f t="shared" si="97"/>
        <v>576.09189869848308</v>
      </c>
      <c r="X1019" s="35">
        <f t="shared" si="98"/>
        <v>60204.44242248204</v>
      </c>
      <c r="Y1019" s="35">
        <f t="shared" si="99"/>
        <v>26444.203497723498</v>
      </c>
      <c r="Z1019" s="35">
        <f t="shared" si="100"/>
        <v>0</v>
      </c>
      <c r="AA1019" s="35">
        <f t="shared" si="101"/>
        <v>1</v>
      </c>
      <c r="AB1019" s="35">
        <f t="shared" si="102"/>
        <v>0</v>
      </c>
    </row>
    <row r="1020" spans="1:28">
      <c r="A1020" s="35">
        <v>1009</v>
      </c>
      <c r="B1020" s="35">
        <v>3.973215552600393E-4</v>
      </c>
      <c r="C1020" s="232">
        <v>42.14</v>
      </c>
      <c r="D1020" s="35">
        <v>5.0594790608216416</v>
      </c>
      <c r="E1020" s="232">
        <v>27.48</v>
      </c>
      <c r="F1020" s="35">
        <v>5.0501061790341764</v>
      </c>
      <c r="G1020" s="232">
        <v>8407.86</v>
      </c>
      <c r="H1020" s="35">
        <v>8.9100394381763177</v>
      </c>
      <c r="I1020" s="232">
        <v>9690.07</v>
      </c>
      <c r="J1020" s="35">
        <v>6.9673299205755939</v>
      </c>
      <c r="K1020" s="232">
        <v>9682.66</v>
      </c>
      <c r="L1020" s="35">
        <v>8.8992179785083874</v>
      </c>
      <c r="M1020" s="232">
        <v>35472.75</v>
      </c>
      <c r="N1020" s="35">
        <v>7.8142550165475422</v>
      </c>
      <c r="P1020" s="232">
        <v>-14.66</v>
      </c>
      <c r="Q1020" s="35">
        <v>9.3728817874652037E-3</v>
      </c>
      <c r="R1020" s="232">
        <v>1282.21</v>
      </c>
      <c r="S1020" s="35">
        <v>1.9427095176007239</v>
      </c>
      <c r="T1020" s="232">
        <v>25790.1</v>
      </c>
      <c r="U1020" s="35">
        <v>1.0849629619608452</v>
      </c>
      <c r="W1020" s="35">
        <f t="shared" si="97"/>
        <v>483.30408937326018</v>
      </c>
      <c r="X1020" s="35">
        <f t="shared" si="98"/>
        <v>95853.265880036182</v>
      </c>
      <c r="Y1020" s="35">
        <f t="shared" si="99"/>
        <v>28458.048098042258</v>
      </c>
      <c r="Z1020" s="35">
        <f t="shared" si="100"/>
        <v>0</v>
      </c>
      <c r="AA1020" s="35">
        <f t="shared" si="101"/>
        <v>1</v>
      </c>
      <c r="AB1020" s="35">
        <f t="shared" si="102"/>
        <v>0</v>
      </c>
    </row>
    <row r="1021" spans="1:28">
      <c r="A1021" s="35">
        <v>1010</v>
      </c>
      <c r="B1021" s="35">
        <v>4.4304626763201188E-4</v>
      </c>
      <c r="C1021" s="232">
        <v>70.83</v>
      </c>
      <c r="D1021" s="35">
        <v>5.0597510698360404</v>
      </c>
      <c r="E1021" s="232">
        <v>44.24</v>
      </c>
      <c r="F1021" s="35">
        <v>5.0504263824752975</v>
      </c>
      <c r="G1021" s="232">
        <v>11580.64</v>
      </c>
      <c r="H1021" s="35">
        <v>8.1196862496622924</v>
      </c>
      <c r="I1021" s="232">
        <v>11849.08</v>
      </c>
      <c r="J1021" s="35">
        <v>6.597049605588059</v>
      </c>
      <c r="K1021" s="232">
        <v>15771.81</v>
      </c>
      <c r="L1021" s="35">
        <v>8.8245445737755706</v>
      </c>
      <c r="M1021" s="232">
        <v>42049.96</v>
      </c>
      <c r="N1021" s="35">
        <v>7.6776075783568629</v>
      </c>
      <c r="P1021" s="232">
        <v>-26.59</v>
      </c>
      <c r="Q1021" s="35">
        <v>9.3246873607428782E-3</v>
      </c>
      <c r="R1021" s="232">
        <v>268.44</v>
      </c>
      <c r="S1021" s="35">
        <v>1.5226366440742334</v>
      </c>
      <c r="T1021" s="232">
        <v>26278.15</v>
      </c>
      <c r="U1021" s="35">
        <v>1.1469369954187076</v>
      </c>
      <c r="W1021" s="35">
        <f t="shared" si="97"/>
        <v>492.82436803714387</v>
      </c>
      <c r="X1021" s="35">
        <f t="shared" si="98"/>
        <v>75863.392203711672</v>
      </c>
      <c r="Y1021" s="35">
        <f t="shared" si="99"/>
        <v>31068.699770935382</v>
      </c>
      <c r="Z1021" s="35">
        <f t="shared" si="100"/>
        <v>0</v>
      </c>
      <c r="AA1021" s="35">
        <f t="shared" si="101"/>
        <v>1</v>
      </c>
      <c r="AB1021" s="35">
        <f t="shared" si="102"/>
        <v>0</v>
      </c>
    </row>
    <row r="1022" spans="1:28">
      <c r="A1022" s="35">
        <v>1011</v>
      </c>
      <c r="B1022" s="35">
        <v>5.0225762661615381E-4</v>
      </c>
      <c r="C1022" s="232">
        <v>70.22</v>
      </c>
      <c r="D1022" s="35">
        <v>5.0631922713796182</v>
      </c>
      <c r="E1022" s="232">
        <v>42.68</v>
      </c>
      <c r="F1022" s="35">
        <v>5.0519622334451064</v>
      </c>
      <c r="G1022" s="232">
        <v>11347.96</v>
      </c>
      <c r="H1022" s="35">
        <v>8.7090893691542863</v>
      </c>
      <c r="I1022" s="232">
        <v>12095.5</v>
      </c>
      <c r="J1022" s="35">
        <v>6.5087425132442709</v>
      </c>
      <c r="K1022" s="232">
        <v>13278.79</v>
      </c>
      <c r="L1022" s="35">
        <v>8.2967345257682279</v>
      </c>
      <c r="M1022" s="232">
        <v>39077.94</v>
      </c>
      <c r="N1022" s="35">
        <v>7.1608314424629222</v>
      </c>
      <c r="P1022" s="232">
        <v>-27.54</v>
      </c>
      <c r="Q1022" s="35">
        <v>1.1230037934511827E-2</v>
      </c>
      <c r="R1022" s="232">
        <v>747.54</v>
      </c>
      <c r="S1022" s="35">
        <v>2.2003468559100154</v>
      </c>
      <c r="T1022" s="232">
        <v>25799.15</v>
      </c>
      <c r="U1022" s="35">
        <v>1.1359030833053056</v>
      </c>
      <c r="W1022" s="35">
        <f t="shared" si="97"/>
        <v>589.0418967255913</v>
      </c>
      <c r="X1022" s="35">
        <f t="shared" si="98"/>
        <v>109269.80279550079</v>
      </c>
      <c r="Y1022" s="35">
        <f t="shared" si="99"/>
        <v>30996.00416526528</v>
      </c>
      <c r="Z1022" s="35">
        <f t="shared" si="100"/>
        <v>0</v>
      </c>
      <c r="AA1022" s="35">
        <f t="shared" si="101"/>
        <v>1</v>
      </c>
      <c r="AB1022" s="35">
        <f t="shared" si="102"/>
        <v>0</v>
      </c>
    </row>
    <row r="1023" spans="1:28">
      <c r="A1023" s="35">
        <v>1012</v>
      </c>
      <c r="B1023" s="35">
        <v>4.5558973469628228E-4</v>
      </c>
      <c r="C1023" s="232">
        <v>75.53</v>
      </c>
      <c r="D1023" s="35">
        <v>5.0616688694770851</v>
      </c>
      <c r="E1023" s="232">
        <v>46.66</v>
      </c>
      <c r="F1023" s="35">
        <v>5.0514403286614709</v>
      </c>
      <c r="G1023" s="232">
        <v>12548.74</v>
      </c>
      <c r="H1023" s="35">
        <v>8.8541006527692865</v>
      </c>
      <c r="I1023" s="232">
        <v>13195.36</v>
      </c>
      <c r="J1023" s="35">
        <v>7.9034972342900094</v>
      </c>
      <c r="K1023" s="232">
        <v>17459.240000000002</v>
      </c>
      <c r="L1023" s="35">
        <v>8.4891981537618975</v>
      </c>
      <c r="M1023" s="232">
        <v>43604.75</v>
      </c>
      <c r="N1023" s="35">
        <v>7.391840093893137</v>
      </c>
      <c r="P1023" s="232">
        <v>-28.87</v>
      </c>
      <c r="Q1023" s="35">
        <v>1.0228540815614195E-2</v>
      </c>
      <c r="R1023" s="232">
        <v>646.62</v>
      </c>
      <c r="S1023" s="35">
        <v>0.9506034184792771</v>
      </c>
      <c r="T1023" s="232">
        <v>26145.51</v>
      </c>
      <c r="U1023" s="35">
        <v>1.0973580598687604</v>
      </c>
      <c r="W1023" s="35">
        <f t="shared" si="97"/>
        <v>540.29704078070972</v>
      </c>
      <c r="X1023" s="35">
        <f t="shared" si="98"/>
        <v>46883.550923963849</v>
      </c>
      <c r="Y1023" s="35">
        <f t="shared" si="99"/>
        <v>28722.392993438025</v>
      </c>
      <c r="Z1023" s="35">
        <f t="shared" si="100"/>
        <v>0</v>
      </c>
      <c r="AA1023" s="35">
        <f t="shared" si="101"/>
        <v>1</v>
      </c>
      <c r="AB1023" s="35">
        <f t="shared" si="102"/>
        <v>0</v>
      </c>
    </row>
    <row r="1024" spans="1:28">
      <c r="A1024" s="35">
        <v>1013</v>
      </c>
      <c r="B1024" s="35">
        <v>4.0497980950238209E-4</v>
      </c>
      <c r="C1024" s="232">
        <v>68.62</v>
      </c>
      <c r="D1024" s="35">
        <v>5.0601726205203947</v>
      </c>
      <c r="E1024" s="232">
        <v>48.18</v>
      </c>
      <c r="F1024" s="35">
        <v>5.0523555538638671</v>
      </c>
      <c r="G1024" s="232">
        <v>12823.1</v>
      </c>
      <c r="H1024" s="35">
        <v>8.768492210417115</v>
      </c>
      <c r="I1024" s="232">
        <v>14266.21</v>
      </c>
      <c r="J1024" s="35">
        <v>8.1661070454047131</v>
      </c>
      <c r="K1024" s="232">
        <v>18234.21</v>
      </c>
      <c r="L1024" s="35">
        <v>9.0947814172043095</v>
      </c>
      <c r="M1024" s="232">
        <v>44506.84</v>
      </c>
      <c r="N1024" s="35">
        <v>7.9666784719336308</v>
      </c>
      <c r="P1024" s="232">
        <v>-20.45</v>
      </c>
      <c r="Q1024" s="35">
        <v>7.8170666565275937E-3</v>
      </c>
      <c r="R1024" s="232">
        <v>1443.1</v>
      </c>
      <c r="S1024" s="35">
        <v>0.60238516501240191</v>
      </c>
      <c r="T1024" s="232">
        <v>26272.62</v>
      </c>
      <c r="U1024" s="35">
        <v>1.1281029452706788</v>
      </c>
      <c r="W1024" s="35">
        <f t="shared" si="97"/>
        <v>411.30333282637969</v>
      </c>
      <c r="X1024" s="35">
        <f t="shared" si="98"/>
        <v>28676.158250620098</v>
      </c>
      <c r="Y1024" s="35">
        <f t="shared" si="99"/>
        <v>30132.527263533939</v>
      </c>
      <c r="Z1024" s="35">
        <f t="shared" si="100"/>
        <v>0</v>
      </c>
      <c r="AA1024" s="35">
        <f t="shared" si="101"/>
        <v>0</v>
      </c>
      <c r="AB1024" s="35">
        <f t="shared" si="102"/>
        <v>1</v>
      </c>
    </row>
    <row r="1025" spans="1:28">
      <c r="A1025" s="35">
        <v>1014</v>
      </c>
      <c r="B1025" s="35">
        <v>5.3766438176716669E-4</v>
      </c>
      <c r="C1025" s="232">
        <v>85.26</v>
      </c>
      <c r="D1025" s="35">
        <v>5.0683509338154957</v>
      </c>
      <c r="E1025" s="232">
        <v>66.819999999999993</v>
      </c>
      <c r="F1025" s="35">
        <v>5.0604611955037164</v>
      </c>
      <c r="G1025" s="232">
        <v>12139.95</v>
      </c>
      <c r="H1025" s="35">
        <v>9.2747909655995198</v>
      </c>
      <c r="I1025" s="232">
        <v>13377.96</v>
      </c>
      <c r="J1025" s="35">
        <v>7.6893208702203317</v>
      </c>
      <c r="K1025" s="232">
        <v>12761.37</v>
      </c>
      <c r="L1025" s="35">
        <v>8.4178203393585722</v>
      </c>
      <c r="M1025" s="232">
        <v>38844.15</v>
      </c>
      <c r="N1025" s="35">
        <v>7.345259661327356</v>
      </c>
      <c r="P1025" s="232">
        <v>-18.440000000000001</v>
      </c>
      <c r="Q1025" s="35">
        <v>7.8897383117793041E-3</v>
      </c>
      <c r="R1025" s="232">
        <v>1238.02</v>
      </c>
      <c r="S1025" s="35">
        <v>1.585470095379188</v>
      </c>
      <c r="T1025" s="232">
        <v>26082.78</v>
      </c>
      <c r="U1025" s="35">
        <v>1.0725606780312162</v>
      </c>
      <c r="W1025" s="35">
        <f t="shared" si="97"/>
        <v>412.92691558896519</v>
      </c>
      <c r="X1025" s="35">
        <f t="shared" si="98"/>
        <v>78035.484768959403</v>
      </c>
      <c r="Y1025" s="35">
        <f t="shared" si="99"/>
        <v>27545.253901560813</v>
      </c>
      <c r="Z1025" s="35">
        <f t="shared" si="100"/>
        <v>0</v>
      </c>
      <c r="AA1025" s="35">
        <f t="shared" si="101"/>
        <v>1</v>
      </c>
      <c r="AB1025" s="35">
        <f t="shared" si="102"/>
        <v>0</v>
      </c>
    </row>
    <row r="1026" spans="1:28">
      <c r="A1026" s="35">
        <v>1015</v>
      </c>
      <c r="B1026" s="35">
        <v>4.1123370271284906E-4</v>
      </c>
      <c r="C1026" s="232">
        <v>56.3</v>
      </c>
      <c r="D1026" s="35">
        <v>5.0591516679097746</v>
      </c>
      <c r="E1026" s="232">
        <v>38.75</v>
      </c>
      <c r="F1026" s="35">
        <v>5.0511522502853126</v>
      </c>
      <c r="G1026" s="232">
        <v>10037.64</v>
      </c>
      <c r="H1026" s="35">
        <v>8.8076519199515335</v>
      </c>
      <c r="I1026" s="232">
        <v>10572.38</v>
      </c>
      <c r="J1026" s="35">
        <v>7.563463149010933</v>
      </c>
      <c r="K1026" s="232">
        <v>13043.38</v>
      </c>
      <c r="L1026" s="35">
        <v>8.3389573295037795</v>
      </c>
      <c r="M1026" s="232">
        <v>38915.11</v>
      </c>
      <c r="N1026" s="35">
        <v>7.3105380002752813</v>
      </c>
      <c r="P1026" s="232">
        <v>-17.55</v>
      </c>
      <c r="Q1026" s="35">
        <v>7.9994176244619908E-3</v>
      </c>
      <c r="R1026" s="232">
        <v>534.74</v>
      </c>
      <c r="S1026" s="35">
        <v>1.2441887709406005</v>
      </c>
      <c r="T1026" s="232">
        <v>25871.73</v>
      </c>
      <c r="U1026" s="35">
        <v>1.0284193292284982</v>
      </c>
      <c r="W1026" s="35">
        <f t="shared" si="97"/>
        <v>417.52088122309954</v>
      </c>
      <c r="X1026" s="35">
        <f t="shared" si="98"/>
        <v>61674.698547030028</v>
      </c>
      <c r="Y1026" s="35">
        <f t="shared" si="99"/>
        <v>25549.236461424913</v>
      </c>
      <c r="Z1026" s="35">
        <f t="shared" si="100"/>
        <v>0</v>
      </c>
      <c r="AA1026" s="35">
        <f t="shared" si="101"/>
        <v>1</v>
      </c>
      <c r="AB1026" s="35">
        <f t="shared" si="102"/>
        <v>0</v>
      </c>
    </row>
    <row r="1027" spans="1:28">
      <c r="A1027" s="35">
        <v>1016</v>
      </c>
      <c r="B1027" s="35">
        <v>6.1796948665771012E-4</v>
      </c>
      <c r="C1027" s="232">
        <v>78.36</v>
      </c>
      <c r="D1027" s="35">
        <v>5.0711328852007496</v>
      </c>
      <c r="E1027" s="232">
        <v>49.06</v>
      </c>
      <c r="F1027" s="35">
        <v>5.0571618001357104</v>
      </c>
      <c r="G1027" s="232">
        <v>10312.969999999999</v>
      </c>
      <c r="H1027" s="35">
        <v>8.8320150440951615</v>
      </c>
      <c r="I1027" s="232">
        <v>12408.41</v>
      </c>
      <c r="J1027" s="35">
        <v>8.1140442316262948</v>
      </c>
      <c r="K1027" s="232">
        <v>10302.42</v>
      </c>
      <c r="L1027" s="35">
        <v>9.009050780919436</v>
      </c>
      <c r="M1027" s="232">
        <v>36105.800000000003</v>
      </c>
      <c r="N1027" s="35">
        <v>7.9421772761590255</v>
      </c>
      <c r="P1027" s="232">
        <v>-29.29</v>
      </c>
      <c r="Q1027" s="35">
        <v>1.397108506503919E-2</v>
      </c>
      <c r="R1027" s="232">
        <v>2095.4499999999998</v>
      </c>
      <c r="S1027" s="35">
        <v>0.71797081246886663</v>
      </c>
      <c r="T1027" s="232">
        <v>25803.38</v>
      </c>
      <c r="U1027" s="35">
        <v>1.0668735047604105</v>
      </c>
      <c r="W1027" s="35">
        <f t="shared" si="97"/>
        <v>727.84425325195946</v>
      </c>
      <c r="X1027" s="35">
        <f t="shared" si="98"/>
        <v>33803.090623443335</v>
      </c>
      <c r="Y1027" s="35">
        <f t="shared" si="99"/>
        <v>27540.295238020528</v>
      </c>
      <c r="Z1027" s="35">
        <f t="shared" si="100"/>
        <v>0</v>
      </c>
      <c r="AA1027" s="35">
        <f t="shared" si="101"/>
        <v>1</v>
      </c>
      <c r="AB1027" s="35">
        <f t="shared" si="102"/>
        <v>0</v>
      </c>
    </row>
    <row r="1028" spans="1:28">
      <c r="A1028" s="35">
        <v>1017</v>
      </c>
      <c r="B1028" s="35">
        <v>3.409747323429458E-4</v>
      </c>
      <c r="C1028" s="232">
        <v>38.619999999999997</v>
      </c>
      <c r="D1028" s="35">
        <v>5.0558060217594392</v>
      </c>
      <c r="E1028" s="232">
        <v>27.67</v>
      </c>
      <c r="F1028" s="35">
        <v>5.0490412116789223</v>
      </c>
      <c r="G1028" s="232">
        <v>8496.44</v>
      </c>
      <c r="H1028" s="35">
        <v>8.8806141333320987</v>
      </c>
      <c r="I1028" s="232">
        <v>9703.26</v>
      </c>
      <c r="J1028" s="35">
        <v>7.9625053106488251</v>
      </c>
      <c r="K1028" s="232">
        <v>11762.07</v>
      </c>
      <c r="L1028" s="35">
        <v>8.2051927902687378</v>
      </c>
      <c r="M1028" s="232">
        <v>37780.07</v>
      </c>
      <c r="N1028" s="35">
        <v>7.0636733049899529</v>
      </c>
      <c r="P1028" s="232">
        <v>-10.95</v>
      </c>
      <c r="Q1028" s="35">
        <v>6.7648100805168809E-3</v>
      </c>
      <c r="R1028" s="232">
        <v>1206.82</v>
      </c>
      <c r="S1028" s="35">
        <v>0.91810882268327365</v>
      </c>
      <c r="T1028" s="232">
        <v>26018</v>
      </c>
      <c r="U1028" s="35">
        <v>1.1415194852787849</v>
      </c>
      <c r="W1028" s="35">
        <f t="shared" si="97"/>
        <v>349.19050402584406</v>
      </c>
      <c r="X1028" s="35">
        <f t="shared" si="98"/>
        <v>44698.621134163681</v>
      </c>
      <c r="Y1028" s="35">
        <f t="shared" si="99"/>
        <v>31057.974263939243</v>
      </c>
      <c r="Z1028" s="35">
        <f t="shared" si="100"/>
        <v>0</v>
      </c>
      <c r="AA1028" s="35">
        <f t="shared" si="101"/>
        <v>1</v>
      </c>
      <c r="AB1028" s="35">
        <f t="shared" si="102"/>
        <v>0</v>
      </c>
    </row>
    <row r="1029" spans="1:28">
      <c r="A1029" s="35">
        <v>1018</v>
      </c>
      <c r="B1029" s="35">
        <v>4.2447038569726989E-4</v>
      </c>
      <c r="C1029" s="232">
        <v>60.95</v>
      </c>
      <c r="D1029" s="35">
        <v>5.06120456743208</v>
      </c>
      <c r="E1029" s="232">
        <v>35.979999999999997</v>
      </c>
      <c r="F1029" s="35">
        <v>5.0502665649116745</v>
      </c>
      <c r="G1029" s="232">
        <v>11211.53</v>
      </c>
      <c r="H1029" s="35">
        <v>9.06094885886424</v>
      </c>
      <c r="I1029" s="232">
        <v>12091.21</v>
      </c>
      <c r="J1029" s="35">
        <v>7.8484185572848508</v>
      </c>
      <c r="K1029" s="232">
        <v>14875.15</v>
      </c>
      <c r="L1029" s="35">
        <v>8.879920282000187</v>
      </c>
      <c r="M1029" s="232">
        <v>40950.92</v>
      </c>
      <c r="N1029" s="35">
        <v>7.7532493309033033</v>
      </c>
      <c r="P1029" s="232">
        <v>-24.97</v>
      </c>
      <c r="Q1029" s="35">
        <v>1.0938002520405554E-2</v>
      </c>
      <c r="R1029" s="232">
        <v>879.68</v>
      </c>
      <c r="S1029" s="35">
        <v>1.2125303015793891</v>
      </c>
      <c r="T1029" s="232">
        <v>26075.78</v>
      </c>
      <c r="U1029" s="35">
        <v>1.1266709510968838</v>
      </c>
      <c r="W1029" s="35">
        <f t="shared" si="97"/>
        <v>571.87012602027778</v>
      </c>
      <c r="X1029" s="35">
        <f t="shared" si="98"/>
        <v>59746.83507896946</v>
      </c>
      <c r="Y1029" s="35">
        <f t="shared" si="99"/>
        <v>30257.767554844191</v>
      </c>
      <c r="Z1029" s="35">
        <f t="shared" si="100"/>
        <v>0</v>
      </c>
      <c r="AA1029" s="35">
        <f t="shared" si="101"/>
        <v>1</v>
      </c>
      <c r="AB1029" s="35">
        <f t="shared" si="102"/>
        <v>0</v>
      </c>
    </row>
    <row r="1030" spans="1:28">
      <c r="A1030" s="35">
        <v>1019</v>
      </c>
      <c r="B1030" s="35">
        <v>4.3508858032900776E-4</v>
      </c>
      <c r="C1030" s="232">
        <v>58.65</v>
      </c>
      <c r="D1030" s="35">
        <v>5.0592359947336156</v>
      </c>
      <c r="E1030" s="232">
        <v>35.82</v>
      </c>
      <c r="F1030" s="35">
        <v>5.0496081177431176</v>
      </c>
      <c r="G1030" s="232">
        <v>10978.45</v>
      </c>
      <c r="H1030" s="35">
        <v>8.3416327824055241</v>
      </c>
      <c r="I1030" s="232">
        <v>12911.48</v>
      </c>
      <c r="J1030" s="35">
        <v>7.776547117774828</v>
      </c>
      <c r="K1030" s="232">
        <v>13230.23</v>
      </c>
      <c r="L1030" s="35">
        <v>8.4912713132060702</v>
      </c>
      <c r="M1030" s="232">
        <v>39272.410000000003</v>
      </c>
      <c r="N1030" s="35">
        <v>7.3910155091859808</v>
      </c>
      <c r="P1030" s="232">
        <v>-22.83</v>
      </c>
      <c r="Q1030" s="35">
        <v>9.6278769904980521E-3</v>
      </c>
      <c r="R1030" s="232">
        <v>1933.03</v>
      </c>
      <c r="S1030" s="35">
        <v>0.56508566463069609</v>
      </c>
      <c r="T1030" s="232">
        <v>26042.18</v>
      </c>
      <c r="U1030" s="35">
        <v>1.1002558040200894</v>
      </c>
      <c r="W1030" s="35">
        <f t="shared" si="97"/>
        <v>504.22384952490262</v>
      </c>
      <c r="X1030" s="35">
        <f t="shared" si="98"/>
        <v>26321.253231534807</v>
      </c>
      <c r="Y1030" s="35">
        <f t="shared" si="99"/>
        <v>28970.610201004471</v>
      </c>
      <c r="Z1030" s="35">
        <f t="shared" si="100"/>
        <v>0</v>
      </c>
      <c r="AA1030" s="35">
        <f t="shared" si="101"/>
        <v>0</v>
      </c>
      <c r="AB1030" s="35">
        <f t="shared" si="102"/>
        <v>1</v>
      </c>
    </row>
    <row r="1031" spans="1:28">
      <c r="A1031" s="35">
        <v>1020</v>
      </c>
      <c r="B1031" s="35">
        <v>5.4797086893565439E-4</v>
      </c>
      <c r="C1031" s="232">
        <v>83.43</v>
      </c>
      <c r="D1031" s="35">
        <v>5.0654969861029313</v>
      </c>
      <c r="E1031" s="232">
        <v>61.44</v>
      </c>
      <c r="F1031" s="35">
        <v>5.0570155673380546</v>
      </c>
      <c r="G1031" s="232">
        <v>11058.52</v>
      </c>
      <c r="H1031" s="35">
        <v>8.5735088458921922</v>
      </c>
      <c r="I1031" s="232">
        <v>11305.65</v>
      </c>
      <c r="J1031" s="35">
        <v>7.2209265428618057</v>
      </c>
      <c r="K1031" s="232">
        <v>14367.41</v>
      </c>
      <c r="L1031" s="35">
        <v>8.4070014322762283</v>
      </c>
      <c r="M1031" s="232">
        <v>40302.44</v>
      </c>
      <c r="N1031" s="35">
        <v>7.4103059854383817</v>
      </c>
      <c r="P1031" s="232">
        <v>-22</v>
      </c>
      <c r="Q1031" s="35">
        <v>8.4814187648767358E-3</v>
      </c>
      <c r="R1031" s="232">
        <v>247.13</v>
      </c>
      <c r="S1031" s="35">
        <v>1.3525823030303865</v>
      </c>
      <c r="T1031" s="232">
        <v>25935.03</v>
      </c>
      <c r="U1031" s="35">
        <v>0.99669544683784661</v>
      </c>
      <c r="W1031" s="35">
        <f t="shared" si="97"/>
        <v>446.07093824383679</v>
      </c>
      <c r="X1031" s="35">
        <f t="shared" si="98"/>
        <v>67381.985151519315</v>
      </c>
      <c r="Y1031" s="35">
        <f t="shared" si="99"/>
        <v>23899.742341892328</v>
      </c>
      <c r="Z1031" s="35">
        <f t="shared" si="100"/>
        <v>0</v>
      </c>
      <c r="AA1031" s="35">
        <f t="shared" si="101"/>
        <v>1</v>
      </c>
      <c r="AB1031" s="35">
        <f t="shared" si="102"/>
        <v>0</v>
      </c>
    </row>
    <row r="1032" spans="1:28">
      <c r="A1032" s="35">
        <v>1021</v>
      </c>
      <c r="B1032" s="35">
        <v>5.4108808247022022E-4</v>
      </c>
      <c r="C1032" s="232">
        <v>69.41</v>
      </c>
      <c r="D1032" s="35">
        <v>5.0653804979857506</v>
      </c>
      <c r="E1032" s="232">
        <v>52.97</v>
      </c>
      <c r="F1032" s="35">
        <v>5.0574293889290542</v>
      </c>
      <c r="G1032" s="232">
        <v>9780.9599999999991</v>
      </c>
      <c r="H1032" s="35">
        <v>8.4435974684462174</v>
      </c>
      <c r="I1032" s="232">
        <v>10904.74</v>
      </c>
      <c r="J1032" s="35">
        <v>6.5251419513762912</v>
      </c>
      <c r="K1032" s="232">
        <v>10839.01</v>
      </c>
      <c r="L1032" s="35">
        <v>8.5344003881139336</v>
      </c>
      <c r="M1032" s="232">
        <v>36743.99</v>
      </c>
      <c r="N1032" s="35">
        <v>7.4113246166806697</v>
      </c>
      <c r="P1032" s="232">
        <v>-16.43</v>
      </c>
      <c r="Q1032" s="35">
        <v>7.9511090566963816E-3</v>
      </c>
      <c r="R1032" s="232">
        <v>1123.78</v>
      </c>
      <c r="S1032" s="35">
        <v>1.9184555170699262</v>
      </c>
      <c r="T1032" s="232">
        <v>25904.98</v>
      </c>
      <c r="U1032" s="35">
        <v>1.123075771433264</v>
      </c>
      <c r="W1032" s="35">
        <f t="shared" si="97"/>
        <v>413.98545283481911</v>
      </c>
      <c r="X1032" s="35">
        <f t="shared" si="98"/>
        <v>94798.995853496308</v>
      </c>
      <c r="Y1032" s="35">
        <f t="shared" si="99"/>
        <v>30248.808571663201</v>
      </c>
      <c r="Z1032" s="35">
        <f t="shared" si="100"/>
        <v>0</v>
      </c>
      <c r="AA1032" s="35">
        <f t="shared" si="101"/>
        <v>1</v>
      </c>
      <c r="AB1032" s="35">
        <f t="shared" si="102"/>
        <v>0</v>
      </c>
    </row>
    <row r="1033" spans="1:28">
      <c r="A1033" s="35">
        <v>1022</v>
      </c>
      <c r="B1033" s="35">
        <v>3.7206459278476232E-4</v>
      </c>
      <c r="C1033" s="232">
        <v>60.08</v>
      </c>
      <c r="D1033" s="35">
        <v>5.0571634563201444</v>
      </c>
      <c r="E1033" s="232">
        <v>36.43</v>
      </c>
      <c r="F1033" s="35">
        <v>5.04841634575779</v>
      </c>
      <c r="G1033" s="232">
        <v>12274.12</v>
      </c>
      <c r="H1033" s="35">
        <v>8.8542694178443568</v>
      </c>
      <c r="I1033" s="232">
        <v>14019.46</v>
      </c>
      <c r="J1033" s="35">
        <v>8.4176359996930756</v>
      </c>
      <c r="K1033" s="232">
        <v>14437.1</v>
      </c>
      <c r="L1033" s="35">
        <v>8.4260120406824335</v>
      </c>
      <c r="M1033" s="232">
        <v>40527.4</v>
      </c>
      <c r="N1033" s="35">
        <v>7.3500550414772068</v>
      </c>
      <c r="P1033" s="232">
        <v>-23.65</v>
      </c>
      <c r="Q1033" s="35">
        <v>8.7471105623544432E-3</v>
      </c>
      <c r="R1033" s="232">
        <v>1745.34</v>
      </c>
      <c r="S1033" s="35">
        <v>0.43663341815128121</v>
      </c>
      <c r="T1033" s="232">
        <v>26090.3</v>
      </c>
      <c r="U1033" s="35">
        <v>1.0759569992052267</v>
      </c>
      <c r="W1033" s="35">
        <f t="shared" si="97"/>
        <v>461.00552811772212</v>
      </c>
      <c r="X1033" s="35">
        <f t="shared" si="98"/>
        <v>20086.330907564061</v>
      </c>
      <c r="Y1033" s="35">
        <f t="shared" si="99"/>
        <v>27707.549960261338</v>
      </c>
      <c r="Z1033" s="35">
        <f t="shared" si="100"/>
        <v>0</v>
      </c>
      <c r="AA1033" s="35">
        <f t="shared" si="101"/>
        <v>0</v>
      </c>
      <c r="AB1033" s="35">
        <f t="shared" si="102"/>
        <v>1</v>
      </c>
    </row>
    <row r="1034" spans="1:28">
      <c r="A1034" s="35">
        <v>1023</v>
      </c>
      <c r="B1034" s="35">
        <v>4.2824847668580275E-4</v>
      </c>
      <c r="C1034" s="232">
        <v>57.32</v>
      </c>
      <c r="D1034" s="35">
        <v>5.0638494353675876</v>
      </c>
      <c r="E1034" s="232">
        <v>40.53</v>
      </c>
      <c r="F1034" s="35">
        <v>5.0545994829605263</v>
      </c>
      <c r="G1034" s="232">
        <v>10297.65</v>
      </c>
      <c r="H1034" s="35">
        <v>9.5741447832264193</v>
      </c>
      <c r="I1034" s="232">
        <v>10894.25</v>
      </c>
      <c r="J1034" s="35">
        <v>8.1259675868300736</v>
      </c>
      <c r="K1034" s="232">
        <v>14113.16</v>
      </c>
      <c r="L1034" s="35">
        <v>9.0460266672066947</v>
      </c>
      <c r="M1034" s="232">
        <v>40199.800000000003</v>
      </c>
      <c r="N1034" s="35">
        <v>7.9093625455907421</v>
      </c>
      <c r="P1034" s="232">
        <v>-16.79</v>
      </c>
      <c r="Q1034" s="35">
        <v>9.2499524070612793E-3</v>
      </c>
      <c r="R1034" s="232">
        <v>596.6</v>
      </c>
      <c r="S1034" s="35">
        <v>1.4481771963963457</v>
      </c>
      <c r="T1034" s="232">
        <v>26086.639999999999</v>
      </c>
      <c r="U1034" s="35">
        <v>1.1366641216159525</v>
      </c>
      <c r="W1034" s="35">
        <f t="shared" si="97"/>
        <v>479.28762035306397</v>
      </c>
      <c r="X1034" s="35">
        <f t="shared" si="98"/>
        <v>71812.259819817278</v>
      </c>
      <c r="Y1034" s="35">
        <f t="shared" si="99"/>
        <v>30746.566080797631</v>
      </c>
      <c r="Z1034" s="35">
        <f t="shared" si="100"/>
        <v>0</v>
      </c>
      <c r="AA1034" s="35">
        <f t="shared" si="101"/>
        <v>1</v>
      </c>
      <c r="AB1034" s="35">
        <f t="shared" si="102"/>
        <v>0</v>
      </c>
    </row>
    <row r="1035" spans="1:28">
      <c r="A1035" s="35">
        <v>1024</v>
      </c>
      <c r="B1035" s="35">
        <v>5.5641848458365395E-4</v>
      </c>
      <c r="C1035" s="232">
        <v>78.48</v>
      </c>
      <c r="D1035" s="35">
        <v>5.0662442908917651</v>
      </c>
      <c r="E1035" s="232">
        <v>45.75</v>
      </c>
      <c r="F1035" s="35">
        <v>5.0531109284543447</v>
      </c>
      <c r="G1035" s="232">
        <v>11475.54</v>
      </c>
      <c r="H1035" s="35">
        <v>8.5607996869284939</v>
      </c>
      <c r="I1035" s="232">
        <v>13121.22</v>
      </c>
      <c r="J1035" s="35">
        <v>7.5843984754839235</v>
      </c>
      <c r="K1035" s="232">
        <v>14127.19</v>
      </c>
      <c r="L1035" s="35">
        <v>8.7114461248763835</v>
      </c>
      <c r="M1035" s="232">
        <v>40293.01</v>
      </c>
      <c r="N1035" s="35">
        <v>7.6077783502528469</v>
      </c>
      <c r="P1035" s="232">
        <v>-32.72</v>
      </c>
      <c r="Q1035" s="35">
        <v>1.3133362437420359E-2</v>
      </c>
      <c r="R1035" s="232">
        <v>1645.68</v>
      </c>
      <c r="S1035" s="35">
        <v>0.97640121144457037</v>
      </c>
      <c r="T1035" s="232">
        <v>26165.82</v>
      </c>
      <c r="U1035" s="35">
        <v>1.1036677746235366</v>
      </c>
      <c r="W1035" s="35">
        <f t="shared" si="97"/>
        <v>689.38812187101803</v>
      </c>
      <c r="X1035" s="35">
        <f t="shared" si="98"/>
        <v>47174.380572228518</v>
      </c>
      <c r="Y1035" s="35">
        <f t="shared" si="99"/>
        <v>29017.568731176827</v>
      </c>
      <c r="Z1035" s="35">
        <f t="shared" si="100"/>
        <v>0</v>
      </c>
      <c r="AA1035" s="35">
        <f t="shared" si="101"/>
        <v>1</v>
      </c>
      <c r="AB1035" s="35">
        <f t="shared" si="102"/>
        <v>0</v>
      </c>
    </row>
    <row r="1036" spans="1:28">
      <c r="A1036" s="35">
        <v>1025</v>
      </c>
      <c r="B1036" s="35">
        <v>3.7224988471457765E-4</v>
      </c>
      <c r="C1036" s="232">
        <v>48.78</v>
      </c>
      <c r="D1036" s="35">
        <v>5.0576849011635243</v>
      </c>
      <c r="E1036" s="232">
        <v>31.93</v>
      </c>
      <c r="F1036" s="35">
        <v>5.0493735161365718</v>
      </c>
      <c r="G1036" s="232">
        <v>10576.9</v>
      </c>
      <c r="H1036" s="35">
        <v>8.4924138013800778</v>
      </c>
      <c r="I1036" s="232">
        <v>12499.63</v>
      </c>
      <c r="J1036" s="35">
        <v>7.3524879432102077</v>
      </c>
      <c r="K1036" s="232">
        <v>11144.65</v>
      </c>
      <c r="L1036" s="35">
        <v>9.249952821336791</v>
      </c>
      <c r="M1036" s="232">
        <v>36985.39</v>
      </c>
      <c r="N1036" s="35">
        <v>8.1607861639437562</v>
      </c>
      <c r="P1036" s="232">
        <v>-16.850000000000001</v>
      </c>
      <c r="Q1036" s="35">
        <v>8.3113850269525003E-3</v>
      </c>
      <c r="R1036" s="232">
        <v>1922.73</v>
      </c>
      <c r="S1036" s="35">
        <v>1.1399258581698701</v>
      </c>
      <c r="T1036" s="232">
        <v>25840.74</v>
      </c>
      <c r="U1036" s="35">
        <v>1.0891666573930348</v>
      </c>
      <c r="W1036" s="35">
        <f t="shared" ref="W1036:W1099" si="103">$X$2*Q1036-P1036</f>
        <v>432.41925134762505</v>
      </c>
      <c r="X1036" s="35">
        <f t="shared" ref="X1036:X1099" si="104">$X$2*S1036-R1036</f>
        <v>55073.562908493506</v>
      </c>
      <c r="Y1036" s="35">
        <f t="shared" ref="Y1036:Y1099" si="105">$X$2*U1036-T1036</f>
        <v>28617.592869651733</v>
      </c>
      <c r="Z1036" s="35">
        <f t="shared" ref="Z1036:Z1099" si="106">IF(W1036=MAX($W1036:$Y1036), 1, 0)</f>
        <v>0</v>
      </c>
      <c r="AA1036" s="35">
        <f t="shared" ref="AA1036:AA1099" si="107">IF(X1036=MAX($W1036:$Y1036), 1, 0)</f>
        <v>1</v>
      </c>
      <c r="AB1036" s="35">
        <f t="shared" ref="AB1036:AB1099" si="108">IF(Y1036=MAX($W1036:$Y1036), 1, 0)</f>
        <v>0</v>
      </c>
    </row>
    <row r="1037" spans="1:28">
      <c r="A1037" s="35">
        <v>1026</v>
      </c>
      <c r="B1037" s="35">
        <v>5.3600106039020101E-4</v>
      </c>
      <c r="C1037" s="232">
        <v>70.11</v>
      </c>
      <c r="D1037" s="35">
        <v>5.0677015664433753</v>
      </c>
      <c r="E1037" s="232">
        <v>42.17</v>
      </c>
      <c r="F1037" s="35">
        <v>5.0542775999120826</v>
      </c>
      <c r="G1037" s="232">
        <v>9525.9599999999991</v>
      </c>
      <c r="H1037" s="35">
        <v>9.1672090342018446</v>
      </c>
      <c r="I1037" s="232">
        <v>9717.09</v>
      </c>
      <c r="J1037" s="35">
        <v>7.6943184884088272</v>
      </c>
      <c r="K1037" s="232">
        <v>12691.63</v>
      </c>
      <c r="L1037" s="35">
        <v>8.8127633930838822</v>
      </c>
      <c r="M1037" s="232">
        <v>38695.24</v>
      </c>
      <c r="N1037" s="35">
        <v>7.7334534232504328</v>
      </c>
      <c r="P1037" s="232">
        <v>-27.94</v>
      </c>
      <c r="Q1037" s="35">
        <v>1.3423966531292741E-2</v>
      </c>
      <c r="R1037" s="232">
        <v>191.13</v>
      </c>
      <c r="S1037" s="35">
        <v>1.4728905457930175</v>
      </c>
      <c r="T1037" s="232">
        <v>26003.61</v>
      </c>
      <c r="U1037" s="35">
        <v>1.0793099698334494</v>
      </c>
      <c r="W1037" s="35">
        <f t="shared" si="103"/>
        <v>699.13832656463717</v>
      </c>
      <c r="X1037" s="35">
        <f t="shared" si="104"/>
        <v>73453.397289650864</v>
      </c>
      <c r="Y1037" s="35">
        <f t="shared" si="105"/>
        <v>27961.888491672471</v>
      </c>
      <c r="Z1037" s="35">
        <f t="shared" si="106"/>
        <v>0</v>
      </c>
      <c r="AA1037" s="35">
        <f t="shared" si="107"/>
        <v>1</v>
      </c>
      <c r="AB1037" s="35">
        <f t="shared" si="108"/>
        <v>0</v>
      </c>
    </row>
    <row r="1038" spans="1:28">
      <c r="A1038" s="35">
        <v>1027</v>
      </c>
      <c r="B1038" s="35">
        <v>4.8224888746184469E-4</v>
      </c>
      <c r="C1038" s="232">
        <v>96</v>
      </c>
      <c r="D1038" s="35">
        <v>5.0638930273134477</v>
      </c>
      <c r="E1038" s="232">
        <v>54.77</v>
      </c>
      <c r="F1038" s="35">
        <v>5.0517464733756841</v>
      </c>
      <c r="G1038" s="232">
        <v>15157.06</v>
      </c>
      <c r="H1038" s="35">
        <v>9.000880375897351</v>
      </c>
      <c r="I1038" s="232">
        <v>16468.63</v>
      </c>
      <c r="J1038" s="35">
        <v>8.4409995553942796</v>
      </c>
      <c r="K1038" s="232">
        <v>19722.16</v>
      </c>
      <c r="L1038" s="35">
        <v>8.658517105587423</v>
      </c>
      <c r="M1038" s="232">
        <v>46097.760000000002</v>
      </c>
      <c r="N1038" s="35">
        <v>7.6565582513901651</v>
      </c>
      <c r="P1038" s="232">
        <v>-41.23</v>
      </c>
      <c r="Q1038" s="35">
        <v>1.2146553937763649E-2</v>
      </c>
      <c r="R1038" s="232">
        <v>1311.57</v>
      </c>
      <c r="S1038" s="35">
        <v>0.55988082050307142</v>
      </c>
      <c r="T1038" s="232">
        <v>26375.599999999999</v>
      </c>
      <c r="U1038" s="35">
        <v>1.0019588541972579</v>
      </c>
      <c r="W1038" s="35">
        <f t="shared" si="103"/>
        <v>648.55769688818248</v>
      </c>
      <c r="X1038" s="35">
        <f t="shared" si="104"/>
        <v>26682.471025153573</v>
      </c>
      <c r="Y1038" s="35">
        <f t="shared" si="105"/>
        <v>23722.342709862896</v>
      </c>
      <c r="Z1038" s="35">
        <f t="shared" si="106"/>
        <v>0</v>
      </c>
      <c r="AA1038" s="35">
        <f t="shared" si="107"/>
        <v>1</v>
      </c>
      <c r="AB1038" s="35">
        <f t="shared" si="108"/>
        <v>0</v>
      </c>
    </row>
    <row r="1039" spans="1:28">
      <c r="A1039" s="35">
        <v>1028</v>
      </c>
      <c r="B1039" s="35">
        <v>4.7271870834653118E-4</v>
      </c>
      <c r="C1039" s="232">
        <v>69.34</v>
      </c>
      <c r="D1039" s="35">
        <v>5.0602884584702341</v>
      </c>
      <c r="E1039" s="232">
        <v>45.72</v>
      </c>
      <c r="F1039" s="35">
        <v>5.0514851978754409</v>
      </c>
      <c r="G1039" s="232">
        <v>11286.27</v>
      </c>
      <c r="H1039" s="35">
        <v>8.2763079262913646</v>
      </c>
      <c r="I1039" s="232">
        <v>12630.26</v>
      </c>
      <c r="J1039" s="35">
        <v>7.3663375370536404</v>
      </c>
      <c r="K1039" s="232">
        <v>13977.46</v>
      </c>
      <c r="L1039" s="35">
        <v>8.1618100856431486</v>
      </c>
      <c r="M1039" s="232">
        <v>39928.94</v>
      </c>
      <c r="N1039" s="35">
        <v>7.065348390787535</v>
      </c>
      <c r="P1039" s="232">
        <v>-23.63</v>
      </c>
      <c r="Q1039" s="35">
        <v>8.8032605947931941E-3</v>
      </c>
      <c r="R1039" s="232">
        <v>1343.99</v>
      </c>
      <c r="S1039" s="35">
        <v>0.90997038923772422</v>
      </c>
      <c r="T1039" s="232">
        <v>25951.48</v>
      </c>
      <c r="U1039" s="35">
        <v>1.0964616948556136</v>
      </c>
      <c r="W1039" s="35">
        <f t="shared" si="103"/>
        <v>463.79302973965969</v>
      </c>
      <c r="X1039" s="35">
        <f t="shared" si="104"/>
        <v>44154.52946188621</v>
      </c>
      <c r="Y1039" s="35">
        <f t="shared" si="105"/>
        <v>28871.604742780681</v>
      </c>
      <c r="Z1039" s="35">
        <f t="shared" si="106"/>
        <v>0</v>
      </c>
      <c r="AA1039" s="35">
        <f t="shared" si="107"/>
        <v>1</v>
      </c>
      <c r="AB1039" s="35">
        <f t="shared" si="108"/>
        <v>0</v>
      </c>
    </row>
    <row r="1040" spans="1:28">
      <c r="A1040" s="35">
        <v>1029</v>
      </c>
      <c r="B1040" s="35">
        <v>5.3372914748472944E-4</v>
      </c>
      <c r="C1040" s="232">
        <v>68.959999999999994</v>
      </c>
      <c r="D1040" s="35">
        <v>5.065962635642987</v>
      </c>
      <c r="E1040" s="232">
        <v>45.81</v>
      </c>
      <c r="F1040" s="35">
        <v>5.0550601223986114</v>
      </c>
      <c r="G1040" s="232">
        <v>9315.2900000000009</v>
      </c>
      <c r="H1040" s="35">
        <v>8.555824681069927</v>
      </c>
      <c r="I1040" s="232">
        <v>10734.35</v>
      </c>
      <c r="J1040" s="35">
        <v>7.9862605759505394</v>
      </c>
      <c r="K1040" s="232">
        <v>14750.31</v>
      </c>
      <c r="L1040" s="35">
        <v>8.9943653765071865</v>
      </c>
      <c r="M1040" s="232">
        <v>40870.199999999997</v>
      </c>
      <c r="N1040" s="35">
        <v>7.882795383253888</v>
      </c>
      <c r="P1040" s="232">
        <v>-23.15</v>
      </c>
      <c r="Q1040" s="35">
        <v>1.0902513244375633E-2</v>
      </c>
      <c r="R1040" s="232">
        <v>1419.06</v>
      </c>
      <c r="S1040" s="35">
        <v>0.5695641051193876</v>
      </c>
      <c r="T1040" s="232">
        <v>26119.89</v>
      </c>
      <c r="U1040" s="35">
        <v>1.1115699932532985</v>
      </c>
      <c r="W1040" s="35">
        <f t="shared" si="103"/>
        <v>568.27566221878169</v>
      </c>
      <c r="X1040" s="35">
        <f t="shared" si="104"/>
        <v>27059.145255969379</v>
      </c>
      <c r="Y1040" s="35">
        <f t="shared" si="105"/>
        <v>29458.609662664931</v>
      </c>
      <c r="Z1040" s="35">
        <f t="shared" si="106"/>
        <v>0</v>
      </c>
      <c r="AA1040" s="35">
        <f t="shared" si="107"/>
        <v>0</v>
      </c>
      <c r="AB1040" s="35">
        <f t="shared" si="108"/>
        <v>1</v>
      </c>
    </row>
    <row r="1041" spans="1:28">
      <c r="A1041" s="35">
        <v>1030</v>
      </c>
      <c r="B1041" s="35">
        <v>4.0151169132610987E-4</v>
      </c>
      <c r="C1041" s="232">
        <v>51.62</v>
      </c>
      <c r="D1041" s="35">
        <v>5.0590778820009223</v>
      </c>
      <c r="E1041" s="232">
        <v>36.619999999999997</v>
      </c>
      <c r="F1041" s="35">
        <v>5.0514301502617345</v>
      </c>
      <c r="G1041" s="232">
        <v>10167.59</v>
      </c>
      <c r="H1041" s="35">
        <v>8.6579052577017421</v>
      </c>
      <c r="I1041" s="232">
        <v>11926.53</v>
      </c>
      <c r="J1041" s="35">
        <v>7.5646705124500553</v>
      </c>
      <c r="K1041" s="232">
        <v>11426.21</v>
      </c>
      <c r="L1041" s="35">
        <v>8.6769381375214625</v>
      </c>
      <c r="M1041" s="232">
        <v>37415.550000000003</v>
      </c>
      <c r="N1041" s="35">
        <v>7.5695473515696055</v>
      </c>
      <c r="P1041" s="232">
        <v>-15</v>
      </c>
      <c r="Q1041" s="35">
        <v>7.6477317391878685E-3</v>
      </c>
      <c r="R1041" s="232">
        <v>1758.94</v>
      </c>
      <c r="S1041" s="35">
        <v>1.0932347452516868</v>
      </c>
      <c r="T1041" s="232">
        <v>25989.34</v>
      </c>
      <c r="U1041" s="35">
        <v>1.107390785951857</v>
      </c>
      <c r="W1041" s="35">
        <f t="shared" si="103"/>
        <v>397.38658695939341</v>
      </c>
      <c r="X1041" s="35">
        <f t="shared" si="104"/>
        <v>52902.797262584339</v>
      </c>
      <c r="Y1041" s="35">
        <f t="shared" si="105"/>
        <v>29380.199297592848</v>
      </c>
      <c r="Z1041" s="35">
        <f t="shared" si="106"/>
        <v>0</v>
      </c>
      <c r="AA1041" s="35">
        <f t="shared" si="107"/>
        <v>1</v>
      </c>
      <c r="AB1041" s="35">
        <f t="shared" si="108"/>
        <v>0</v>
      </c>
    </row>
    <row r="1042" spans="1:28">
      <c r="A1042" s="35">
        <v>1031</v>
      </c>
      <c r="B1042" s="35">
        <v>5.8080471010280021E-4</v>
      </c>
      <c r="C1042" s="232">
        <v>87.28</v>
      </c>
      <c r="D1042" s="35">
        <v>5.0669791105960007</v>
      </c>
      <c r="E1042" s="232">
        <v>56.86</v>
      </c>
      <c r="F1042" s="35">
        <v>5.0556320938583097</v>
      </c>
      <c r="G1042" s="232">
        <v>11517.58</v>
      </c>
      <c r="H1042" s="35">
        <v>8.4022865347715996</v>
      </c>
      <c r="I1042" s="232">
        <v>12149.2</v>
      </c>
      <c r="J1042" s="35">
        <v>6.5374588160097247</v>
      </c>
      <c r="K1042" s="232">
        <v>13676.98</v>
      </c>
      <c r="L1042" s="35">
        <v>8.573711623548478</v>
      </c>
      <c r="M1042" s="232">
        <v>39661.129999999997</v>
      </c>
      <c r="N1042" s="35">
        <v>7.4743926141049375</v>
      </c>
      <c r="P1042" s="232">
        <v>-30.41</v>
      </c>
      <c r="Q1042" s="35">
        <v>1.1347016737691007E-2</v>
      </c>
      <c r="R1042" s="232">
        <v>631.63</v>
      </c>
      <c r="S1042" s="35">
        <v>1.8648277187618749</v>
      </c>
      <c r="T1042" s="232">
        <v>25984.15</v>
      </c>
      <c r="U1042" s="35">
        <v>1.0993190094435406</v>
      </c>
      <c r="W1042" s="35">
        <f t="shared" si="103"/>
        <v>597.76083688455026</v>
      </c>
      <c r="X1042" s="35">
        <f t="shared" si="104"/>
        <v>92609.755938093745</v>
      </c>
      <c r="Y1042" s="35">
        <f t="shared" si="105"/>
        <v>28981.800472177027</v>
      </c>
      <c r="Z1042" s="35">
        <f t="shared" si="106"/>
        <v>0</v>
      </c>
      <c r="AA1042" s="35">
        <f t="shared" si="107"/>
        <v>1</v>
      </c>
      <c r="AB1042" s="35">
        <f t="shared" si="108"/>
        <v>0</v>
      </c>
    </row>
    <row r="1043" spans="1:28">
      <c r="A1043" s="35">
        <v>1032</v>
      </c>
      <c r="B1043" s="35">
        <v>4.0143729814809523E-4</v>
      </c>
      <c r="C1043" s="232">
        <v>53.58</v>
      </c>
      <c r="D1043" s="35">
        <v>5.0569046202664092</v>
      </c>
      <c r="E1043" s="232">
        <v>31.05</v>
      </c>
      <c r="F1043" s="35">
        <v>5.0476258971168324</v>
      </c>
      <c r="G1043" s="232">
        <v>10547.86</v>
      </c>
      <c r="H1043" s="35">
        <v>8.3434157397021647</v>
      </c>
      <c r="I1043" s="232">
        <v>11235.75</v>
      </c>
      <c r="J1043" s="35">
        <v>6.9194551546660596</v>
      </c>
      <c r="K1043" s="232">
        <v>14527.83</v>
      </c>
      <c r="L1043" s="35">
        <v>8.3123512329156597</v>
      </c>
      <c r="M1043" s="232">
        <v>40619.160000000003</v>
      </c>
      <c r="N1043" s="35">
        <v>7.2844872823398372</v>
      </c>
      <c r="P1043" s="232">
        <v>-22.53</v>
      </c>
      <c r="Q1043" s="35">
        <v>9.2787231495767841E-3</v>
      </c>
      <c r="R1043" s="232">
        <v>687.9</v>
      </c>
      <c r="S1043" s="35">
        <v>1.423960585036105</v>
      </c>
      <c r="T1043" s="232">
        <v>26091.33</v>
      </c>
      <c r="U1043" s="35">
        <v>1.0278639505758225</v>
      </c>
      <c r="W1043" s="35">
        <f t="shared" si="103"/>
        <v>486.46615747883925</v>
      </c>
      <c r="X1043" s="35">
        <f t="shared" si="104"/>
        <v>70510.129251805251</v>
      </c>
      <c r="Y1043" s="35">
        <f t="shared" si="105"/>
        <v>25301.867528791125</v>
      </c>
      <c r="Z1043" s="35">
        <f t="shared" si="106"/>
        <v>0</v>
      </c>
      <c r="AA1043" s="35">
        <f t="shared" si="107"/>
        <v>1</v>
      </c>
      <c r="AB1043" s="35">
        <f t="shared" si="108"/>
        <v>0</v>
      </c>
    </row>
    <row r="1044" spans="1:28">
      <c r="A1044" s="35">
        <v>1033</v>
      </c>
      <c r="B1044" s="35">
        <v>4.5798829885390635E-4</v>
      </c>
      <c r="C1044" s="232">
        <v>92.47</v>
      </c>
      <c r="D1044" s="35">
        <v>5.0649239378708906</v>
      </c>
      <c r="E1044" s="232">
        <v>59.27</v>
      </c>
      <c r="F1044" s="35">
        <v>5.0541574612633831</v>
      </c>
      <c r="G1044" s="232">
        <v>15613.46</v>
      </c>
      <c r="H1044" s="35">
        <v>9.436733017846862</v>
      </c>
      <c r="I1044" s="232">
        <v>14278.38</v>
      </c>
      <c r="J1044" s="35">
        <v>7.2605782599690869</v>
      </c>
      <c r="K1044" s="232">
        <v>20847.599999999999</v>
      </c>
      <c r="L1044" s="35">
        <v>9.0934158081764345</v>
      </c>
      <c r="M1044" s="232">
        <v>47061.85</v>
      </c>
      <c r="N1044" s="35">
        <v>8.000615013716466</v>
      </c>
      <c r="P1044" s="232">
        <v>-33.21</v>
      </c>
      <c r="Q1044" s="35">
        <v>1.0766476607507514E-2</v>
      </c>
      <c r="R1044" s="232">
        <v>-1335.09</v>
      </c>
      <c r="S1044" s="35">
        <v>2.1761547578777751</v>
      </c>
      <c r="T1044" s="232">
        <v>26214.25</v>
      </c>
      <c r="U1044" s="35">
        <v>1.0928007944599685</v>
      </c>
      <c r="W1044" s="35">
        <f t="shared" si="103"/>
        <v>571.53383037537571</v>
      </c>
      <c r="X1044" s="35">
        <f t="shared" si="104"/>
        <v>110142.82789388875</v>
      </c>
      <c r="Y1044" s="35">
        <f t="shared" si="105"/>
        <v>28425.789722998423</v>
      </c>
      <c r="Z1044" s="35">
        <f t="shared" si="106"/>
        <v>0</v>
      </c>
      <c r="AA1044" s="35">
        <f t="shared" si="107"/>
        <v>1</v>
      </c>
      <c r="AB1044" s="35">
        <f t="shared" si="108"/>
        <v>0</v>
      </c>
    </row>
    <row r="1045" spans="1:28">
      <c r="A1045" s="35">
        <v>1034</v>
      </c>
      <c r="B1045" s="35">
        <v>4.5923767726285813E-4</v>
      </c>
      <c r="C1045" s="232">
        <v>74.83</v>
      </c>
      <c r="D1045" s="35">
        <v>5.0620366150404781</v>
      </c>
      <c r="E1045" s="232">
        <v>51.34</v>
      </c>
      <c r="F1045" s="35">
        <v>5.0532849008883209</v>
      </c>
      <c r="G1045" s="232">
        <v>12942.06</v>
      </c>
      <c r="H1045" s="35">
        <v>8.8437472243902544</v>
      </c>
      <c r="I1045" s="232">
        <v>14615.57</v>
      </c>
      <c r="J1045" s="35">
        <v>7.5223483492938854</v>
      </c>
      <c r="K1045" s="232">
        <v>13398.82</v>
      </c>
      <c r="L1045" s="35">
        <v>8.4284898250862454</v>
      </c>
      <c r="M1045" s="232">
        <v>39444.65</v>
      </c>
      <c r="N1045" s="35">
        <v>7.3278795192515878</v>
      </c>
      <c r="P1045" s="232">
        <v>-23.49</v>
      </c>
      <c r="Q1045" s="35">
        <v>8.7517141521571418E-3</v>
      </c>
      <c r="R1045" s="232">
        <v>1673.51</v>
      </c>
      <c r="S1045" s="35">
        <v>1.321398875096369</v>
      </c>
      <c r="T1045" s="232">
        <v>26045.84</v>
      </c>
      <c r="U1045" s="35">
        <v>1.1006103058346577</v>
      </c>
      <c r="W1045" s="35">
        <f t="shared" si="103"/>
        <v>461.07570760785711</v>
      </c>
      <c r="X1045" s="35">
        <f t="shared" si="104"/>
        <v>64396.433754818449</v>
      </c>
      <c r="Y1045" s="35">
        <f t="shared" si="105"/>
        <v>28984.675291732881</v>
      </c>
      <c r="Z1045" s="35">
        <f t="shared" si="106"/>
        <v>0</v>
      </c>
      <c r="AA1045" s="35">
        <f t="shared" si="107"/>
        <v>1</v>
      </c>
      <c r="AB1045" s="35">
        <f t="shared" si="108"/>
        <v>0</v>
      </c>
    </row>
    <row r="1046" spans="1:28">
      <c r="A1046" s="35">
        <v>1035</v>
      </c>
      <c r="B1046" s="35">
        <v>4.0282336205509827E-4</v>
      </c>
      <c r="C1046" s="232">
        <v>76.05</v>
      </c>
      <c r="D1046" s="35">
        <v>5.060787562216019</v>
      </c>
      <c r="E1046" s="232">
        <v>52.25</v>
      </c>
      <c r="F1046" s="35">
        <v>5.0525294106061605</v>
      </c>
      <c r="G1046" s="232">
        <v>14316.57</v>
      </c>
      <c r="H1046" s="35">
        <v>9.2579036314051582</v>
      </c>
      <c r="I1046" s="232">
        <v>13793.13</v>
      </c>
      <c r="J1046" s="35">
        <v>7.3179887178701799</v>
      </c>
      <c r="K1046" s="232">
        <v>17451.53</v>
      </c>
      <c r="L1046" s="35">
        <v>8.8368598428499094</v>
      </c>
      <c r="M1046" s="232">
        <v>43528.18</v>
      </c>
      <c r="N1046" s="35">
        <v>7.7730292022274297</v>
      </c>
      <c r="P1046" s="232">
        <v>-23.8</v>
      </c>
      <c r="Q1046" s="35">
        <v>8.2581516098585439E-3</v>
      </c>
      <c r="R1046" s="232">
        <v>-523.44000000000005</v>
      </c>
      <c r="S1046" s="35">
        <v>1.9399149135349782</v>
      </c>
      <c r="T1046" s="232">
        <v>26076.66</v>
      </c>
      <c r="U1046" s="35">
        <v>1.0638306406224798</v>
      </c>
      <c r="W1046" s="35">
        <f t="shared" si="103"/>
        <v>436.70758049292721</v>
      </c>
      <c r="X1046" s="35">
        <f t="shared" si="104"/>
        <v>97519.185676748908</v>
      </c>
      <c r="Y1046" s="35">
        <f t="shared" si="105"/>
        <v>27114.872031123992</v>
      </c>
      <c r="Z1046" s="35">
        <f t="shared" si="106"/>
        <v>0</v>
      </c>
      <c r="AA1046" s="35">
        <f t="shared" si="107"/>
        <v>1</v>
      </c>
      <c r="AB1046" s="35">
        <f t="shared" si="108"/>
        <v>0</v>
      </c>
    </row>
    <row r="1047" spans="1:28">
      <c r="A1047" s="35">
        <v>1036</v>
      </c>
      <c r="B1047" s="35">
        <v>4.4183398071847679E-4</v>
      </c>
      <c r="C1047" s="232">
        <v>76.2</v>
      </c>
      <c r="D1047" s="35">
        <v>5.0627831892286999</v>
      </c>
      <c r="E1047" s="232">
        <v>48.87</v>
      </c>
      <c r="F1047" s="35">
        <v>5.0526690550758895</v>
      </c>
      <c r="G1047" s="232">
        <v>13268.53</v>
      </c>
      <c r="H1047" s="35">
        <v>9.2791022832445673</v>
      </c>
      <c r="I1047" s="232">
        <v>13182</v>
      </c>
      <c r="J1047" s="35">
        <v>7.6679679776715544</v>
      </c>
      <c r="K1047" s="232">
        <v>17309.95</v>
      </c>
      <c r="L1047" s="35">
        <v>8.556381988976197</v>
      </c>
      <c r="M1047" s="232">
        <v>43293.95</v>
      </c>
      <c r="N1047" s="35">
        <v>7.4847558816894812</v>
      </c>
      <c r="P1047" s="232">
        <v>-27.34</v>
      </c>
      <c r="Q1047" s="35">
        <v>1.0114134152810372E-2</v>
      </c>
      <c r="R1047" s="232">
        <v>-86.53</v>
      </c>
      <c r="S1047" s="35">
        <v>1.611134305573013</v>
      </c>
      <c r="T1047" s="232">
        <v>25984</v>
      </c>
      <c r="U1047" s="35">
        <v>1.0716261072867157</v>
      </c>
      <c r="W1047" s="35">
        <f t="shared" si="103"/>
        <v>533.04670764051866</v>
      </c>
      <c r="X1047" s="35">
        <f t="shared" si="104"/>
        <v>80643.245278650647</v>
      </c>
      <c r="Y1047" s="35">
        <f t="shared" si="105"/>
        <v>27597.305364335785</v>
      </c>
      <c r="Z1047" s="35">
        <f t="shared" si="106"/>
        <v>0</v>
      </c>
      <c r="AA1047" s="35">
        <f t="shared" si="107"/>
        <v>1</v>
      </c>
      <c r="AB1047" s="35">
        <f t="shared" si="108"/>
        <v>0</v>
      </c>
    </row>
    <row r="1048" spans="1:28">
      <c r="A1048" s="35">
        <v>1037</v>
      </c>
      <c r="B1048" s="35">
        <v>3.6409294586564514E-4</v>
      </c>
      <c r="C1048" s="232">
        <v>51.78</v>
      </c>
      <c r="D1048" s="35">
        <v>5.0591782982432543</v>
      </c>
      <c r="E1048" s="232">
        <v>35.36</v>
      </c>
      <c r="F1048" s="35">
        <v>5.0509352644766565</v>
      </c>
      <c r="G1048" s="232">
        <v>11041.24</v>
      </c>
      <c r="H1048" s="35">
        <v>9.3033092810232674</v>
      </c>
      <c r="I1048" s="232">
        <v>12442.75</v>
      </c>
      <c r="J1048" s="35">
        <v>7.7601312075882012</v>
      </c>
      <c r="K1048" s="232">
        <v>11770</v>
      </c>
      <c r="L1048" s="35">
        <v>8.9391134277929183</v>
      </c>
      <c r="M1048" s="232">
        <v>37733.96</v>
      </c>
      <c r="N1048" s="35">
        <v>7.77102142780004</v>
      </c>
      <c r="P1048" s="232">
        <v>-16.420000000000002</v>
      </c>
      <c r="Q1048" s="35">
        <v>8.2430337665977405E-3</v>
      </c>
      <c r="R1048" s="232">
        <v>1401.51</v>
      </c>
      <c r="S1048" s="35">
        <v>1.5431780734350662</v>
      </c>
      <c r="T1048" s="232">
        <v>25963.96</v>
      </c>
      <c r="U1048" s="35">
        <v>1.1680919999928783</v>
      </c>
      <c r="W1048" s="35">
        <f t="shared" si="103"/>
        <v>428.57168832988702</v>
      </c>
      <c r="X1048" s="35">
        <f t="shared" si="104"/>
        <v>75757.393671753322</v>
      </c>
      <c r="Y1048" s="35">
        <f t="shared" si="105"/>
        <v>32440.639999643914</v>
      </c>
      <c r="Z1048" s="35">
        <f t="shared" si="106"/>
        <v>0</v>
      </c>
      <c r="AA1048" s="35">
        <f t="shared" si="107"/>
        <v>1</v>
      </c>
      <c r="AB1048" s="35">
        <f t="shared" si="108"/>
        <v>0</v>
      </c>
    </row>
    <row r="1049" spans="1:28">
      <c r="A1049" s="35">
        <v>1038</v>
      </c>
      <c r="B1049" s="35">
        <v>4.7345874592219506E-4</v>
      </c>
      <c r="C1049" s="232">
        <v>72.81</v>
      </c>
      <c r="D1049" s="35">
        <v>5.0623456196079593</v>
      </c>
      <c r="E1049" s="232">
        <v>42.67</v>
      </c>
      <c r="F1049" s="35">
        <v>5.051005303747826</v>
      </c>
      <c r="G1049" s="232">
        <v>11773.25</v>
      </c>
      <c r="H1049" s="35">
        <v>8.7390702745320219</v>
      </c>
      <c r="I1049" s="232">
        <v>12224.34</v>
      </c>
      <c r="J1049" s="35">
        <v>7.3322669509629215</v>
      </c>
      <c r="K1049" s="232">
        <v>15507.73</v>
      </c>
      <c r="L1049" s="35">
        <v>8.5418497171404795</v>
      </c>
      <c r="M1049" s="232">
        <v>41721.85</v>
      </c>
      <c r="N1049" s="35">
        <v>7.3659448833012009</v>
      </c>
      <c r="P1049" s="232">
        <v>-30.14</v>
      </c>
      <c r="Q1049" s="35">
        <v>1.1340315860133288E-2</v>
      </c>
      <c r="R1049" s="232">
        <v>451.09</v>
      </c>
      <c r="S1049" s="35">
        <v>1.4068033235691004</v>
      </c>
      <c r="T1049" s="232">
        <v>26214.12</v>
      </c>
      <c r="U1049" s="35">
        <v>1.1759048338392786</v>
      </c>
      <c r="W1049" s="35">
        <f t="shared" si="103"/>
        <v>597.15579300666434</v>
      </c>
      <c r="X1049" s="35">
        <f t="shared" si="104"/>
        <v>69889.076178455027</v>
      </c>
      <c r="Y1049" s="35">
        <f t="shared" si="105"/>
        <v>32581.12169196393</v>
      </c>
      <c r="Z1049" s="35">
        <f t="shared" si="106"/>
        <v>0</v>
      </c>
      <c r="AA1049" s="35">
        <f t="shared" si="107"/>
        <v>1</v>
      </c>
      <c r="AB1049" s="35">
        <f t="shared" si="108"/>
        <v>0</v>
      </c>
    </row>
    <row r="1050" spans="1:28">
      <c r="A1050" s="35">
        <v>1039</v>
      </c>
      <c r="B1050" s="35">
        <v>4.6437651736508379E-4</v>
      </c>
      <c r="C1050" s="232">
        <v>65.13</v>
      </c>
      <c r="D1050" s="35">
        <v>5.0621087284757209</v>
      </c>
      <c r="E1050" s="232">
        <v>37.81</v>
      </c>
      <c r="F1050" s="35">
        <v>5.0506018436932543</v>
      </c>
      <c r="G1050" s="232">
        <v>11209.13</v>
      </c>
      <c r="H1050" s="35">
        <v>8.9394524174470966</v>
      </c>
      <c r="I1050" s="232">
        <v>13030.07</v>
      </c>
      <c r="J1050" s="35">
        <v>7.9537686383415922</v>
      </c>
      <c r="K1050" s="232">
        <v>11382.62</v>
      </c>
      <c r="L1050" s="35">
        <v>8.3823319441429582</v>
      </c>
      <c r="M1050" s="232">
        <v>37371.01</v>
      </c>
      <c r="N1050" s="35">
        <v>7.2514380280136024</v>
      </c>
      <c r="P1050" s="232">
        <v>-27.32</v>
      </c>
      <c r="Q1050" s="35">
        <v>1.1506884782466642E-2</v>
      </c>
      <c r="R1050" s="232">
        <v>1820.94</v>
      </c>
      <c r="S1050" s="35">
        <v>0.98568377910550442</v>
      </c>
      <c r="T1050" s="232">
        <v>25988.39</v>
      </c>
      <c r="U1050" s="35">
        <v>1.1308939161293559</v>
      </c>
      <c r="W1050" s="35">
        <f t="shared" si="103"/>
        <v>602.6642391233321</v>
      </c>
      <c r="X1050" s="35">
        <f t="shared" si="104"/>
        <v>47463.248955275216</v>
      </c>
      <c r="Y1050" s="35">
        <f t="shared" si="105"/>
        <v>30556.305806467797</v>
      </c>
      <c r="Z1050" s="35">
        <f t="shared" si="106"/>
        <v>0</v>
      </c>
      <c r="AA1050" s="35">
        <f t="shared" si="107"/>
        <v>1</v>
      </c>
      <c r="AB1050" s="35">
        <f t="shared" si="108"/>
        <v>0</v>
      </c>
    </row>
    <row r="1051" spans="1:28">
      <c r="A1051" s="35">
        <v>1040</v>
      </c>
      <c r="B1051" s="35">
        <v>3.6239639470303942E-4</v>
      </c>
      <c r="C1051" s="232">
        <v>52.44</v>
      </c>
      <c r="D1051" s="35">
        <v>5.0575946017674367</v>
      </c>
      <c r="E1051" s="232">
        <v>33.520000000000003</v>
      </c>
      <c r="F1051" s="35">
        <v>5.0491230244262679</v>
      </c>
      <c r="G1051" s="232">
        <v>11295.15</v>
      </c>
      <c r="H1051" s="35">
        <v>8.9697647675024168</v>
      </c>
      <c r="I1051" s="232">
        <v>12607.7</v>
      </c>
      <c r="J1051" s="35">
        <v>7.8109467868662836</v>
      </c>
      <c r="K1051" s="232">
        <v>13417.85</v>
      </c>
      <c r="L1051" s="35">
        <v>8.6531929297501851</v>
      </c>
      <c r="M1051" s="232">
        <v>39515.64</v>
      </c>
      <c r="N1051" s="35">
        <v>7.5253035342501624</v>
      </c>
      <c r="P1051" s="232">
        <v>-18.920000000000002</v>
      </c>
      <c r="Q1051" s="35">
        <v>8.4715773411687678E-3</v>
      </c>
      <c r="R1051" s="232">
        <v>1312.55</v>
      </c>
      <c r="S1051" s="35">
        <v>1.1588179806361332</v>
      </c>
      <c r="T1051" s="232">
        <v>26097.79</v>
      </c>
      <c r="U1051" s="35">
        <v>1.1278893955000227</v>
      </c>
      <c r="W1051" s="35">
        <f t="shared" si="103"/>
        <v>442.49886705843841</v>
      </c>
      <c r="X1051" s="35">
        <f t="shared" si="104"/>
        <v>56628.349031806654</v>
      </c>
      <c r="Y1051" s="35">
        <f t="shared" si="105"/>
        <v>30296.679775001132</v>
      </c>
      <c r="Z1051" s="35">
        <f t="shared" si="106"/>
        <v>0</v>
      </c>
      <c r="AA1051" s="35">
        <f t="shared" si="107"/>
        <v>1</v>
      </c>
      <c r="AB1051" s="35">
        <f t="shared" si="108"/>
        <v>0</v>
      </c>
    </row>
    <row r="1052" spans="1:28">
      <c r="A1052" s="35">
        <v>1041</v>
      </c>
      <c r="B1052" s="35">
        <v>3.738123434361098E-4</v>
      </c>
      <c r="C1052" s="232">
        <v>46.77</v>
      </c>
      <c r="D1052" s="35">
        <v>5.0576057562041656</v>
      </c>
      <c r="E1052" s="232">
        <v>31.06</v>
      </c>
      <c r="F1052" s="35">
        <v>5.0494512742865494</v>
      </c>
      <c r="G1052" s="232">
        <v>10313.120000000001</v>
      </c>
      <c r="H1052" s="35">
        <v>8.5546671590099486</v>
      </c>
      <c r="I1052" s="232">
        <v>12352.91</v>
      </c>
      <c r="J1052" s="35">
        <v>6.7000551073026049</v>
      </c>
      <c r="K1052" s="232">
        <v>10363.4</v>
      </c>
      <c r="L1052" s="35">
        <v>8.9833367339749977</v>
      </c>
      <c r="M1052" s="232">
        <v>36218.18</v>
      </c>
      <c r="N1052" s="35">
        <v>7.8498142300641698</v>
      </c>
      <c r="P1052" s="232">
        <v>-15.71</v>
      </c>
      <c r="Q1052" s="35">
        <v>8.154481917616252E-3</v>
      </c>
      <c r="R1052" s="232">
        <v>2039.79</v>
      </c>
      <c r="S1052" s="35">
        <v>1.8546120517073437</v>
      </c>
      <c r="T1052" s="232">
        <v>25854.78</v>
      </c>
      <c r="U1052" s="35">
        <v>1.1335225039108279</v>
      </c>
      <c r="W1052" s="35">
        <f t="shared" si="103"/>
        <v>423.43409588081255</v>
      </c>
      <c r="X1052" s="35">
        <f t="shared" si="104"/>
        <v>90690.812585367195</v>
      </c>
      <c r="Y1052" s="35">
        <f t="shared" si="105"/>
        <v>30821.345195541391</v>
      </c>
      <c r="Z1052" s="35">
        <f t="shared" si="106"/>
        <v>0</v>
      </c>
      <c r="AA1052" s="35">
        <f t="shared" si="107"/>
        <v>1</v>
      </c>
      <c r="AB1052" s="35">
        <f t="shared" si="108"/>
        <v>0</v>
      </c>
    </row>
    <row r="1053" spans="1:28">
      <c r="A1053" s="35">
        <v>1042</v>
      </c>
      <c r="B1053" s="35">
        <v>3.8646679841112901E-4</v>
      </c>
      <c r="C1053" s="232">
        <v>63.01</v>
      </c>
      <c r="D1053" s="35">
        <v>5.0592384536818322</v>
      </c>
      <c r="E1053" s="232">
        <v>41</v>
      </c>
      <c r="F1053" s="35">
        <v>5.050553669101344</v>
      </c>
      <c r="G1053" s="232">
        <v>12692.96</v>
      </c>
      <c r="H1053" s="35">
        <v>9.1582917630516594</v>
      </c>
      <c r="I1053" s="232">
        <v>12900</v>
      </c>
      <c r="J1053" s="35">
        <v>7.1602028013484613</v>
      </c>
      <c r="K1053" s="232">
        <v>15405.06</v>
      </c>
      <c r="L1053" s="35">
        <v>8.5716756522036182</v>
      </c>
      <c r="M1053" s="232">
        <v>41592.300000000003</v>
      </c>
      <c r="N1053" s="35">
        <v>7.4949695305037771</v>
      </c>
      <c r="P1053" s="232">
        <v>-22.01</v>
      </c>
      <c r="Q1053" s="35">
        <v>8.6847845804882695E-3</v>
      </c>
      <c r="R1053" s="232">
        <v>207.04</v>
      </c>
      <c r="S1053" s="35">
        <v>1.9980889617031981</v>
      </c>
      <c r="T1053" s="232">
        <v>26187.24</v>
      </c>
      <c r="U1053" s="35">
        <v>1.076706121699841</v>
      </c>
      <c r="W1053" s="35">
        <f t="shared" si="103"/>
        <v>456.24922902441347</v>
      </c>
      <c r="X1053" s="35">
        <f t="shared" si="104"/>
        <v>99697.408085159914</v>
      </c>
      <c r="Y1053" s="35">
        <f t="shared" si="105"/>
        <v>27648.06608499205</v>
      </c>
      <c r="Z1053" s="35">
        <f t="shared" si="106"/>
        <v>0</v>
      </c>
      <c r="AA1053" s="35">
        <f t="shared" si="107"/>
        <v>1</v>
      </c>
      <c r="AB1053" s="35">
        <f t="shared" si="108"/>
        <v>0</v>
      </c>
    </row>
    <row r="1054" spans="1:28">
      <c r="A1054" s="35">
        <v>1043</v>
      </c>
      <c r="B1054" s="35">
        <v>4.4376116714203468E-4</v>
      </c>
      <c r="C1054" s="232">
        <v>61.01</v>
      </c>
      <c r="D1054" s="35">
        <v>5.060034725730497</v>
      </c>
      <c r="E1054" s="232">
        <v>38.03</v>
      </c>
      <c r="F1054" s="35">
        <v>5.0503778133678248</v>
      </c>
      <c r="G1054" s="232">
        <v>10230.31</v>
      </c>
      <c r="H1054" s="35">
        <v>8.4085632781611324</v>
      </c>
      <c r="I1054" s="232">
        <v>10773.49</v>
      </c>
      <c r="J1054" s="35">
        <v>7.0528800513514485</v>
      </c>
      <c r="K1054" s="232">
        <v>14304.55</v>
      </c>
      <c r="L1054" s="35">
        <v>8.6297777218215881</v>
      </c>
      <c r="M1054" s="232">
        <v>40409.29</v>
      </c>
      <c r="N1054" s="35">
        <v>7.4746523892914025</v>
      </c>
      <c r="P1054" s="232">
        <v>-22.98</v>
      </c>
      <c r="Q1054" s="35">
        <v>9.6569123626721876E-3</v>
      </c>
      <c r="R1054" s="232">
        <v>543.17999999999995</v>
      </c>
      <c r="S1054" s="35">
        <v>1.3556832268096839</v>
      </c>
      <c r="T1054" s="232">
        <v>26104.74</v>
      </c>
      <c r="U1054" s="35">
        <v>1.1551253325301856</v>
      </c>
      <c r="W1054" s="35">
        <f t="shared" si="103"/>
        <v>505.8256181336094</v>
      </c>
      <c r="X1054" s="35">
        <f t="shared" si="104"/>
        <v>67240.981340484199</v>
      </c>
      <c r="Y1054" s="35">
        <f t="shared" si="105"/>
        <v>31651.526626509276</v>
      </c>
      <c r="Z1054" s="35">
        <f t="shared" si="106"/>
        <v>0</v>
      </c>
      <c r="AA1054" s="35">
        <f t="shared" si="107"/>
        <v>1</v>
      </c>
      <c r="AB1054" s="35">
        <f t="shared" si="108"/>
        <v>0</v>
      </c>
    </row>
    <row r="1055" spans="1:28">
      <c r="A1055" s="35">
        <v>1044</v>
      </c>
      <c r="B1055" s="35">
        <v>5.091155854688445E-4</v>
      </c>
      <c r="C1055" s="232">
        <v>75.53</v>
      </c>
      <c r="D1055" s="35">
        <v>5.0630395259575147</v>
      </c>
      <c r="E1055" s="232">
        <v>42.04</v>
      </c>
      <c r="F1055" s="35">
        <v>5.050683599450088</v>
      </c>
      <c r="G1055" s="232">
        <v>11228.55</v>
      </c>
      <c r="H1055" s="35">
        <v>8.5802096111015818</v>
      </c>
      <c r="I1055" s="232">
        <v>12959.17</v>
      </c>
      <c r="J1055" s="35">
        <v>8.2582635324383133</v>
      </c>
      <c r="K1055" s="232">
        <v>16367.07</v>
      </c>
      <c r="L1055" s="35">
        <v>8.3667062953833842</v>
      </c>
      <c r="M1055" s="232">
        <v>42538.91</v>
      </c>
      <c r="N1055" s="35">
        <v>7.230449320388832</v>
      </c>
      <c r="P1055" s="232">
        <v>-33.49</v>
      </c>
      <c r="Q1055" s="35">
        <v>1.2355926507426673E-2</v>
      </c>
      <c r="R1055" s="232">
        <v>1730.62</v>
      </c>
      <c r="S1055" s="35">
        <v>0.32194607866326841</v>
      </c>
      <c r="T1055" s="232">
        <v>26171.84</v>
      </c>
      <c r="U1055" s="35">
        <v>1.1362569749945521</v>
      </c>
      <c r="W1055" s="35">
        <f t="shared" si="103"/>
        <v>651.28632537133365</v>
      </c>
      <c r="X1055" s="35">
        <f t="shared" si="104"/>
        <v>14366.683933163422</v>
      </c>
      <c r="Y1055" s="35">
        <f t="shared" si="105"/>
        <v>30641.008749727607</v>
      </c>
      <c r="Z1055" s="35">
        <f t="shared" si="106"/>
        <v>0</v>
      </c>
      <c r="AA1055" s="35">
        <f t="shared" si="107"/>
        <v>0</v>
      </c>
      <c r="AB1055" s="35">
        <f t="shared" si="108"/>
        <v>1</v>
      </c>
    </row>
    <row r="1056" spans="1:28">
      <c r="A1056" s="35">
        <v>1045</v>
      </c>
      <c r="B1056" s="35">
        <v>5.1784678298949505E-4</v>
      </c>
      <c r="C1056" s="232">
        <v>110.97</v>
      </c>
      <c r="D1056" s="35">
        <v>5.0636766713451351</v>
      </c>
      <c r="E1056" s="232">
        <v>77.33</v>
      </c>
      <c r="F1056" s="35">
        <v>5.0550176438631924</v>
      </c>
      <c r="G1056" s="232">
        <v>15362.39</v>
      </c>
      <c r="H1056" s="35">
        <v>8.1418822609919488</v>
      </c>
      <c r="I1056" s="232">
        <v>13426.4</v>
      </c>
      <c r="J1056" s="35">
        <v>6.3711113436208491</v>
      </c>
      <c r="K1056" s="232">
        <v>25463.15</v>
      </c>
      <c r="L1056" s="35">
        <v>8.9312692979676616</v>
      </c>
      <c r="M1056" s="232">
        <v>52194.25</v>
      </c>
      <c r="N1056" s="35">
        <v>7.8920274167824607</v>
      </c>
      <c r="P1056" s="232">
        <v>-33.64</v>
      </c>
      <c r="Q1056" s="35">
        <v>8.6590274819426938E-3</v>
      </c>
      <c r="R1056" s="232">
        <v>-1935.99</v>
      </c>
      <c r="S1056" s="35">
        <v>1.7707709173710997</v>
      </c>
      <c r="T1056" s="232">
        <v>26731.1</v>
      </c>
      <c r="U1056" s="35">
        <v>1.0392418811852009</v>
      </c>
      <c r="W1056" s="35">
        <f t="shared" si="103"/>
        <v>466.59137409713469</v>
      </c>
      <c r="X1056" s="35">
        <f t="shared" si="104"/>
        <v>90474.535868554987</v>
      </c>
      <c r="Y1056" s="35">
        <f t="shared" si="105"/>
        <v>25230.994059260047</v>
      </c>
      <c r="Z1056" s="35">
        <f t="shared" si="106"/>
        <v>0</v>
      </c>
      <c r="AA1056" s="35">
        <f t="shared" si="107"/>
        <v>1</v>
      </c>
      <c r="AB1056" s="35">
        <f t="shared" si="108"/>
        <v>0</v>
      </c>
    </row>
    <row r="1057" spans="1:28">
      <c r="A1057" s="35">
        <v>1046</v>
      </c>
      <c r="B1057" s="35">
        <v>5.5804462509867481E-4</v>
      </c>
      <c r="C1057" s="232">
        <v>77.2</v>
      </c>
      <c r="D1057" s="35">
        <v>5.0670732749344412</v>
      </c>
      <c r="E1057" s="232">
        <v>48.65</v>
      </c>
      <c r="F1057" s="35">
        <v>5.0549099819104013</v>
      </c>
      <c r="G1057" s="232">
        <v>10922.92</v>
      </c>
      <c r="H1057" s="35">
        <v>8.506129830008847</v>
      </c>
      <c r="I1057" s="232">
        <v>12657.31</v>
      </c>
      <c r="J1057" s="35">
        <v>7.6539282977833114</v>
      </c>
      <c r="K1057" s="232">
        <v>13136.56</v>
      </c>
      <c r="L1057" s="35">
        <v>8.9306517022473617</v>
      </c>
      <c r="M1057" s="232">
        <v>39290.06</v>
      </c>
      <c r="N1057" s="35">
        <v>7.751905392249598</v>
      </c>
      <c r="P1057" s="232">
        <v>-28.54</v>
      </c>
      <c r="Q1057" s="35">
        <v>1.2163293024039845E-2</v>
      </c>
      <c r="R1057" s="232">
        <v>1734.4</v>
      </c>
      <c r="S1057" s="35">
        <v>0.85220153222553563</v>
      </c>
      <c r="T1057" s="232">
        <v>26153.5</v>
      </c>
      <c r="U1057" s="35">
        <v>1.1787463099977638</v>
      </c>
      <c r="W1057" s="35">
        <f t="shared" si="103"/>
        <v>636.70465120199219</v>
      </c>
      <c r="X1057" s="35">
        <f t="shared" si="104"/>
        <v>40875.67661127678</v>
      </c>
      <c r="Y1057" s="35">
        <f t="shared" si="105"/>
        <v>32783.815499888187</v>
      </c>
      <c r="Z1057" s="35">
        <f t="shared" si="106"/>
        <v>0</v>
      </c>
      <c r="AA1057" s="35">
        <f t="shared" si="107"/>
        <v>1</v>
      </c>
      <c r="AB1057" s="35">
        <f t="shared" si="108"/>
        <v>0</v>
      </c>
    </row>
    <row r="1058" spans="1:28">
      <c r="A1058" s="35">
        <v>1047</v>
      </c>
      <c r="B1058" s="35">
        <v>4.2218772874455621E-4</v>
      </c>
      <c r="C1058" s="232">
        <v>60.58</v>
      </c>
      <c r="D1058" s="35">
        <v>5.0581832962423245</v>
      </c>
      <c r="E1058" s="232">
        <v>37.520000000000003</v>
      </c>
      <c r="F1058" s="35">
        <v>5.0492465858917424</v>
      </c>
      <c r="G1058" s="232">
        <v>11047.6</v>
      </c>
      <c r="H1058" s="35">
        <v>8.3068967037981221</v>
      </c>
      <c r="I1058" s="232">
        <v>12913.51</v>
      </c>
      <c r="J1058" s="35">
        <v>7.9207849819077776</v>
      </c>
      <c r="K1058" s="232">
        <v>13831.76</v>
      </c>
      <c r="L1058" s="35">
        <v>8.3800127560326416</v>
      </c>
      <c r="M1058" s="232">
        <v>39930.080000000002</v>
      </c>
      <c r="N1058" s="35">
        <v>7.3216192904329169</v>
      </c>
      <c r="P1058" s="232">
        <v>-23.06</v>
      </c>
      <c r="Q1058" s="35">
        <v>8.9367103505821888E-3</v>
      </c>
      <c r="R1058" s="232">
        <v>1865.91</v>
      </c>
      <c r="S1058" s="35">
        <v>0.38611172189034448</v>
      </c>
      <c r="T1058" s="232">
        <v>26098.32</v>
      </c>
      <c r="U1058" s="35">
        <v>1.0583934655997247</v>
      </c>
      <c r="W1058" s="35">
        <f t="shared" si="103"/>
        <v>469.89551752910944</v>
      </c>
      <c r="X1058" s="35">
        <f t="shared" si="104"/>
        <v>17439.676094517225</v>
      </c>
      <c r="Y1058" s="35">
        <f t="shared" si="105"/>
        <v>26821.353279986237</v>
      </c>
      <c r="Z1058" s="35">
        <f t="shared" si="106"/>
        <v>0</v>
      </c>
      <c r="AA1058" s="35">
        <f t="shared" si="107"/>
        <v>0</v>
      </c>
      <c r="AB1058" s="35">
        <f t="shared" si="108"/>
        <v>1</v>
      </c>
    </row>
    <row r="1059" spans="1:28">
      <c r="A1059" s="35">
        <v>1048</v>
      </c>
      <c r="B1059" s="35">
        <v>5.8681647975966644E-4</v>
      </c>
      <c r="C1059" s="232">
        <v>78.56</v>
      </c>
      <c r="D1059" s="35">
        <v>5.0670534769349782</v>
      </c>
      <c r="E1059" s="232">
        <v>48.02</v>
      </c>
      <c r="F1059" s="35">
        <v>5.0543693112950319</v>
      </c>
      <c r="G1059" s="232">
        <v>10208.85</v>
      </c>
      <c r="H1059" s="35">
        <v>8.3306865725956687</v>
      </c>
      <c r="I1059" s="232">
        <v>11044.17</v>
      </c>
      <c r="J1059" s="35">
        <v>6.9311746474304679</v>
      </c>
      <c r="K1059" s="232">
        <v>13645.21</v>
      </c>
      <c r="L1059" s="35">
        <v>8.6717998325526491</v>
      </c>
      <c r="M1059" s="232">
        <v>39562.25</v>
      </c>
      <c r="N1059" s="35">
        <v>7.6112233209504776</v>
      </c>
      <c r="P1059" s="232">
        <v>-30.54</v>
      </c>
      <c r="Q1059" s="35">
        <v>1.2684165639946343E-2</v>
      </c>
      <c r="R1059" s="232">
        <v>835.31</v>
      </c>
      <c r="S1059" s="35">
        <v>1.3995119251652008</v>
      </c>
      <c r="T1059" s="232">
        <v>25917.040000000001</v>
      </c>
      <c r="U1059" s="35">
        <v>1.0605765116021715</v>
      </c>
      <c r="W1059" s="35">
        <f t="shared" si="103"/>
        <v>664.74828199731712</v>
      </c>
      <c r="X1059" s="35">
        <f t="shared" si="104"/>
        <v>69140.28625826005</v>
      </c>
      <c r="Y1059" s="35">
        <f t="shared" si="105"/>
        <v>27111.785580108575</v>
      </c>
      <c r="Z1059" s="35">
        <f t="shared" si="106"/>
        <v>0</v>
      </c>
      <c r="AA1059" s="35">
        <f t="shared" si="107"/>
        <v>1</v>
      </c>
      <c r="AB1059" s="35">
        <f t="shared" si="108"/>
        <v>0</v>
      </c>
    </row>
    <row r="1060" spans="1:28">
      <c r="A1060" s="35">
        <v>1049</v>
      </c>
      <c r="B1060" s="35">
        <v>3.6746408029056951E-4</v>
      </c>
      <c r="C1060" s="232">
        <v>46.62</v>
      </c>
      <c r="D1060" s="35">
        <v>5.0579701579440535</v>
      </c>
      <c r="E1060" s="232">
        <v>30.52</v>
      </c>
      <c r="F1060" s="35">
        <v>5.0494712622101758</v>
      </c>
      <c r="G1060" s="232">
        <v>10132.83</v>
      </c>
      <c r="H1060" s="35">
        <v>8.9970264954128147</v>
      </c>
      <c r="I1060" s="232">
        <v>11669.22</v>
      </c>
      <c r="J1060" s="35">
        <v>7.7732273693331466</v>
      </c>
      <c r="K1060" s="232">
        <v>11738.02</v>
      </c>
      <c r="L1060" s="35">
        <v>8.7793541739147258</v>
      </c>
      <c r="M1060" s="232">
        <v>37529.32</v>
      </c>
      <c r="N1060" s="35">
        <v>7.7090675062301859</v>
      </c>
      <c r="P1060" s="232">
        <v>-16.100000000000001</v>
      </c>
      <c r="Q1060" s="35">
        <v>8.4988957338776316E-3</v>
      </c>
      <c r="R1060" s="232">
        <v>1536.4</v>
      </c>
      <c r="S1060" s="35">
        <v>1.2237991260796681</v>
      </c>
      <c r="T1060" s="232">
        <v>25791.3</v>
      </c>
      <c r="U1060" s="35">
        <v>1.0702866676845399</v>
      </c>
      <c r="W1060" s="35">
        <f t="shared" si="103"/>
        <v>441.04478669388163</v>
      </c>
      <c r="X1060" s="35">
        <f t="shared" si="104"/>
        <v>59653.556303983401</v>
      </c>
      <c r="Y1060" s="35">
        <f t="shared" si="105"/>
        <v>27723.033384227001</v>
      </c>
      <c r="Z1060" s="35">
        <f t="shared" si="106"/>
        <v>0</v>
      </c>
      <c r="AA1060" s="35">
        <f t="shared" si="107"/>
        <v>1</v>
      </c>
      <c r="AB1060" s="35">
        <f t="shared" si="108"/>
        <v>0</v>
      </c>
    </row>
    <row r="1061" spans="1:28">
      <c r="A1061" s="35">
        <v>1050</v>
      </c>
      <c r="B1061" s="35">
        <v>4.4468059971857735E-4</v>
      </c>
      <c r="C1061" s="232">
        <v>58.76</v>
      </c>
      <c r="D1061" s="35">
        <v>5.0607613512978498</v>
      </c>
      <c r="E1061" s="232">
        <v>33.119999999999997</v>
      </c>
      <c r="F1061" s="35">
        <v>5.0493693126092314</v>
      </c>
      <c r="G1061" s="232">
        <v>10676.47</v>
      </c>
      <c r="H1061" s="35">
        <v>8.5957713131172202</v>
      </c>
      <c r="I1061" s="232">
        <v>12714.65</v>
      </c>
      <c r="J1061" s="35">
        <v>8.2621995458463839</v>
      </c>
      <c r="K1061" s="232">
        <v>12665.39</v>
      </c>
      <c r="L1061" s="35">
        <v>8.6581401514855187</v>
      </c>
      <c r="M1061" s="232">
        <v>38504.660000000003</v>
      </c>
      <c r="N1061" s="35">
        <v>7.5078916392748791</v>
      </c>
      <c r="P1061" s="232">
        <v>-25.64</v>
      </c>
      <c r="Q1061" s="35">
        <v>1.1392038688618378E-2</v>
      </c>
      <c r="R1061" s="232">
        <v>2038.17</v>
      </c>
      <c r="S1061" s="35">
        <v>0.33357176727083626</v>
      </c>
      <c r="T1061" s="232">
        <v>25839.27</v>
      </c>
      <c r="U1061" s="35">
        <v>1.1502485122106396</v>
      </c>
      <c r="W1061" s="35">
        <f t="shared" si="103"/>
        <v>595.24193443091883</v>
      </c>
      <c r="X1061" s="35">
        <f t="shared" si="104"/>
        <v>14640.418363541814</v>
      </c>
      <c r="Y1061" s="35">
        <f t="shared" si="105"/>
        <v>31673.15561053198</v>
      </c>
      <c r="Z1061" s="35">
        <f t="shared" si="106"/>
        <v>0</v>
      </c>
      <c r="AA1061" s="35">
        <f t="shared" si="107"/>
        <v>0</v>
      </c>
      <c r="AB1061" s="35">
        <f t="shared" si="108"/>
        <v>1</v>
      </c>
    </row>
    <row r="1062" spans="1:28">
      <c r="A1062" s="35">
        <v>1051</v>
      </c>
      <c r="B1062" s="35">
        <v>5.0399503830722558E-4</v>
      </c>
      <c r="C1062" s="232">
        <v>70.09</v>
      </c>
      <c r="D1062" s="35">
        <v>5.0596421448806277</v>
      </c>
      <c r="E1062" s="232">
        <v>43.48</v>
      </c>
      <c r="F1062" s="35">
        <v>5.0502600628499401</v>
      </c>
      <c r="G1062" s="232">
        <v>10521.64</v>
      </c>
      <c r="H1062" s="35">
        <v>7.8520523577181898</v>
      </c>
      <c r="I1062" s="232">
        <v>11649.08</v>
      </c>
      <c r="J1062" s="35">
        <v>6.6546657917971146</v>
      </c>
      <c r="K1062" s="232">
        <v>12475.55</v>
      </c>
      <c r="L1062" s="35">
        <v>8.0375250197837769</v>
      </c>
      <c r="M1062" s="232">
        <v>38449.35</v>
      </c>
      <c r="N1062" s="35">
        <v>7.0608792176484227</v>
      </c>
      <c r="P1062" s="232">
        <v>-26.61</v>
      </c>
      <c r="Q1062" s="35">
        <v>9.3820820306875774E-3</v>
      </c>
      <c r="R1062" s="232">
        <v>1127.44</v>
      </c>
      <c r="S1062" s="35">
        <v>1.1973865659210752</v>
      </c>
      <c r="T1062" s="232">
        <v>25973.8</v>
      </c>
      <c r="U1062" s="35">
        <v>0.97664580213535412</v>
      </c>
      <c r="W1062" s="35">
        <f t="shared" si="103"/>
        <v>495.71410153437887</v>
      </c>
      <c r="X1062" s="35">
        <f t="shared" si="104"/>
        <v>58741.888296053759</v>
      </c>
      <c r="Y1062" s="35">
        <f t="shared" si="105"/>
        <v>22858.490106767709</v>
      </c>
      <c r="Z1062" s="35">
        <f t="shared" si="106"/>
        <v>0</v>
      </c>
      <c r="AA1062" s="35">
        <f t="shared" si="107"/>
        <v>1</v>
      </c>
      <c r="AB1062" s="35">
        <f t="shared" si="108"/>
        <v>0</v>
      </c>
    </row>
    <row r="1063" spans="1:28">
      <c r="A1063" s="35">
        <v>1052</v>
      </c>
      <c r="B1063" s="35">
        <v>4.3045363479277029E-4</v>
      </c>
      <c r="C1063" s="232">
        <v>44.19</v>
      </c>
      <c r="D1063" s="35">
        <v>5.0594929527894479</v>
      </c>
      <c r="E1063" s="232">
        <v>26.77</v>
      </c>
      <c r="F1063" s="35">
        <v>5.049198590811848</v>
      </c>
      <c r="G1063" s="232">
        <v>7795.35</v>
      </c>
      <c r="H1063" s="35">
        <v>8.4065342661618896</v>
      </c>
      <c r="I1063" s="232">
        <v>9490.83</v>
      </c>
      <c r="J1063" s="35">
        <v>7.3849426935824463</v>
      </c>
      <c r="K1063" s="232">
        <v>8346.8799999999992</v>
      </c>
      <c r="L1063" s="35">
        <v>8.8375334848426075</v>
      </c>
      <c r="M1063" s="232">
        <v>34066.160000000003</v>
      </c>
      <c r="N1063" s="35">
        <v>7.8720572232719084</v>
      </c>
      <c r="P1063" s="232">
        <v>-17.43</v>
      </c>
      <c r="Q1063" s="35">
        <v>1.029436197759992E-2</v>
      </c>
      <c r="R1063" s="232">
        <v>1695.48</v>
      </c>
      <c r="S1063" s="35">
        <v>1.0215915725794433</v>
      </c>
      <c r="T1063" s="232">
        <v>25719.279999999999</v>
      </c>
      <c r="U1063" s="35">
        <v>0.9654762615706991</v>
      </c>
      <c r="W1063" s="35">
        <f t="shared" si="103"/>
        <v>532.14809887999593</v>
      </c>
      <c r="X1063" s="35">
        <f t="shared" si="104"/>
        <v>49384.098628972162</v>
      </c>
      <c r="Y1063" s="35">
        <f t="shared" si="105"/>
        <v>22554.533078534958</v>
      </c>
      <c r="Z1063" s="35">
        <f t="shared" si="106"/>
        <v>0</v>
      </c>
      <c r="AA1063" s="35">
        <f t="shared" si="107"/>
        <v>1</v>
      </c>
      <c r="AB1063" s="35">
        <f t="shared" si="108"/>
        <v>0</v>
      </c>
    </row>
    <row r="1064" spans="1:28">
      <c r="A1064" s="35">
        <v>1053</v>
      </c>
      <c r="B1064" s="35">
        <v>3.2192110155518198E-4</v>
      </c>
      <c r="C1064" s="232">
        <v>43.96</v>
      </c>
      <c r="D1064" s="35">
        <v>5.0544984488205813</v>
      </c>
      <c r="E1064" s="232">
        <v>30.03</v>
      </c>
      <c r="F1064" s="35">
        <v>5.0478655740182816</v>
      </c>
      <c r="G1064" s="232">
        <v>11016.1</v>
      </c>
      <c r="H1064" s="35">
        <v>8.5586758292311824</v>
      </c>
      <c r="I1064" s="232">
        <v>12857.37</v>
      </c>
      <c r="J1064" s="35">
        <v>7.6747590989094521</v>
      </c>
      <c r="K1064" s="232">
        <v>12714.58</v>
      </c>
      <c r="L1064" s="35">
        <v>8.7454957642682025</v>
      </c>
      <c r="M1064" s="232">
        <v>38699.68</v>
      </c>
      <c r="N1064" s="35">
        <v>7.7525528514535633</v>
      </c>
      <c r="P1064" s="232">
        <v>-13.93</v>
      </c>
      <c r="Q1064" s="35">
        <v>6.632874802299682E-3</v>
      </c>
      <c r="R1064" s="232">
        <v>1841.27</v>
      </c>
      <c r="S1064" s="35">
        <v>0.88391673032173035</v>
      </c>
      <c r="T1064" s="232">
        <v>25985.1</v>
      </c>
      <c r="U1064" s="35">
        <v>0.9929429128146392</v>
      </c>
      <c r="W1064" s="35">
        <f t="shared" si="103"/>
        <v>345.5737401149841</v>
      </c>
      <c r="X1064" s="35">
        <f t="shared" si="104"/>
        <v>42354.566516086517</v>
      </c>
      <c r="Y1064" s="35">
        <f t="shared" si="105"/>
        <v>23662.045640731958</v>
      </c>
      <c r="Z1064" s="35">
        <f t="shared" si="106"/>
        <v>0</v>
      </c>
      <c r="AA1064" s="35">
        <f t="shared" si="107"/>
        <v>1</v>
      </c>
      <c r="AB1064" s="35">
        <f t="shared" si="108"/>
        <v>0</v>
      </c>
    </row>
    <row r="1065" spans="1:28">
      <c r="A1065" s="35">
        <v>1054</v>
      </c>
      <c r="B1065" s="35">
        <v>4.8165629440166668E-4</v>
      </c>
      <c r="C1065" s="232">
        <v>69.7</v>
      </c>
      <c r="D1065" s="35">
        <v>5.0598042650964841</v>
      </c>
      <c r="E1065" s="232">
        <v>41.21</v>
      </c>
      <c r="F1065" s="35">
        <v>5.0497079351422265</v>
      </c>
      <c r="G1065" s="232">
        <v>10204.780000000001</v>
      </c>
      <c r="H1065" s="35">
        <v>7.8408534363730986</v>
      </c>
      <c r="I1065" s="232">
        <v>10442.450000000001</v>
      </c>
      <c r="J1065" s="35">
        <v>6.6847673341143663</v>
      </c>
      <c r="K1065" s="232">
        <v>16467.48</v>
      </c>
      <c r="L1065" s="35">
        <v>8.4092985628261534</v>
      </c>
      <c r="M1065" s="232">
        <v>42648.67</v>
      </c>
      <c r="N1065" s="35">
        <v>7.2761935612291548</v>
      </c>
      <c r="P1065" s="232">
        <v>-28.49</v>
      </c>
      <c r="Q1065" s="35">
        <v>1.0096329954257577E-2</v>
      </c>
      <c r="R1065" s="232">
        <v>237.67</v>
      </c>
      <c r="S1065" s="35">
        <v>1.1560861022587323</v>
      </c>
      <c r="T1065" s="232">
        <v>26181.19</v>
      </c>
      <c r="U1065" s="35">
        <v>1.1331050015969986</v>
      </c>
      <c r="W1065" s="35">
        <f t="shared" si="103"/>
        <v>533.30649771287881</v>
      </c>
      <c r="X1065" s="35">
        <f t="shared" si="104"/>
        <v>57566.635112936616</v>
      </c>
      <c r="Y1065" s="35">
        <f t="shared" si="105"/>
        <v>30474.060079849933</v>
      </c>
      <c r="Z1065" s="35">
        <f t="shared" si="106"/>
        <v>0</v>
      </c>
      <c r="AA1065" s="35">
        <f t="shared" si="107"/>
        <v>1</v>
      </c>
      <c r="AB1065" s="35">
        <f t="shared" si="108"/>
        <v>0</v>
      </c>
    </row>
    <row r="1066" spans="1:28">
      <c r="A1066" s="35">
        <v>1055</v>
      </c>
      <c r="B1066" s="35">
        <v>6.5004048617078869E-4</v>
      </c>
      <c r="C1066" s="232">
        <v>106.49</v>
      </c>
      <c r="D1066" s="35">
        <v>5.0708217511907572</v>
      </c>
      <c r="E1066" s="232">
        <v>67.37</v>
      </c>
      <c r="F1066" s="35">
        <v>5.0576025803393643</v>
      </c>
      <c r="G1066" s="232">
        <v>12803.71</v>
      </c>
      <c r="H1066" s="35">
        <v>8.8066241898009086</v>
      </c>
      <c r="I1066" s="232">
        <v>13470.53</v>
      </c>
      <c r="J1066" s="35">
        <v>7.498084169675626</v>
      </c>
      <c r="K1066" s="232">
        <v>16109.79</v>
      </c>
      <c r="L1066" s="35">
        <v>8.1592348229847342</v>
      </c>
      <c r="M1066" s="232">
        <v>42338.7</v>
      </c>
      <c r="N1066" s="35">
        <v>7.1257298432567469</v>
      </c>
      <c r="P1066" s="232">
        <v>-39.119999999999997</v>
      </c>
      <c r="Q1066" s="35">
        <v>1.3219170851392903E-2</v>
      </c>
      <c r="R1066" s="232">
        <v>666.82</v>
      </c>
      <c r="S1066" s="35">
        <v>1.3085400201252826</v>
      </c>
      <c r="T1066" s="232">
        <v>26228.91</v>
      </c>
      <c r="U1066" s="35">
        <v>1.0335049797279874</v>
      </c>
      <c r="W1066" s="35">
        <f t="shared" si="103"/>
        <v>700.07854256964515</v>
      </c>
      <c r="X1066" s="35">
        <f t="shared" si="104"/>
        <v>64760.181006264131</v>
      </c>
      <c r="Y1066" s="35">
        <f t="shared" si="105"/>
        <v>25446.338986399369</v>
      </c>
      <c r="Z1066" s="35">
        <f t="shared" si="106"/>
        <v>0</v>
      </c>
      <c r="AA1066" s="35">
        <f t="shared" si="107"/>
        <v>1</v>
      </c>
      <c r="AB1066" s="35">
        <f t="shared" si="108"/>
        <v>0</v>
      </c>
    </row>
    <row r="1067" spans="1:28">
      <c r="A1067" s="35">
        <v>1056</v>
      </c>
      <c r="B1067" s="35">
        <v>3.468956578803162E-4</v>
      </c>
      <c r="C1067" s="232">
        <v>49.27</v>
      </c>
      <c r="D1067" s="35">
        <v>5.0570642628931273</v>
      </c>
      <c r="E1067" s="232">
        <v>31.46</v>
      </c>
      <c r="F1067" s="35">
        <v>5.0487213759487046</v>
      </c>
      <c r="G1067" s="232">
        <v>11508.79</v>
      </c>
      <c r="H1067" s="35">
        <v>9.2451831727706093</v>
      </c>
      <c r="I1067" s="232">
        <v>13001.2</v>
      </c>
      <c r="J1067" s="35">
        <v>8.0325866967430581</v>
      </c>
      <c r="K1067" s="232">
        <v>13377.29</v>
      </c>
      <c r="L1067" s="35">
        <v>8.5510097644167491</v>
      </c>
      <c r="M1067" s="232">
        <v>39436.28</v>
      </c>
      <c r="N1067" s="35">
        <v>7.4881646335150576</v>
      </c>
      <c r="P1067" s="232">
        <v>-17.809999999999999</v>
      </c>
      <c r="Q1067" s="35">
        <v>8.342886944422645E-3</v>
      </c>
      <c r="R1067" s="232">
        <v>1492.41</v>
      </c>
      <c r="S1067" s="35">
        <v>1.2125964760275512</v>
      </c>
      <c r="T1067" s="232">
        <v>26058.99</v>
      </c>
      <c r="U1067" s="35">
        <v>1.0628451309016915</v>
      </c>
      <c r="W1067" s="35">
        <f t="shared" si="103"/>
        <v>434.95434722113225</v>
      </c>
      <c r="X1067" s="35">
        <f t="shared" si="104"/>
        <v>59137.413801377552</v>
      </c>
      <c r="Y1067" s="35">
        <f t="shared" si="105"/>
        <v>27083.266545084578</v>
      </c>
      <c r="Z1067" s="35">
        <f t="shared" si="106"/>
        <v>0</v>
      </c>
      <c r="AA1067" s="35">
        <f t="shared" si="107"/>
        <v>1</v>
      </c>
      <c r="AB1067" s="35">
        <f t="shared" si="108"/>
        <v>0</v>
      </c>
    </row>
    <row r="1068" spans="1:28">
      <c r="A1068" s="35">
        <v>1057</v>
      </c>
      <c r="B1068" s="35">
        <v>4.0677633053700664E-4</v>
      </c>
      <c r="C1068" s="232">
        <v>54.14</v>
      </c>
      <c r="D1068" s="35">
        <v>5.0597038655629234</v>
      </c>
      <c r="E1068" s="232">
        <v>30.82</v>
      </c>
      <c r="F1068" s="35">
        <v>5.0488448105978669</v>
      </c>
      <c r="G1068" s="232">
        <v>10270.48</v>
      </c>
      <c r="H1068" s="35">
        <v>8.7283180506887152</v>
      </c>
      <c r="I1068" s="232">
        <v>11945.4</v>
      </c>
      <c r="J1068" s="35">
        <v>8.083104480780138</v>
      </c>
      <c r="K1068" s="232">
        <v>13112.73</v>
      </c>
      <c r="L1068" s="35">
        <v>9.2407415606724825</v>
      </c>
      <c r="M1068" s="232">
        <v>39071.589999999997</v>
      </c>
      <c r="N1068" s="35">
        <v>8.2220020385157611</v>
      </c>
      <c r="P1068" s="232">
        <v>-23.33</v>
      </c>
      <c r="Q1068" s="35">
        <v>1.0859054965056458E-2</v>
      </c>
      <c r="R1068" s="232">
        <v>1674.92</v>
      </c>
      <c r="S1068" s="35">
        <v>0.64521356990857726</v>
      </c>
      <c r="T1068" s="232">
        <v>25958.85</v>
      </c>
      <c r="U1068" s="35">
        <v>1.0187395221567215</v>
      </c>
      <c r="W1068" s="35">
        <f t="shared" si="103"/>
        <v>566.2827482528229</v>
      </c>
      <c r="X1068" s="35">
        <f t="shared" si="104"/>
        <v>30585.758495428861</v>
      </c>
      <c r="Y1068" s="35">
        <f t="shared" si="105"/>
        <v>24978.126107836077</v>
      </c>
      <c r="Z1068" s="35">
        <f t="shared" si="106"/>
        <v>0</v>
      </c>
      <c r="AA1068" s="35">
        <f t="shared" si="107"/>
        <v>1</v>
      </c>
      <c r="AB1068" s="35">
        <f t="shared" si="108"/>
        <v>0</v>
      </c>
    </row>
    <row r="1069" spans="1:28">
      <c r="A1069" s="35">
        <v>1058</v>
      </c>
      <c r="B1069" s="35">
        <v>3.2110619733151944E-4</v>
      </c>
      <c r="C1069" s="232">
        <v>48.38</v>
      </c>
      <c r="D1069" s="35">
        <v>5.053214567384166</v>
      </c>
      <c r="E1069" s="232">
        <v>31.77</v>
      </c>
      <c r="F1069" s="35">
        <v>5.0468068730875384</v>
      </c>
      <c r="G1069" s="232">
        <v>10909.12</v>
      </c>
      <c r="H1069" s="35">
        <v>8.2683160409194851</v>
      </c>
      <c r="I1069" s="232">
        <v>10468.86</v>
      </c>
      <c r="J1069" s="35">
        <v>6.955582801979399</v>
      </c>
      <c r="K1069" s="232">
        <v>17781.759999999998</v>
      </c>
      <c r="L1069" s="35">
        <v>8.201506649905836</v>
      </c>
      <c r="M1069" s="232">
        <v>44049.5</v>
      </c>
      <c r="N1069" s="35">
        <v>7.0829823691838341</v>
      </c>
      <c r="P1069" s="232">
        <v>-16.61</v>
      </c>
      <c r="Q1069" s="35">
        <v>6.4076942966275752E-3</v>
      </c>
      <c r="R1069" s="232">
        <v>-440.26</v>
      </c>
      <c r="S1069" s="35">
        <v>1.3127332389400861</v>
      </c>
      <c r="T1069" s="232">
        <v>26267.74</v>
      </c>
      <c r="U1069" s="35">
        <v>1.1185242807220019</v>
      </c>
      <c r="W1069" s="35">
        <f t="shared" si="103"/>
        <v>336.99471483137876</v>
      </c>
      <c r="X1069" s="35">
        <f t="shared" si="104"/>
        <v>66076.921947004303</v>
      </c>
      <c r="Y1069" s="35">
        <f t="shared" si="105"/>
        <v>29658.474036100099</v>
      </c>
      <c r="Z1069" s="35">
        <f t="shared" si="106"/>
        <v>0</v>
      </c>
      <c r="AA1069" s="35">
        <f t="shared" si="107"/>
        <v>1</v>
      </c>
      <c r="AB1069" s="35">
        <f t="shared" si="108"/>
        <v>0</v>
      </c>
    </row>
    <row r="1070" spans="1:28">
      <c r="A1070" s="35">
        <v>1059</v>
      </c>
      <c r="B1070" s="35">
        <v>4.4013104379245042E-4</v>
      </c>
      <c r="C1070" s="232">
        <v>64.31</v>
      </c>
      <c r="D1070" s="35">
        <v>5.0607785652781372</v>
      </c>
      <c r="E1070" s="232">
        <v>34.159999999999997</v>
      </c>
      <c r="F1070" s="35">
        <v>5.0487598048870428</v>
      </c>
      <c r="G1070" s="232">
        <v>11287.7</v>
      </c>
      <c r="H1070" s="35">
        <v>9.010214761032076</v>
      </c>
      <c r="I1070" s="232">
        <v>12487.67</v>
      </c>
      <c r="J1070" s="35">
        <v>8.1829160280638185</v>
      </c>
      <c r="K1070" s="232">
        <v>14292.72</v>
      </c>
      <c r="L1070" s="35">
        <v>8.3277054546645743</v>
      </c>
      <c r="M1070" s="232">
        <v>40441.54</v>
      </c>
      <c r="N1070" s="35">
        <v>7.2066742512211945</v>
      </c>
      <c r="P1070" s="232">
        <v>-30.15</v>
      </c>
      <c r="Q1070" s="35">
        <v>1.2018760391094396E-2</v>
      </c>
      <c r="R1070" s="232">
        <v>1199.97</v>
      </c>
      <c r="S1070" s="35">
        <v>0.82729873296825751</v>
      </c>
      <c r="T1070" s="232">
        <v>26148.82</v>
      </c>
      <c r="U1070" s="35">
        <v>1.1210312034433798</v>
      </c>
      <c r="W1070" s="35">
        <f t="shared" si="103"/>
        <v>631.08801955471984</v>
      </c>
      <c r="X1070" s="35">
        <f t="shared" si="104"/>
        <v>40164.966648412876</v>
      </c>
      <c r="Y1070" s="35">
        <f t="shared" si="105"/>
        <v>29902.740172168989</v>
      </c>
      <c r="Z1070" s="35">
        <f t="shared" si="106"/>
        <v>0</v>
      </c>
      <c r="AA1070" s="35">
        <f t="shared" si="107"/>
        <v>1</v>
      </c>
      <c r="AB1070" s="35">
        <f t="shared" si="108"/>
        <v>0</v>
      </c>
    </row>
    <row r="1071" spans="1:28">
      <c r="A1071" s="35">
        <v>1060</v>
      </c>
      <c r="B1071" s="35">
        <v>3.4817953488081439E-4</v>
      </c>
      <c r="C1071" s="232">
        <v>56.21</v>
      </c>
      <c r="D1071" s="35">
        <v>5.0570789535965623</v>
      </c>
      <c r="E1071" s="232">
        <v>30.29</v>
      </c>
      <c r="F1071" s="35">
        <v>5.0469965530650969</v>
      </c>
      <c r="G1071" s="232">
        <v>12858.02</v>
      </c>
      <c r="H1071" s="35">
        <v>9.1483600425572824</v>
      </c>
      <c r="I1071" s="232">
        <v>14110.99</v>
      </c>
      <c r="J1071" s="35">
        <v>8.2145404631476762</v>
      </c>
      <c r="K1071" s="232">
        <v>16350.87</v>
      </c>
      <c r="L1071" s="35">
        <v>8.8401445404676</v>
      </c>
      <c r="M1071" s="232">
        <v>42503.08</v>
      </c>
      <c r="N1071" s="35">
        <v>7.7790902572884804</v>
      </c>
      <c r="P1071" s="232">
        <v>-25.92</v>
      </c>
      <c r="Q1071" s="35">
        <v>1.0082400531465474E-2</v>
      </c>
      <c r="R1071" s="232">
        <v>1252.97</v>
      </c>
      <c r="S1071" s="35">
        <v>0.93381957940960625</v>
      </c>
      <c r="T1071" s="232">
        <v>26152.2</v>
      </c>
      <c r="U1071" s="35">
        <v>1.0610542831791197</v>
      </c>
      <c r="W1071" s="35">
        <f t="shared" si="103"/>
        <v>530.04002657327374</v>
      </c>
      <c r="X1071" s="35">
        <f t="shared" si="104"/>
        <v>45438.00897048031</v>
      </c>
      <c r="Y1071" s="35">
        <f t="shared" si="105"/>
        <v>26900.514158955983</v>
      </c>
      <c r="Z1071" s="35">
        <f t="shared" si="106"/>
        <v>0</v>
      </c>
      <c r="AA1071" s="35">
        <f t="shared" si="107"/>
        <v>1</v>
      </c>
      <c r="AB1071" s="35">
        <f t="shared" si="108"/>
        <v>0</v>
      </c>
    </row>
    <row r="1072" spans="1:28">
      <c r="A1072" s="35">
        <v>1061</v>
      </c>
      <c r="B1072" s="35">
        <v>3.3251663040702952E-4</v>
      </c>
      <c r="C1072" s="232">
        <v>38.67</v>
      </c>
      <c r="D1072" s="35">
        <v>5.0553249219846492</v>
      </c>
      <c r="E1072" s="232">
        <v>26.28</v>
      </c>
      <c r="F1072" s="35">
        <v>5.0481030903993522</v>
      </c>
      <c r="G1072" s="232">
        <v>8526.0300000000007</v>
      </c>
      <c r="H1072" s="35">
        <v>8.7221887335764059</v>
      </c>
      <c r="I1072" s="232">
        <v>9046.41</v>
      </c>
      <c r="J1072" s="35">
        <v>7.3585232357553503</v>
      </c>
      <c r="K1072" s="232">
        <v>12450.14</v>
      </c>
      <c r="L1072" s="35">
        <v>8.6211705419217797</v>
      </c>
      <c r="M1072" s="232">
        <v>38489.56</v>
      </c>
      <c r="N1072" s="35">
        <v>7.5530005390551587</v>
      </c>
      <c r="P1072" s="232">
        <v>-12.39</v>
      </c>
      <c r="Q1072" s="35">
        <v>7.2218315852969894E-3</v>
      </c>
      <c r="R1072" s="232">
        <v>520.39</v>
      </c>
      <c r="S1072" s="35">
        <v>1.3636654978210556</v>
      </c>
      <c r="T1072" s="232">
        <v>26039.42</v>
      </c>
      <c r="U1072" s="35">
        <v>1.068170002866621</v>
      </c>
      <c r="W1072" s="35">
        <f t="shared" si="103"/>
        <v>373.48157926484947</v>
      </c>
      <c r="X1072" s="35">
        <f t="shared" si="104"/>
        <v>67662.884891052789</v>
      </c>
      <c r="Y1072" s="35">
        <f t="shared" si="105"/>
        <v>27369.080143331055</v>
      </c>
      <c r="Z1072" s="35">
        <f t="shared" si="106"/>
        <v>0</v>
      </c>
      <c r="AA1072" s="35">
        <f t="shared" si="107"/>
        <v>1</v>
      </c>
      <c r="AB1072" s="35">
        <f t="shared" si="108"/>
        <v>0</v>
      </c>
    </row>
    <row r="1073" spans="1:28">
      <c r="A1073" s="35">
        <v>1062</v>
      </c>
      <c r="B1073" s="35">
        <v>4.1195951497725132E-4</v>
      </c>
      <c r="C1073" s="232">
        <v>49.32</v>
      </c>
      <c r="D1073" s="35">
        <v>5.0602423393195712</v>
      </c>
      <c r="E1073" s="232">
        <v>30.36</v>
      </c>
      <c r="F1073" s="35">
        <v>5.0500065305727428</v>
      </c>
      <c r="G1073" s="232">
        <v>9361.49</v>
      </c>
      <c r="H1073" s="35">
        <v>8.900937554525246</v>
      </c>
      <c r="I1073" s="232">
        <v>11416.42</v>
      </c>
      <c r="J1073" s="35">
        <v>8.3586923203198324</v>
      </c>
      <c r="K1073" s="232">
        <v>8971.7999999999993</v>
      </c>
      <c r="L1073" s="35">
        <v>8.9294348799098699</v>
      </c>
      <c r="M1073" s="232">
        <v>34748.870000000003</v>
      </c>
      <c r="N1073" s="35">
        <v>7.8010223274882122</v>
      </c>
      <c r="P1073" s="232">
        <v>-18.95</v>
      </c>
      <c r="Q1073" s="35">
        <v>1.023580874682839E-2</v>
      </c>
      <c r="R1073" s="232">
        <v>2054.92</v>
      </c>
      <c r="S1073" s="35">
        <v>0.5422452342054136</v>
      </c>
      <c r="T1073" s="232">
        <v>25777.07</v>
      </c>
      <c r="U1073" s="35">
        <v>1.1284125524216577</v>
      </c>
      <c r="W1073" s="35">
        <f t="shared" si="103"/>
        <v>530.74043734141947</v>
      </c>
      <c r="X1073" s="35">
        <f t="shared" si="104"/>
        <v>25057.341710270681</v>
      </c>
      <c r="Y1073" s="35">
        <f t="shared" si="105"/>
        <v>30643.557621082888</v>
      </c>
      <c r="Z1073" s="35">
        <f t="shared" si="106"/>
        <v>0</v>
      </c>
      <c r="AA1073" s="35">
        <f t="shared" si="107"/>
        <v>0</v>
      </c>
      <c r="AB1073" s="35">
        <f t="shared" si="108"/>
        <v>1</v>
      </c>
    </row>
    <row r="1074" spans="1:28">
      <c r="A1074" s="35">
        <v>1063</v>
      </c>
      <c r="B1074" s="35">
        <v>4.1324847908167029E-4</v>
      </c>
      <c r="C1074" s="232">
        <v>72.209999999999994</v>
      </c>
      <c r="D1074" s="35">
        <v>5.0597574684586082</v>
      </c>
      <c r="E1074" s="232">
        <v>45.54</v>
      </c>
      <c r="F1074" s="35">
        <v>5.0505860242522083</v>
      </c>
      <c r="G1074" s="232">
        <v>13051.72</v>
      </c>
      <c r="H1074" s="35">
        <v>8.9440552076897522</v>
      </c>
      <c r="I1074" s="232">
        <v>12515.25</v>
      </c>
      <c r="J1074" s="35">
        <v>7.4969321039207664</v>
      </c>
      <c r="K1074" s="232">
        <v>18503.759999999998</v>
      </c>
      <c r="L1074" s="35">
        <v>8.5511645103757523</v>
      </c>
      <c r="M1074" s="232">
        <v>44826.65</v>
      </c>
      <c r="N1074" s="35">
        <v>7.5171396925038465</v>
      </c>
      <c r="P1074" s="232">
        <v>-26.66</v>
      </c>
      <c r="Q1074" s="35">
        <v>9.1714442063999257E-3</v>
      </c>
      <c r="R1074" s="232">
        <v>-536.48</v>
      </c>
      <c r="S1074" s="35">
        <v>1.4471231037689858</v>
      </c>
      <c r="T1074" s="232">
        <v>26322.89</v>
      </c>
      <c r="U1074" s="35">
        <v>1.0340248178719058</v>
      </c>
      <c r="W1074" s="35">
        <f t="shared" si="103"/>
        <v>485.23221031999634</v>
      </c>
      <c r="X1074" s="35">
        <f t="shared" si="104"/>
        <v>72892.635188449291</v>
      </c>
      <c r="Y1074" s="35">
        <f t="shared" si="105"/>
        <v>25378.350893595292</v>
      </c>
      <c r="Z1074" s="35">
        <f t="shared" si="106"/>
        <v>0</v>
      </c>
      <c r="AA1074" s="35">
        <f t="shared" si="107"/>
        <v>1</v>
      </c>
      <c r="AB1074" s="35">
        <f t="shared" si="108"/>
        <v>0</v>
      </c>
    </row>
    <row r="1075" spans="1:28">
      <c r="A1075" s="35">
        <v>1064</v>
      </c>
      <c r="B1075" s="35">
        <v>5.1263307110038792E-4</v>
      </c>
      <c r="C1075" s="232">
        <v>86.12</v>
      </c>
      <c r="D1075" s="35">
        <v>5.0634879994005493</v>
      </c>
      <c r="E1075" s="232">
        <v>55.08</v>
      </c>
      <c r="F1075" s="35">
        <v>5.0531847745940537</v>
      </c>
      <c r="G1075" s="232">
        <v>12274.82</v>
      </c>
      <c r="H1075" s="35">
        <v>8.6994918071957397</v>
      </c>
      <c r="I1075" s="232">
        <v>11078.02</v>
      </c>
      <c r="J1075" s="35">
        <v>6.7678352621765026</v>
      </c>
      <c r="K1075" s="232">
        <v>15598.29</v>
      </c>
      <c r="L1075" s="35">
        <v>8.2067031672965562</v>
      </c>
      <c r="M1075" s="232">
        <v>41701.58</v>
      </c>
      <c r="N1075" s="35">
        <v>7.2466862245917536</v>
      </c>
      <c r="P1075" s="232">
        <v>-31.04</v>
      </c>
      <c r="Q1075" s="35">
        <v>1.0303224806495592E-2</v>
      </c>
      <c r="R1075" s="232">
        <v>-1196.81</v>
      </c>
      <c r="S1075" s="35">
        <v>1.9316565450192371</v>
      </c>
      <c r="T1075" s="232">
        <v>26103.29</v>
      </c>
      <c r="U1075" s="35">
        <v>0.96001694270480264</v>
      </c>
      <c r="W1075" s="35">
        <f t="shared" si="103"/>
        <v>546.20124032477952</v>
      </c>
      <c r="X1075" s="35">
        <f t="shared" si="104"/>
        <v>97779.637250961852</v>
      </c>
      <c r="Y1075" s="35">
        <f t="shared" si="105"/>
        <v>21897.557135240131</v>
      </c>
      <c r="Z1075" s="35">
        <f t="shared" si="106"/>
        <v>0</v>
      </c>
      <c r="AA1075" s="35">
        <f t="shared" si="107"/>
        <v>1</v>
      </c>
      <c r="AB1075" s="35">
        <f t="shared" si="108"/>
        <v>0</v>
      </c>
    </row>
    <row r="1076" spans="1:28">
      <c r="A1076" s="35">
        <v>1065</v>
      </c>
      <c r="B1076" s="35">
        <v>4.0843061490311767E-4</v>
      </c>
      <c r="C1076" s="232">
        <v>47.25</v>
      </c>
      <c r="D1076" s="35">
        <v>5.0560513402596303</v>
      </c>
      <c r="E1076" s="232">
        <v>31.09</v>
      </c>
      <c r="F1076" s="35">
        <v>5.0484458860601835</v>
      </c>
      <c r="G1076" s="232">
        <v>9011.4599999999991</v>
      </c>
      <c r="H1076" s="35">
        <v>7.4345300806918955</v>
      </c>
      <c r="I1076" s="232">
        <v>10781.61</v>
      </c>
      <c r="J1076" s="35">
        <v>6.3344815228621343</v>
      </c>
      <c r="K1076" s="232">
        <v>10410.379999999999</v>
      </c>
      <c r="L1076" s="35">
        <v>8.5885068876886201</v>
      </c>
      <c r="M1076" s="232">
        <v>36292.69</v>
      </c>
      <c r="N1076" s="35">
        <v>7.4129824530221429</v>
      </c>
      <c r="P1076" s="232">
        <v>-16.16</v>
      </c>
      <c r="Q1076" s="35">
        <v>7.6054541994468039E-3</v>
      </c>
      <c r="R1076" s="232">
        <v>1770.16</v>
      </c>
      <c r="S1076" s="35">
        <v>1.1000485578297612</v>
      </c>
      <c r="T1076" s="232">
        <v>25882.32</v>
      </c>
      <c r="U1076" s="35">
        <v>1.1755244346664773</v>
      </c>
      <c r="W1076" s="35">
        <f t="shared" si="103"/>
        <v>396.43270997234021</v>
      </c>
      <c r="X1076" s="35">
        <f t="shared" si="104"/>
        <v>53232.267891488053</v>
      </c>
      <c r="Y1076" s="35">
        <f t="shared" si="105"/>
        <v>32893.901733323866</v>
      </c>
      <c r="Z1076" s="35">
        <f t="shared" si="106"/>
        <v>0</v>
      </c>
      <c r="AA1076" s="35">
        <f t="shared" si="107"/>
        <v>1</v>
      </c>
      <c r="AB1076" s="35">
        <f t="shared" si="108"/>
        <v>0</v>
      </c>
    </row>
    <row r="1077" spans="1:28">
      <c r="A1077" s="35">
        <v>1066</v>
      </c>
      <c r="B1077" s="35">
        <v>2.9016243309202964E-4</v>
      </c>
      <c r="C1077" s="232">
        <v>53.41</v>
      </c>
      <c r="D1077" s="35">
        <v>5.052665764148327</v>
      </c>
      <c r="E1077" s="232">
        <v>30.94</v>
      </c>
      <c r="F1077" s="35">
        <v>5.0454524413171828</v>
      </c>
      <c r="G1077" s="232">
        <v>13903.45</v>
      </c>
      <c r="H1077" s="35">
        <v>8.5404243599148035</v>
      </c>
      <c r="I1077" s="232">
        <v>12453.23</v>
      </c>
      <c r="J1077" s="35">
        <v>6.5527155884545385</v>
      </c>
      <c r="K1077" s="232">
        <v>20905.03</v>
      </c>
      <c r="L1077" s="35">
        <v>8.6882656115509747</v>
      </c>
      <c r="M1077" s="232">
        <v>47348.11</v>
      </c>
      <c r="N1077" s="35">
        <v>7.551376442839504</v>
      </c>
      <c r="P1077" s="232">
        <v>-22.47</v>
      </c>
      <c r="Q1077" s="35">
        <v>7.2133228311441755E-3</v>
      </c>
      <c r="R1077" s="232">
        <v>-1450.22</v>
      </c>
      <c r="S1077" s="35">
        <v>1.987708771460265</v>
      </c>
      <c r="T1077" s="232">
        <v>26443.08</v>
      </c>
      <c r="U1077" s="35">
        <v>1.1368891687114706</v>
      </c>
      <c r="W1077" s="35">
        <f t="shared" si="103"/>
        <v>383.13614155720882</v>
      </c>
      <c r="X1077" s="35">
        <f t="shared" si="104"/>
        <v>100835.65857301325</v>
      </c>
      <c r="Y1077" s="35">
        <f t="shared" si="105"/>
        <v>30401.378435573526</v>
      </c>
      <c r="Z1077" s="35">
        <f t="shared" si="106"/>
        <v>0</v>
      </c>
      <c r="AA1077" s="35">
        <f t="shared" si="107"/>
        <v>1</v>
      </c>
      <c r="AB1077" s="35">
        <f t="shared" si="108"/>
        <v>0</v>
      </c>
    </row>
    <row r="1078" spans="1:28">
      <c r="A1078" s="35">
        <v>1067</v>
      </c>
      <c r="B1078" s="35">
        <v>6.0409483308787593E-4</v>
      </c>
      <c r="C1078" s="232">
        <v>81.12</v>
      </c>
      <c r="D1078" s="35">
        <v>5.0687969008027149</v>
      </c>
      <c r="E1078" s="232">
        <v>44.79</v>
      </c>
      <c r="F1078" s="35">
        <v>5.0535747521013583</v>
      </c>
      <c r="G1078" s="232">
        <v>10282.42</v>
      </c>
      <c r="H1078" s="35">
        <v>8.6947671241126638</v>
      </c>
      <c r="I1078" s="232">
        <v>11278.54</v>
      </c>
      <c r="J1078" s="35">
        <v>7.4945713987012024</v>
      </c>
      <c r="K1078" s="232">
        <v>13098.25</v>
      </c>
      <c r="L1078" s="35">
        <v>8.5467217967135394</v>
      </c>
      <c r="M1078" s="232">
        <v>39193.279999999999</v>
      </c>
      <c r="N1078" s="35">
        <v>7.4125276138205036</v>
      </c>
      <c r="P1078" s="232">
        <v>-36.33</v>
      </c>
      <c r="Q1078" s="35">
        <v>1.522214870135663E-2</v>
      </c>
      <c r="R1078" s="232">
        <v>996.13</v>
      </c>
      <c r="S1078" s="35">
        <v>1.2001957254114615</v>
      </c>
      <c r="T1078" s="232">
        <v>26095.03</v>
      </c>
      <c r="U1078" s="35">
        <v>1.1341941828930358</v>
      </c>
      <c r="W1078" s="35">
        <f t="shared" si="103"/>
        <v>797.43743506783153</v>
      </c>
      <c r="X1078" s="35">
        <f t="shared" si="104"/>
        <v>59013.656270573076</v>
      </c>
      <c r="Y1078" s="35">
        <f t="shared" si="105"/>
        <v>30614.679144651789</v>
      </c>
      <c r="Z1078" s="35">
        <f t="shared" si="106"/>
        <v>0</v>
      </c>
      <c r="AA1078" s="35">
        <f t="shared" si="107"/>
        <v>1</v>
      </c>
      <c r="AB1078" s="35">
        <f t="shared" si="108"/>
        <v>0</v>
      </c>
    </row>
    <row r="1079" spans="1:28">
      <c r="A1079" s="35">
        <v>1068</v>
      </c>
      <c r="B1079" s="35">
        <v>4.5281749033176943E-4</v>
      </c>
      <c r="C1079" s="232">
        <v>59.67</v>
      </c>
      <c r="D1079" s="35">
        <v>5.0619757196277009</v>
      </c>
      <c r="E1079" s="232">
        <v>36.54</v>
      </c>
      <c r="F1079" s="35">
        <v>5.0511724239133411</v>
      </c>
      <c r="G1079" s="232">
        <v>10414.879999999999</v>
      </c>
      <c r="H1079" s="35">
        <v>8.8324105389026943</v>
      </c>
      <c r="I1079" s="232">
        <v>11240.72</v>
      </c>
      <c r="J1079" s="35">
        <v>6.851370314671918</v>
      </c>
      <c r="K1079" s="232">
        <v>12533.74</v>
      </c>
      <c r="L1079" s="35">
        <v>8.7605676194292137</v>
      </c>
      <c r="M1079" s="232">
        <v>38452.550000000003</v>
      </c>
      <c r="N1079" s="35">
        <v>7.7221676406970952</v>
      </c>
      <c r="P1079" s="232">
        <v>-23.14</v>
      </c>
      <c r="Q1079" s="35">
        <v>1.0803295714359784E-2</v>
      </c>
      <c r="R1079" s="232">
        <v>825.84</v>
      </c>
      <c r="S1079" s="35">
        <v>1.9810402242307763</v>
      </c>
      <c r="T1079" s="232">
        <v>25918.81</v>
      </c>
      <c r="U1079" s="35">
        <v>1.0383999787321185</v>
      </c>
      <c r="W1079" s="35">
        <f t="shared" si="103"/>
        <v>563.30478571798915</v>
      </c>
      <c r="X1079" s="35">
        <f t="shared" si="104"/>
        <v>98226.171211538822</v>
      </c>
      <c r="Y1079" s="35">
        <f t="shared" si="105"/>
        <v>26001.188936605922</v>
      </c>
      <c r="Z1079" s="35">
        <f t="shared" si="106"/>
        <v>0</v>
      </c>
      <c r="AA1079" s="35">
        <f t="shared" si="107"/>
        <v>1</v>
      </c>
      <c r="AB1079" s="35">
        <f t="shared" si="108"/>
        <v>0</v>
      </c>
    </row>
    <row r="1080" spans="1:28">
      <c r="A1080" s="35">
        <v>1069</v>
      </c>
      <c r="B1080" s="35">
        <v>3.6102363253755264E-4</v>
      </c>
      <c r="C1080" s="232">
        <v>51.24</v>
      </c>
      <c r="D1080" s="35">
        <v>5.05720429075624</v>
      </c>
      <c r="E1080" s="232">
        <v>29.27</v>
      </c>
      <c r="F1080" s="35">
        <v>5.0475561812526282</v>
      </c>
      <c r="G1080" s="232">
        <v>10740.25</v>
      </c>
      <c r="H1080" s="35">
        <v>8.8858642835735306</v>
      </c>
      <c r="I1080" s="232">
        <v>11476.84</v>
      </c>
      <c r="J1080" s="35">
        <v>7.5763870242679872</v>
      </c>
      <c r="K1080" s="232">
        <v>13948.26</v>
      </c>
      <c r="L1080" s="35">
        <v>8.7048056504974429</v>
      </c>
      <c r="M1080" s="232">
        <v>40064.39</v>
      </c>
      <c r="N1080" s="35">
        <v>7.5519235694886095</v>
      </c>
      <c r="P1080" s="232">
        <v>-21.98</v>
      </c>
      <c r="Q1080" s="35">
        <v>9.6481095036118347E-3</v>
      </c>
      <c r="R1080" s="232">
        <v>736.59</v>
      </c>
      <c r="S1080" s="35">
        <v>1.3094772593055435</v>
      </c>
      <c r="T1080" s="232">
        <v>26116.13</v>
      </c>
      <c r="U1080" s="35">
        <v>1.1528820810088334</v>
      </c>
      <c r="W1080" s="35">
        <f t="shared" si="103"/>
        <v>504.38547518059175</v>
      </c>
      <c r="X1080" s="35">
        <f t="shared" si="104"/>
        <v>64737.272965277174</v>
      </c>
      <c r="Y1080" s="35">
        <f t="shared" si="105"/>
        <v>31527.974050441666</v>
      </c>
      <c r="Z1080" s="35">
        <f t="shared" si="106"/>
        <v>0</v>
      </c>
      <c r="AA1080" s="35">
        <f t="shared" si="107"/>
        <v>1</v>
      </c>
      <c r="AB1080" s="35">
        <f t="shared" si="108"/>
        <v>0</v>
      </c>
    </row>
    <row r="1081" spans="1:28">
      <c r="A1081" s="35">
        <v>1070</v>
      </c>
      <c r="B1081" s="35">
        <v>3.2592824219509543E-4</v>
      </c>
      <c r="C1081" s="232">
        <v>57.68</v>
      </c>
      <c r="D1081" s="35">
        <v>5.0544606930842413</v>
      </c>
      <c r="E1081" s="232">
        <v>38.5</v>
      </c>
      <c r="F1081" s="35">
        <v>5.0479112218699287</v>
      </c>
      <c r="G1081" s="232">
        <v>13301.02</v>
      </c>
      <c r="H1081" s="35">
        <v>8.4766773083695419</v>
      </c>
      <c r="I1081" s="232">
        <v>13921.03</v>
      </c>
      <c r="J1081" s="35">
        <v>7.406971042795373</v>
      </c>
      <c r="K1081" s="232">
        <v>18720.93</v>
      </c>
      <c r="L1081" s="35">
        <v>8.5945952833410253</v>
      </c>
      <c r="M1081" s="232">
        <v>44966.44</v>
      </c>
      <c r="N1081" s="35">
        <v>7.580939598539425</v>
      </c>
      <c r="P1081" s="232">
        <v>-19.18</v>
      </c>
      <c r="Q1081" s="35">
        <v>6.5494712143125966E-3</v>
      </c>
      <c r="R1081" s="232">
        <v>620.01</v>
      </c>
      <c r="S1081" s="35">
        <v>1.0697062655741689</v>
      </c>
      <c r="T1081" s="232">
        <v>26245.51</v>
      </c>
      <c r="U1081" s="35">
        <v>1.0136556848016003</v>
      </c>
      <c r="W1081" s="35">
        <f t="shared" si="103"/>
        <v>346.65356071562985</v>
      </c>
      <c r="X1081" s="35">
        <f t="shared" si="104"/>
        <v>52865.303278708445</v>
      </c>
      <c r="Y1081" s="35">
        <f t="shared" si="105"/>
        <v>24437.274240080016</v>
      </c>
      <c r="Z1081" s="35">
        <f t="shared" si="106"/>
        <v>0</v>
      </c>
      <c r="AA1081" s="35">
        <f t="shared" si="107"/>
        <v>1</v>
      </c>
      <c r="AB1081" s="35">
        <f t="shared" si="108"/>
        <v>0</v>
      </c>
    </row>
    <row r="1082" spans="1:28">
      <c r="A1082" s="35">
        <v>1071</v>
      </c>
      <c r="B1082" s="35">
        <v>5.4274843357726699E-4</v>
      </c>
      <c r="C1082" s="232">
        <v>89.19</v>
      </c>
      <c r="D1082" s="35">
        <v>5.0676930592998541</v>
      </c>
      <c r="E1082" s="232">
        <v>52.99</v>
      </c>
      <c r="F1082" s="35">
        <v>5.0543859713867594</v>
      </c>
      <c r="G1082" s="232">
        <v>12492.2</v>
      </c>
      <c r="H1082" s="35">
        <v>9.0462236731971508</v>
      </c>
      <c r="I1082" s="232">
        <v>12482.34</v>
      </c>
      <c r="J1082" s="35">
        <v>7.3132647770147496</v>
      </c>
      <c r="K1082" s="232">
        <v>16064.87</v>
      </c>
      <c r="L1082" s="35">
        <v>8.729574084758168</v>
      </c>
      <c r="M1082" s="232">
        <v>42341.599999999999</v>
      </c>
      <c r="N1082" s="35">
        <v>7.572705691141814</v>
      </c>
      <c r="P1082" s="232">
        <v>-36.200000000000003</v>
      </c>
      <c r="Q1082" s="35">
        <v>1.3307087913094762E-2</v>
      </c>
      <c r="R1082" s="232">
        <v>-9.86</v>
      </c>
      <c r="S1082" s="35">
        <v>1.7329588961824012</v>
      </c>
      <c r="T1082" s="232">
        <v>26276.73</v>
      </c>
      <c r="U1082" s="35">
        <v>1.156868393616354</v>
      </c>
      <c r="W1082" s="35">
        <f t="shared" si="103"/>
        <v>701.55439565473807</v>
      </c>
      <c r="X1082" s="35">
        <f t="shared" si="104"/>
        <v>86657.804809120062</v>
      </c>
      <c r="Y1082" s="35">
        <f t="shared" si="105"/>
        <v>31566.689680817701</v>
      </c>
      <c r="Z1082" s="35">
        <f t="shared" si="106"/>
        <v>0</v>
      </c>
      <c r="AA1082" s="35">
        <f t="shared" si="107"/>
        <v>1</v>
      </c>
      <c r="AB1082" s="35">
        <f t="shared" si="108"/>
        <v>0</v>
      </c>
    </row>
    <row r="1083" spans="1:28">
      <c r="A1083" s="35">
        <v>1072</v>
      </c>
      <c r="B1083" s="35">
        <v>4.5974774922186157E-4</v>
      </c>
      <c r="C1083" s="232">
        <v>68.900000000000006</v>
      </c>
      <c r="D1083" s="35">
        <v>5.0619211156907813</v>
      </c>
      <c r="E1083" s="232">
        <v>42.69</v>
      </c>
      <c r="F1083" s="35">
        <v>5.0515164393227554</v>
      </c>
      <c r="G1083" s="232">
        <v>11793.45</v>
      </c>
      <c r="H1083" s="35">
        <v>8.9319236965328841</v>
      </c>
      <c r="I1083" s="232">
        <v>12530.41</v>
      </c>
      <c r="J1083" s="35">
        <v>7.38689425269461</v>
      </c>
      <c r="K1083" s="232">
        <v>14049.4</v>
      </c>
      <c r="L1083" s="35">
        <v>8.5017950958808672</v>
      </c>
      <c r="M1083" s="232">
        <v>40010.85</v>
      </c>
      <c r="N1083" s="35">
        <v>7.4470366478291039</v>
      </c>
      <c r="P1083" s="232">
        <v>-26.21</v>
      </c>
      <c r="Q1083" s="35">
        <v>1.0404676368025889E-2</v>
      </c>
      <c r="R1083" s="232">
        <v>736.96</v>
      </c>
      <c r="S1083" s="35">
        <v>1.5450294438382741</v>
      </c>
      <c r="T1083" s="232">
        <v>25961.45</v>
      </c>
      <c r="U1083" s="35">
        <v>1.0547584480517633</v>
      </c>
      <c r="W1083" s="35">
        <f t="shared" si="103"/>
        <v>546.44381840129449</v>
      </c>
      <c r="X1083" s="35">
        <f t="shared" si="104"/>
        <v>76514.512191913702</v>
      </c>
      <c r="Y1083" s="35">
        <f t="shared" si="105"/>
        <v>26776.472402588162</v>
      </c>
      <c r="Z1083" s="35">
        <f t="shared" si="106"/>
        <v>0</v>
      </c>
      <c r="AA1083" s="35">
        <f t="shared" si="107"/>
        <v>1</v>
      </c>
      <c r="AB1083" s="35">
        <f t="shared" si="108"/>
        <v>0</v>
      </c>
    </row>
    <row r="1084" spans="1:28">
      <c r="A1084" s="35">
        <v>1073</v>
      </c>
      <c r="B1084" s="35">
        <v>4.7148110307171365E-4</v>
      </c>
      <c r="C1084" s="232">
        <v>51.44</v>
      </c>
      <c r="D1084" s="35">
        <v>5.0624303822750214</v>
      </c>
      <c r="E1084" s="232">
        <v>33.380000000000003</v>
      </c>
      <c r="F1084" s="35">
        <v>5.0520832786189569</v>
      </c>
      <c r="G1084" s="232">
        <v>8341.02</v>
      </c>
      <c r="H1084" s="35">
        <v>8.8475433049608281</v>
      </c>
      <c r="I1084" s="232">
        <v>10072.129999999999</v>
      </c>
      <c r="J1084" s="35">
        <v>8.2285106188330488</v>
      </c>
      <c r="K1084" s="232">
        <v>10070.57</v>
      </c>
      <c r="L1084" s="35">
        <v>8.4768399289879586</v>
      </c>
      <c r="M1084" s="232">
        <v>35798.559999999998</v>
      </c>
      <c r="N1084" s="35">
        <v>7.4222037591552521</v>
      </c>
      <c r="P1084" s="232">
        <v>-18.05</v>
      </c>
      <c r="Q1084" s="35">
        <v>1.0347103656064505E-2</v>
      </c>
      <c r="R1084" s="232">
        <v>1731.11</v>
      </c>
      <c r="S1084" s="35">
        <v>0.61903268612777929</v>
      </c>
      <c r="T1084" s="232">
        <v>25727.99</v>
      </c>
      <c r="U1084" s="35">
        <v>1.0546361698327065</v>
      </c>
      <c r="W1084" s="35">
        <f t="shared" si="103"/>
        <v>535.40518280322522</v>
      </c>
      <c r="X1084" s="35">
        <f t="shared" si="104"/>
        <v>29220.524306388965</v>
      </c>
      <c r="Y1084" s="35">
        <f t="shared" si="105"/>
        <v>27003.818491635324</v>
      </c>
      <c r="Z1084" s="35">
        <f t="shared" si="106"/>
        <v>0</v>
      </c>
      <c r="AA1084" s="35">
        <f t="shared" si="107"/>
        <v>1</v>
      </c>
      <c r="AB1084" s="35">
        <f t="shared" si="108"/>
        <v>0</v>
      </c>
    </row>
    <row r="1085" spans="1:28">
      <c r="A1085" s="35">
        <v>1074</v>
      </c>
      <c r="B1085" s="35">
        <v>3.5194141907762979E-4</v>
      </c>
      <c r="C1085" s="232">
        <v>77.92</v>
      </c>
      <c r="D1085" s="35">
        <v>5.0557724955057131</v>
      </c>
      <c r="E1085" s="232">
        <v>46.78</v>
      </c>
      <c r="F1085" s="35">
        <v>5.0477992387260615</v>
      </c>
      <c r="G1085" s="232">
        <v>16865.009999999998</v>
      </c>
      <c r="H1085" s="35">
        <v>8.6757118400730402</v>
      </c>
      <c r="I1085" s="232">
        <v>16843.009999999998</v>
      </c>
      <c r="J1085" s="35">
        <v>7.7653323700146935</v>
      </c>
      <c r="K1085" s="232">
        <v>26298.69</v>
      </c>
      <c r="L1085" s="35">
        <v>8.4735828832417788</v>
      </c>
      <c r="M1085" s="232">
        <v>53053.41</v>
      </c>
      <c r="N1085" s="35">
        <v>7.3991524985171502</v>
      </c>
      <c r="P1085" s="232">
        <v>-31.14</v>
      </c>
      <c r="Q1085" s="35">
        <v>7.9732567796515497E-3</v>
      </c>
      <c r="R1085" s="232">
        <v>-22.01</v>
      </c>
      <c r="S1085" s="35">
        <v>0.91037947005834674</v>
      </c>
      <c r="T1085" s="232">
        <v>26754.720000000001</v>
      </c>
      <c r="U1085" s="35">
        <v>1.0744303847246286</v>
      </c>
      <c r="W1085" s="35">
        <f t="shared" si="103"/>
        <v>429.80283898257744</v>
      </c>
      <c r="X1085" s="35">
        <f t="shared" si="104"/>
        <v>45540.983502917341</v>
      </c>
      <c r="Y1085" s="35">
        <f t="shared" si="105"/>
        <v>26966.799236231425</v>
      </c>
      <c r="Z1085" s="35">
        <f t="shared" si="106"/>
        <v>0</v>
      </c>
      <c r="AA1085" s="35">
        <f t="shared" si="107"/>
        <v>1</v>
      </c>
      <c r="AB1085" s="35">
        <f t="shared" si="108"/>
        <v>0</v>
      </c>
    </row>
    <row r="1086" spans="1:28">
      <c r="A1086" s="35">
        <v>1075</v>
      </c>
      <c r="B1086" s="35">
        <v>4.5743931651365255E-4</v>
      </c>
      <c r="C1086" s="232">
        <v>69.42</v>
      </c>
      <c r="D1086" s="35">
        <v>5.0611120641265366</v>
      </c>
      <c r="E1086" s="232">
        <v>42.33</v>
      </c>
      <c r="F1086" s="35">
        <v>5.0508398596262278</v>
      </c>
      <c r="G1086" s="232">
        <v>11112.71</v>
      </c>
      <c r="H1086" s="35">
        <v>8.5926371512460733</v>
      </c>
      <c r="I1086" s="232">
        <v>10364.98</v>
      </c>
      <c r="J1086" s="35">
        <v>6.7777499034614479</v>
      </c>
      <c r="K1086" s="232">
        <v>15948.76</v>
      </c>
      <c r="L1086" s="35">
        <v>8.647896266367999</v>
      </c>
      <c r="M1086" s="232">
        <v>42105.63</v>
      </c>
      <c r="N1086" s="35">
        <v>7.5568349453651669</v>
      </c>
      <c r="P1086" s="232">
        <v>-27.08</v>
      </c>
      <c r="Q1086" s="35">
        <v>1.0272204500308746E-2</v>
      </c>
      <c r="R1086" s="232">
        <v>-747.73</v>
      </c>
      <c r="S1086" s="35">
        <v>1.8148872477846254</v>
      </c>
      <c r="T1086" s="232">
        <v>26156.86</v>
      </c>
      <c r="U1086" s="35">
        <v>1.0910613210028322</v>
      </c>
      <c r="W1086" s="35">
        <f t="shared" si="103"/>
        <v>540.69022501543736</v>
      </c>
      <c r="X1086" s="35">
        <f t="shared" si="104"/>
        <v>91492.092389231271</v>
      </c>
      <c r="Y1086" s="35">
        <f t="shared" si="105"/>
        <v>28396.206050141605</v>
      </c>
      <c r="Z1086" s="35">
        <f t="shared" si="106"/>
        <v>0</v>
      </c>
      <c r="AA1086" s="35">
        <f t="shared" si="107"/>
        <v>1</v>
      </c>
      <c r="AB1086" s="35">
        <f t="shared" si="108"/>
        <v>0</v>
      </c>
    </row>
    <row r="1087" spans="1:28">
      <c r="A1087" s="35">
        <v>1076</v>
      </c>
      <c r="B1087" s="35">
        <v>5.3455220375819845E-4</v>
      </c>
      <c r="C1087" s="232">
        <v>66.599999999999994</v>
      </c>
      <c r="D1087" s="35">
        <v>5.0663935638528441</v>
      </c>
      <c r="E1087" s="232">
        <v>40.71</v>
      </c>
      <c r="F1087" s="35">
        <v>5.0537557906867825</v>
      </c>
      <c r="G1087" s="232">
        <v>10264.91</v>
      </c>
      <c r="H1087" s="35">
        <v>8.9630651399844528</v>
      </c>
      <c r="I1087" s="232">
        <v>11808.02</v>
      </c>
      <c r="J1087" s="35">
        <v>7.0643686079860073</v>
      </c>
      <c r="K1087" s="232">
        <v>11477.47</v>
      </c>
      <c r="L1087" s="35">
        <v>8.6593116953235931</v>
      </c>
      <c r="M1087" s="232">
        <v>37469.620000000003</v>
      </c>
      <c r="N1087" s="35">
        <v>7.6188237484548544</v>
      </c>
      <c r="P1087" s="232">
        <v>-25.9</v>
      </c>
      <c r="Q1087" s="35">
        <v>1.2637773166061628E-2</v>
      </c>
      <c r="R1087" s="232">
        <v>1543.12</v>
      </c>
      <c r="S1087" s="35">
        <v>1.8986965319984455</v>
      </c>
      <c r="T1087" s="232">
        <v>25992.15</v>
      </c>
      <c r="U1087" s="35">
        <v>1.0404879468687387</v>
      </c>
      <c r="W1087" s="35">
        <f t="shared" si="103"/>
        <v>657.78865830308132</v>
      </c>
      <c r="X1087" s="35">
        <f t="shared" si="104"/>
        <v>93391.706599922283</v>
      </c>
      <c r="Y1087" s="35">
        <f t="shared" si="105"/>
        <v>26032.247343436931</v>
      </c>
      <c r="Z1087" s="35">
        <f t="shared" si="106"/>
        <v>0</v>
      </c>
      <c r="AA1087" s="35">
        <f t="shared" si="107"/>
        <v>1</v>
      </c>
      <c r="AB1087" s="35">
        <f t="shared" si="108"/>
        <v>0</v>
      </c>
    </row>
    <row r="1088" spans="1:28">
      <c r="A1088" s="35">
        <v>1077</v>
      </c>
      <c r="B1088" s="35">
        <v>3.8413228775463872E-4</v>
      </c>
      <c r="C1088" s="232">
        <v>60.11</v>
      </c>
      <c r="D1088" s="35">
        <v>5.0583650266209732</v>
      </c>
      <c r="E1088" s="232">
        <v>35.26</v>
      </c>
      <c r="F1088" s="35">
        <v>5.0486659955541198</v>
      </c>
      <c r="G1088" s="232">
        <v>12355.83</v>
      </c>
      <c r="H1088" s="35">
        <v>8.8243192320413861</v>
      </c>
      <c r="I1088" s="232">
        <v>13499.63</v>
      </c>
      <c r="J1088" s="35">
        <v>7.6234628688012656</v>
      </c>
      <c r="K1088" s="232">
        <v>15472.9</v>
      </c>
      <c r="L1088" s="35">
        <v>8.8240009513908966</v>
      </c>
      <c r="M1088" s="232">
        <v>41708.300000000003</v>
      </c>
      <c r="N1088" s="35">
        <v>7.7888713842164314</v>
      </c>
      <c r="P1088" s="232">
        <v>-24.85</v>
      </c>
      <c r="Q1088" s="35">
        <v>9.6990310668534363E-3</v>
      </c>
      <c r="R1088" s="232">
        <v>1143.8</v>
      </c>
      <c r="S1088" s="35">
        <v>1.2008563632401206</v>
      </c>
      <c r="T1088" s="232">
        <v>26235.4</v>
      </c>
      <c r="U1088" s="35">
        <v>1.0351295671744651</v>
      </c>
      <c r="W1088" s="35">
        <f t="shared" si="103"/>
        <v>509.80155334267181</v>
      </c>
      <c r="X1088" s="35">
        <f t="shared" si="104"/>
        <v>58899.018162006025</v>
      </c>
      <c r="Y1088" s="35">
        <f t="shared" si="105"/>
        <v>25521.078358723258</v>
      </c>
      <c r="Z1088" s="35">
        <f t="shared" si="106"/>
        <v>0</v>
      </c>
      <c r="AA1088" s="35">
        <f t="shared" si="107"/>
        <v>1</v>
      </c>
      <c r="AB1088" s="35">
        <f t="shared" si="108"/>
        <v>0</v>
      </c>
    </row>
    <row r="1089" spans="1:28">
      <c r="A1089" s="35">
        <v>1078</v>
      </c>
      <c r="B1089" s="35">
        <v>3.4413021934657611E-4</v>
      </c>
      <c r="C1089" s="232">
        <v>47.34</v>
      </c>
      <c r="D1089" s="35">
        <v>5.0539425481997</v>
      </c>
      <c r="E1089" s="232">
        <v>31.4</v>
      </c>
      <c r="F1089" s="35">
        <v>5.0473070814778787</v>
      </c>
      <c r="G1089" s="232">
        <v>9592.69</v>
      </c>
      <c r="H1089" s="35">
        <v>8.1680682427709872</v>
      </c>
      <c r="I1089" s="232">
        <v>9746.1200000000008</v>
      </c>
      <c r="J1089" s="35">
        <v>7.1045454780955852</v>
      </c>
      <c r="K1089" s="232">
        <v>15484.62</v>
      </c>
      <c r="L1089" s="35">
        <v>8.2390687634263493</v>
      </c>
      <c r="M1089" s="232">
        <v>41426.22</v>
      </c>
      <c r="N1089" s="35">
        <v>7.1402764504359606</v>
      </c>
      <c r="P1089" s="232">
        <v>-15.95</v>
      </c>
      <c r="Q1089" s="35">
        <v>6.6354667218213592E-3</v>
      </c>
      <c r="R1089" s="232">
        <v>153.43</v>
      </c>
      <c r="S1089" s="35">
        <v>1.063522764675402</v>
      </c>
      <c r="T1089" s="232">
        <v>25941.599999999999</v>
      </c>
      <c r="U1089" s="35">
        <v>1.0987923129903887</v>
      </c>
      <c r="W1089" s="35">
        <f t="shared" si="103"/>
        <v>347.72333609106795</v>
      </c>
      <c r="X1089" s="35">
        <f t="shared" si="104"/>
        <v>53022.708233770099</v>
      </c>
      <c r="Y1089" s="35">
        <f t="shared" si="105"/>
        <v>28998.015649519439</v>
      </c>
      <c r="Z1089" s="35">
        <f t="shared" si="106"/>
        <v>0</v>
      </c>
      <c r="AA1089" s="35">
        <f t="shared" si="107"/>
        <v>1</v>
      </c>
      <c r="AB1089" s="35">
        <f t="shared" si="108"/>
        <v>0</v>
      </c>
    </row>
    <row r="1090" spans="1:28">
      <c r="A1090" s="35">
        <v>1079</v>
      </c>
      <c r="B1090" s="35">
        <v>5.0767695713771488E-4</v>
      </c>
      <c r="C1090" s="232">
        <v>74.52</v>
      </c>
      <c r="D1090" s="35">
        <v>5.0662330041646673</v>
      </c>
      <c r="E1090" s="232">
        <v>45.72</v>
      </c>
      <c r="F1090" s="35">
        <v>5.0538998647787059</v>
      </c>
      <c r="G1090" s="232">
        <v>11422.81</v>
      </c>
      <c r="H1090" s="35">
        <v>9.3261188502982435</v>
      </c>
      <c r="I1090" s="232">
        <v>13733.29</v>
      </c>
      <c r="J1090" s="35">
        <v>9.4000842535618148</v>
      </c>
      <c r="K1090" s="232">
        <v>14848.21</v>
      </c>
      <c r="L1090" s="35">
        <v>8.5005410116454616</v>
      </c>
      <c r="M1090" s="232">
        <v>40950.6</v>
      </c>
      <c r="N1090" s="35">
        <v>7.4238865663426532</v>
      </c>
      <c r="P1090" s="232">
        <v>-28.8</v>
      </c>
      <c r="Q1090" s="35">
        <v>1.2333139385961367E-2</v>
      </c>
      <c r="R1090" s="232">
        <v>2310.48</v>
      </c>
      <c r="S1090" s="35">
        <v>-7.3965403263571261E-2</v>
      </c>
      <c r="T1090" s="232">
        <v>26102.39</v>
      </c>
      <c r="U1090" s="35">
        <v>1.0766544453028084</v>
      </c>
      <c r="W1090" s="35">
        <f t="shared" si="103"/>
        <v>645.45696929806832</v>
      </c>
      <c r="X1090" s="35">
        <f t="shared" si="104"/>
        <v>-6008.7501631785635</v>
      </c>
      <c r="Y1090" s="35">
        <f t="shared" si="105"/>
        <v>27730.332265140423</v>
      </c>
      <c r="Z1090" s="35">
        <f t="shared" si="106"/>
        <v>0</v>
      </c>
      <c r="AA1090" s="35">
        <f t="shared" si="107"/>
        <v>0</v>
      </c>
      <c r="AB1090" s="35">
        <f t="shared" si="108"/>
        <v>1</v>
      </c>
    </row>
    <row r="1091" spans="1:28">
      <c r="A1091" s="35">
        <v>1080</v>
      </c>
      <c r="B1091" s="35">
        <v>4.145918732624925E-4</v>
      </c>
      <c r="C1091" s="232">
        <v>66.7</v>
      </c>
      <c r="D1091" s="35">
        <v>5.0605393795739815</v>
      </c>
      <c r="E1091" s="232">
        <v>40.01</v>
      </c>
      <c r="F1091" s="35">
        <v>5.0502463248670049</v>
      </c>
      <c r="G1091" s="232">
        <v>12597.84</v>
      </c>
      <c r="H1091" s="35">
        <v>8.9021531210300431</v>
      </c>
      <c r="I1091" s="232">
        <v>13593.13</v>
      </c>
      <c r="J1091" s="35">
        <v>7.6350292885173179</v>
      </c>
      <c r="K1091" s="232">
        <v>16163.02</v>
      </c>
      <c r="L1091" s="35">
        <v>8.9593295401993309</v>
      </c>
      <c r="M1091" s="232">
        <v>42528.51</v>
      </c>
      <c r="N1091" s="35">
        <v>7.8450702096434739</v>
      </c>
      <c r="P1091" s="232">
        <v>-26.69</v>
      </c>
      <c r="Q1091" s="35">
        <v>1.0293054706976612E-2</v>
      </c>
      <c r="R1091" s="232">
        <v>995.3</v>
      </c>
      <c r="S1091" s="35">
        <v>1.2671238325127252</v>
      </c>
      <c r="T1091" s="232">
        <v>26365.49</v>
      </c>
      <c r="U1091" s="35">
        <v>1.114259330555857</v>
      </c>
      <c r="W1091" s="35">
        <f t="shared" si="103"/>
        <v>541.34273534883062</v>
      </c>
      <c r="X1091" s="35">
        <f t="shared" si="104"/>
        <v>62360.891625636257</v>
      </c>
      <c r="Y1091" s="35">
        <f t="shared" si="105"/>
        <v>29347.476527792849</v>
      </c>
      <c r="Z1091" s="35">
        <f t="shared" si="106"/>
        <v>0</v>
      </c>
      <c r="AA1091" s="35">
        <f t="shared" si="107"/>
        <v>1</v>
      </c>
      <c r="AB1091" s="35">
        <f t="shared" si="108"/>
        <v>0</v>
      </c>
    </row>
    <row r="1092" spans="1:28">
      <c r="A1092" s="35">
        <v>1081</v>
      </c>
      <c r="B1092" s="35">
        <v>4.259665618848498E-4</v>
      </c>
      <c r="C1092" s="232">
        <v>93.2</v>
      </c>
      <c r="D1092" s="35">
        <v>5.0622039373790395</v>
      </c>
      <c r="E1092" s="232">
        <v>50.04</v>
      </c>
      <c r="F1092" s="35">
        <v>5.0500028137497708</v>
      </c>
      <c r="G1092" s="232">
        <v>16893.79</v>
      </c>
      <c r="H1092" s="35">
        <v>9.418318203908127</v>
      </c>
      <c r="I1092" s="232">
        <v>17640.2</v>
      </c>
      <c r="J1092" s="35">
        <v>8.6920513206595125</v>
      </c>
      <c r="K1092" s="232">
        <v>23686.09</v>
      </c>
      <c r="L1092" s="35">
        <v>8.8507652819245966</v>
      </c>
      <c r="M1092" s="232">
        <v>50322.43</v>
      </c>
      <c r="N1092" s="35">
        <v>7.7874749593047587</v>
      </c>
      <c r="P1092" s="232">
        <v>-43.16</v>
      </c>
      <c r="Q1092" s="35">
        <v>1.2201123629268729E-2</v>
      </c>
      <c r="R1092" s="232">
        <v>746.41</v>
      </c>
      <c r="S1092" s="35">
        <v>0.72626688324861455</v>
      </c>
      <c r="T1092" s="232">
        <v>26636.34</v>
      </c>
      <c r="U1092" s="35">
        <v>1.0632903226198378</v>
      </c>
      <c r="W1092" s="35">
        <f t="shared" si="103"/>
        <v>653.21618146343644</v>
      </c>
      <c r="X1092" s="35">
        <f t="shared" si="104"/>
        <v>35566.934162430727</v>
      </c>
      <c r="Y1092" s="35">
        <f t="shared" si="105"/>
        <v>26528.176130991891</v>
      </c>
      <c r="Z1092" s="35">
        <f t="shared" si="106"/>
        <v>0</v>
      </c>
      <c r="AA1092" s="35">
        <f t="shared" si="107"/>
        <v>1</v>
      </c>
      <c r="AB1092" s="35">
        <f t="shared" si="108"/>
        <v>0</v>
      </c>
    </row>
    <row r="1093" spans="1:28">
      <c r="A1093" s="35">
        <v>1082</v>
      </c>
      <c r="B1093" s="35">
        <v>2.7716379255760492E-4</v>
      </c>
      <c r="C1093" s="232">
        <v>49.99</v>
      </c>
      <c r="D1093" s="35">
        <v>5.0534410062091348</v>
      </c>
      <c r="E1093" s="232">
        <v>31.83</v>
      </c>
      <c r="F1093" s="35">
        <v>5.0466651383311811</v>
      </c>
      <c r="G1093" s="232">
        <v>15254.64</v>
      </c>
      <c r="H1093" s="35">
        <v>9.2523083540668853</v>
      </c>
      <c r="I1093" s="232">
        <v>17241.54</v>
      </c>
      <c r="J1093" s="35">
        <v>8.1650804693333932</v>
      </c>
      <c r="K1093" s="232">
        <v>17028.91</v>
      </c>
      <c r="L1093" s="35">
        <v>8.7263682995689216</v>
      </c>
      <c r="M1093" s="232">
        <v>43337.46</v>
      </c>
      <c r="N1093" s="35">
        <v>7.559032371588799</v>
      </c>
      <c r="P1093" s="232">
        <v>-18.170000000000002</v>
      </c>
      <c r="Q1093" s="35">
        <v>6.7758678779537007E-3</v>
      </c>
      <c r="R1093" s="232">
        <v>1986.91</v>
      </c>
      <c r="S1093" s="35">
        <v>1.0872278847334922</v>
      </c>
      <c r="T1093" s="232">
        <v>26308.55</v>
      </c>
      <c r="U1093" s="35">
        <v>1.1673359279801225</v>
      </c>
      <c r="W1093" s="35">
        <f t="shared" si="103"/>
        <v>356.96339389768508</v>
      </c>
      <c r="X1093" s="35">
        <f t="shared" si="104"/>
        <v>52374.484236674609</v>
      </c>
      <c r="Y1093" s="35">
        <f t="shared" si="105"/>
        <v>32058.246399006126</v>
      </c>
      <c r="Z1093" s="35">
        <f t="shared" si="106"/>
        <v>0</v>
      </c>
      <c r="AA1093" s="35">
        <f t="shared" si="107"/>
        <v>1</v>
      </c>
      <c r="AB1093" s="35">
        <f t="shared" si="108"/>
        <v>0</v>
      </c>
    </row>
    <row r="1094" spans="1:28">
      <c r="A1094" s="35">
        <v>1083</v>
      </c>
      <c r="B1094" s="35">
        <v>3.7816806421669388E-4</v>
      </c>
      <c r="C1094" s="232">
        <v>60.29</v>
      </c>
      <c r="D1094" s="35">
        <v>5.0562835975054581</v>
      </c>
      <c r="E1094" s="232">
        <v>34.29</v>
      </c>
      <c r="F1094" s="35">
        <v>5.0472472700933793</v>
      </c>
      <c r="G1094" s="232">
        <v>12197.81</v>
      </c>
      <c r="H1094" s="35">
        <v>8.2496655382206239</v>
      </c>
      <c r="I1094" s="232">
        <v>13833.09</v>
      </c>
      <c r="J1094" s="35">
        <v>7.7061709216742429</v>
      </c>
      <c r="K1094" s="232">
        <v>15917.01</v>
      </c>
      <c r="L1094" s="35">
        <v>8.62031836282695</v>
      </c>
      <c r="M1094" s="232">
        <v>42132.22</v>
      </c>
      <c r="N1094" s="35">
        <v>7.5251299065725181</v>
      </c>
      <c r="P1094" s="232">
        <v>-26.01</v>
      </c>
      <c r="Q1094" s="35">
        <v>9.0363274120788262E-3</v>
      </c>
      <c r="R1094" s="232">
        <v>1635.28</v>
      </c>
      <c r="S1094" s="35">
        <v>0.54349461654638098</v>
      </c>
      <c r="T1094" s="232">
        <v>26215.21</v>
      </c>
      <c r="U1094" s="35">
        <v>1.0951884562544318</v>
      </c>
      <c r="W1094" s="35">
        <f t="shared" si="103"/>
        <v>477.82637060394131</v>
      </c>
      <c r="X1094" s="35">
        <f t="shared" si="104"/>
        <v>25539.450827319051</v>
      </c>
      <c r="Y1094" s="35">
        <f t="shared" si="105"/>
        <v>28544.212812721591</v>
      </c>
      <c r="Z1094" s="35">
        <f t="shared" si="106"/>
        <v>0</v>
      </c>
      <c r="AA1094" s="35">
        <f t="shared" si="107"/>
        <v>0</v>
      </c>
      <c r="AB1094" s="35">
        <f t="shared" si="108"/>
        <v>1</v>
      </c>
    </row>
    <row r="1095" spans="1:28">
      <c r="A1095" s="35">
        <v>1084</v>
      </c>
      <c r="B1095" s="35">
        <v>4.272847705767394E-4</v>
      </c>
      <c r="C1095" s="232">
        <v>42.25</v>
      </c>
      <c r="D1095" s="35">
        <v>5.0594157738593397</v>
      </c>
      <c r="E1095" s="232">
        <v>24.9</v>
      </c>
      <c r="F1095" s="35">
        <v>5.0487272056999224</v>
      </c>
      <c r="G1095" s="232">
        <v>7449.43</v>
      </c>
      <c r="H1095" s="35">
        <v>8.5010970286781919</v>
      </c>
      <c r="I1095" s="232">
        <v>8966.14</v>
      </c>
      <c r="J1095" s="35">
        <v>7.3024180146269737</v>
      </c>
      <c r="K1095" s="232">
        <v>8232.52</v>
      </c>
      <c r="L1095" s="35">
        <v>8.6925784400715482</v>
      </c>
      <c r="M1095" s="232">
        <v>33935.81</v>
      </c>
      <c r="N1095" s="35">
        <v>7.6153040902089861</v>
      </c>
      <c r="P1095" s="232">
        <v>-17.350000000000001</v>
      </c>
      <c r="Q1095" s="35">
        <v>1.0688568159417322E-2</v>
      </c>
      <c r="R1095" s="232">
        <v>1516.71</v>
      </c>
      <c r="S1095" s="35">
        <v>1.1986790140512182</v>
      </c>
      <c r="T1095" s="232">
        <v>25703.29</v>
      </c>
      <c r="U1095" s="35">
        <v>1.0772743498625621</v>
      </c>
      <c r="W1095" s="35">
        <f t="shared" si="103"/>
        <v>551.77840797086617</v>
      </c>
      <c r="X1095" s="35">
        <f t="shared" si="104"/>
        <v>58417.240702560914</v>
      </c>
      <c r="Y1095" s="35">
        <f t="shared" si="105"/>
        <v>28160.427493128103</v>
      </c>
      <c r="Z1095" s="35">
        <f t="shared" si="106"/>
        <v>0</v>
      </c>
      <c r="AA1095" s="35">
        <f t="shared" si="107"/>
        <v>1</v>
      </c>
      <c r="AB1095" s="35">
        <f t="shared" si="108"/>
        <v>0</v>
      </c>
    </row>
    <row r="1096" spans="1:28">
      <c r="A1096" s="35">
        <v>1085</v>
      </c>
      <c r="B1096" s="35">
        <v>4.6711240022845324E-4</v>
      </c>
      <c r="C1096" s="232">
        <v>71.930000000000007</v>
      </c>
      <c r="D1096" s="35">
        <v>5.0620518946311401</v>
      </c>
      <c r="E1096" s="232">
        <v>46.87</v>
      </c>
      <c r="F1096" s="35">
        <v>5.0524157517969446</v>
      </c>
      <c r="G1096" s="232">
        <v>12158.65</v>
      </c>
      <c r="H1096" s="35">
        <v>8.7848539353779209</v>
      </c>
      <c r="I1096" s="232">
        <v>12353.55</v>
      </c>
      <c r="J1096" s="35">
        <v>6.7290205233813563</v>
      </c>
      <c r="K1096" s="232">
        <v>15243.8</v>
      </c>
      <c r="L1096" s="35">
        <v>8.4101349857737464</v>
      </c>
      <c r="M1096" s="232">
        <v>41369.53</v>
      </c>
      <c r="N1096" s="35">
        <v>7.2922697314887568</v>
      </c>
      <c r="P1096" s="232">
        <v>-25.06</v>
      </c>
      <c r="Q1096" s="35">
        <v>9.6361428341955602E-3</v>
      </c>
      <c r="R1096" s="232">
        <v>194.9</v>
      </c>
      <c r="S1096" s="35">
        <v>2.0558334119965647</v>
      </c>
      <c r="T1096" s="232">
        <v>26125.73</v>
      </c>
      <c r="U1096" s="35">
        <v>1.1178652542849896</v>
      </c>
      <c r="W1096" s="35">
        <f t="shared" si="103"/>
        <v>506.86714170977802</v>
      </c>
      <c r="X1096" s="35">
        <f t="shared" si="104"/>
        <v>102596.77059982823</v>
      </c>
      <c r="Y1096" s="35">
        <f t="shared" si="105"/>
        <v>29767.532714249483</v>
      </c>
      <c r="Z1096" s="35">
        <f t="shared" si="106"/>
        <v>0</v>
      </c>
      <c r="AA1096" s="35">
        <f t="shared" si="107"/>
        <v>1</v>
      </c>
      <c r="AB1096" s="35">
        <f t="shared" si="108"/>
        <v>0</v>
      </c>
    </row>
    <row r="1097" spans="1:28">
      <c r="A1097" s="35">
        <v>1086</v>
      </c>
      <c r="B1097" s="35">
        <v>4.7177839637835284E-4</v>
      </c>
      <c r="C1097" s="232">
        <v>76.239999999999995</v>
      </c>
      <c r="D1097" s="35">
        <v>5.0632348043624766</v>
      </c>
      <c r="E1097" s="232">
        <v>45.88</v>
      </c>
      <c r="F1097" s="35">
        <v>5.0519390581094168</v>
      </c>
      <c r="G1097" s="232">
        <v>12251.74</v>
      </c>
      <c r="H1097" s="35">
        <v>8.7053241468981746</v>
      </c>
      <c r="I1097" s="232">
        <v>12735.41</v>
      </c>
      <c r="J1097" s="35">
        <v>7.3440071901912178</v>
      </c>
      <c r="K1097" s="232">
        <v>16991.95</v>
      </c>
      <c r="L1097" s="35">
        <v>9.0637930153362198</v>
      </c>
      <c r="M1097" s="232">
        <v>43127.14</v>
      </c>
      <c r="N1097" s="35">
        <v>7.9426004231139462</v>
      </c>
      <c r="P1097" s="232">
        <v>-30.35</v>
      </c>
      <c r="Q1097" s="35">
        <v>1.1295746253059846E-2</v>
      </c>
      <c r="R1097" s="232">
        <v>483.68</v>
      </c>
      <c r="S1097" s="35">
        <v>1.3613169567069567</v>
      </c>
      <c r="T1097" s="232">
        <v>26135.19</v>
      </c>
      <c r="U1097" s="35">
        <v>1.1211925922222736</v>
      </c>
      <c r="W1097" s="35">
        <f t="shared" si="103"/>
        <v>595.13731265299236</v>
      </c>
      <c r="X1097" s="35">
        <f t="shared" si="104"/>
        <v>67582.167835347849</v>
      </c>
      <c r="Y1097" s="35">
        <f t="shared" si="105"/>
        <v>29924.439611113685</v>
      </c>
      <c r="Z1097" s="35">
        <f t="shared" si="106"/>
        <v>0</v>
      </c>
      <c r="AA1097" s="35">
        <f t="shared" si="107"/>
        <v>1</v>
      </c>
      <c r="AB1097" s="35">
        <f t="shared" si="108"/>
        <v>0</v>
      </c>
    </row>
    <row r="1098" spans="1:28">
      <c r="A1098" s="35">
        <v>1087</v>
      </c>
      <c r="B1098" s="35">
        <v>5.8863613807225157E-4</v>
      </c>
      <c r="C1098" s="232">
        <v>102.47</v>
      </c>
      <c r="D1098" s="35">
        <v>5.0705673925801475</v>
      </c>
      <c r="E1098" s="232">
        <v>55.3</v>
      </c>
      <c r="F1098" s="35">
        <v>5.0543706611676651</v>
      </c>
      <c r="G1098" s="232">
        <v>13681.44</v>
      </c>
      <c r="H1098" s="35">
        <v>9.2641234808453028</v>
      </c>
      <c r="I1098" s="232">
        <v>14665.22</v>
      </c>
      <c r="J1098" s="35">
        <v>8.4344120426309388</v>
      </c>
      <c r="K1098" s="232">
        <v>18826.36</v>
      </c>
      <c r="L1098" s="35">
        <v>8.6588132882175071</v>
      </c>
      <c r="M1098" s="232">
        <v>45225.03</v>
      </c>
      <c r="N1098" s="35">
        <v>7.5410196642358374</v>
      </c>
      <c r="P1098" s="232">
        <v>-47.17</v>
      </c>
      <c r="Q1098" s="35">
        <v>1.6196731412482457E-2</v>
      </c>
      <c r="R1098" s="232">
        <v>983.78</v>
      </c>
      <c r="S1098" s="35">
        <v>0.82971143821436399</v>
      </c>
      <c r="T1098" s="232">
        <v>26398.67</v>
      </c>
      <c r="U1098" s="35">
        <v>1.1177936239816697</v>
      </c>
      <c r="W1098" s="35">
        <f t="shared" si="103"/>
        <v>857.00657062412279</v>
      </c>
      <c r="X1098" s="35">
        <f t="shared" si="104"/>
        <v>40501.791910718202</v>
      </c>
      <c r="Y1098" s="35">
        <f t="shared" si="105"/>
        <v>29491.011199083485</v>
      </c>
      <c r="Z1098" s="35">
        <f t="shared" si="106"/>
        <v>0</v>
      </c>
      <c r="AA1098" s="35">
        <f t="shared" si="107"/>
        <v>1</v>
      </c>
      <c r="AB1098" s="35">
        <f t="shared" si="108"/>
        <v>0</v>
      </c>
    </row>
    <row r="1099" spans="1:28">
      <c r="A1099" s="35">
        <v>1088</v>
      </c>
      <c r="B1099" s="35">
        <v>5.2558203049579699E-4</v>
      </c>
      <c r="C1099" s="232">
        <v>87.25</v>
      </c>
      <c r="D1099" s="35">
        <v>5.0660711489108285</v>
      </c>
      <c r="E1099" s="232">
        <v>45.97</v>
      </c>
      <c r="F1099" s="35">
        <v>5.0515692978888334</v>
      </c>
      <c r="G1099" s="232">
        <v>12723.85</v>
      </c>
      <c r="H1099" s="35">
        <v>8.9615466007547848</v>
      </c>
      <c r="I1099" s="232">
        <v>12448.64</v>
      </c>
      <c r="J1099" s="35">
        <v>7.0245171656727985</v>
      </c>
      <c r="K1099" s="232">
        <v>15968.13</v>
      </c>
      <c r="L1099" s="35">
        <v>8.8491064790996354</v>
      </c>
      <c r="M1099" s="232">
        <v>42147.31</v>
      </c>
      <c r="N1099" s="35">
        <v>7.8109849475202182</v>
      </c>
      <c r="P1099" s="232">
        <v>-41.28</v>
      </c>
      <c r="Q1099" s="35">
        <v>1.4501851021995193E-2</v>
      </c>
      <c r="R1099" s="232">
        <v>-275.20999999999998</v>
      </c>
      <c r="S1099" s="35">
        <v>1.9370294350819863</v>
      </c>
      <c r="T1099" s="232">
        <v>26179.18</v>
      </c>
      <c r="U1099" s="35">
        <v>1.0381215315794172</v>
      </c>
      <c r="W1099" s="35">
        <f t="shared" si="103"/>
        <v>766.37255109975968</v>
      </c>
      <c r="X1099" s="35">
        <f t="shared" si="104"/>
        <v>97126.681754099322</v>
      </c>
      <c r="Y1099" s="35">
        <f t="shared" si="105"/>
        <v>25726.89657897086</v>
      </c>
      <c r="Z1099" s="35">
        <f t="shared" si="106"/>
        <v>0</v>
      </c>
      <c r="AA1099" s="35">
        <f t="shared" si="107"/>
        <v>1</v>
      </c>
      <c r="AB1099" s="35">
        <f t="shared" si="108"/>
        <v>0</v>
      </c>
    </row>
    <row r="1100" spans="1:28">
      <c r="A1100" s="35">
        <v>1089</v>
      </c>
      <c r="B1100" s="35">
        <v>5.4703645969722547E-4</v>
      </c>
      <c r="C1100" s="232">
        <v>67.84</v>
      </c>
      <c r="D1100" s="35">
        <v>5.0637162411813499</v>
      </c>
      <c r="E1100" s="232">
        <v>48.6</v>
      </c>
      <c r="F1100" s="35">
        <v>5.055009067891306</v>
      </c>
      <c r="G1100" s="232">
        <v>9480.89</v>
      </c>
      <c r="H1100" s="35">
        <v>8.1728444208369879</v>
      </c>
      <c r="I1100" s="232">
        <v>11468.78</v>
      </c>
      <c r="J1100" s="35">
        <v>7.6226127930747545</v>
      </c>
      <c r="K1100" s="232">
        <v>9541.56</v>
      </c>
      <c r="L1100" s="35">
        <v>8.2328863506355372</v>
      </c>
      <c r="M1100" s="232">
        <v>35319.46</v>
      </c>
      <c r="N1100" s="35">
        <v>7.0620298712362981</v>
      </c>
      <c r="P1100" s="232">
        <v>-19.23</v>
      </c>
      <c r="Q1100" s="35">
        <v>8.7071732900438903E-3</v>
      </c>
      <c r="R1100" s="232">
        <v>1987.89</v>
      </c>
      <c r="S1100" s="35">
        <v>0.55023162776223344</v>
      </c>
      <c r="T1100" s="232">
        <v>25777.91</v>
      </c>
      <c r="U1100" s="35">
        <v>1.1708564793992391</v>
      </c>
      <c r="W1100" s="35">
        <f t="shared" ref="W1100:W1163" si="109">$X$2*Q1100-P1100</f>
        <v>454.58866450219455</v>
      </c>
      <c r="X1100" s="35">
        <f t="shared" ref="X1100:X1163" si="110">$X$2*S1100-R1100</f>
        <v>25523.691388111674</v>
      </c>
      <c r="Y1100" s="35">
        <f t="shared" ref="Y1100:Y1163" si="111">$X$2*U1100-T1100</f>
        <v>32764.913969961952</v>
      </c>
      <c r="Z1100" s="35">
        <f t="shared" ref="Z1100:Z1163" si="112">IF(W1100=MAX($W1100:$Y1100), 1, 0)</f>
        <v>0</v>
      </c>
      <c r="AA1100" s="35">
        <f t="shared" ref="AA1100:AA1163" si="113">IF(X1100=MAX($W1100:$Y1100), 1, 0)</f>
        <v>0</v>
      </c>
      <c r="AB1100" s="35">
        <f t="shared" ref="AB1100:AB1163" si="114">IF(Y1100=MAX($W1100:$Y1100), 1, 0)</f>
        <v>1</v>
      </c>
    </row>
    <row r="1101" spans="1:28">
      <c r="A1101" s="35">
        <v>1090</v>
      </c>
      <c r="B1101" s="35">
        <v>4.9279066711316322E-4</v>
      </c>
      <c r="C1101" s="232">
        <v>57.51</v>
      </c>
      <c r="D1101" s="35">
        <v>5.0646676612436714</v>
      </c>
      <c r="E1101" s="232">
        <v>31.8</v>
      </c>
      <c r="F1101" s="35">
        <v>5.0510074600727357</v>
      </c>
      <c r="G1101" s="232">
        <v>9414.82</v>
      </c>
      <c r="H1101" s="35">
        <v>9.1534548378721574</v>
      </c>
      <c r="I1101" s="232">
        <v>10365.040000000001</v>
      </c>
      <c r="J1101" s="35">
        <v>6.952819559165528</v>
      </c>
      <c r="K1101" s="232">
        <v>10876.17</v>
      </c>
      <c r="L1101" s="35">
        <v>8.5523630513902553</v>
      </c>
      <c r="M1101" s="232">
        <v>36758.480000000003</v>
      </c>
      <c r="N1101" s="35">
        <v>7.3783063944030207</v>
      </c>
      <c r="P1101" s="232">
        <v>-25.71</v>
      </c>
      <c r="Q1101" s="35">
        <v>1.3660201170935693E-2</v>
      </c>
      <c r="R1101" s="232">
        <v>950.21</v>
      </c>
      <c r="S1101" s="35">
        <v>2.2006352787066294</v>
      </c>
      <c r="T1101" s="232">
        <v>25882.31</v>
      </c>
      <c r="U1101" s="35">
        <v>1.1740566569872346</v>
      </c>
      <c r="W1101" s="35">
        <f t="shared" si="109"/>
        <v>708.72005854678468</v>
      </c>
      <c r="X1101" s="35">
        <f t="shared" si="110"/>
        <v>109081.55393533147</v>
      </c>
      <c r="Y1101" s="35">
        <f t="shared" si="111"/>
        <v>32820.522849361732</v>
      </c>
      <c r="Z1101" s="35">
        <f t="shared" si="112"/>
        <v>0</v>
      </c>
      <c r="AA1101" s="35">
        <f t="shared" si="113"/>
        <v>1</v>
      </c>
      <c r="AB1101" s="35">
        <f t="shared" si="114"/>
        <v>0</v>
      </c>
    </row>
    <row r="1102" spans="1:28">
      <c r="A1102" s="35">
        <v>1091</v>
      </c>
      <c r="B1102" s="35">
        <v>3.4720696618089394E-4</v>
      </c>
      <c r="C1102" s="232">
        <v>59.88</v>
      </c>
      <c r="D1102" s="35">
        <v>5.0558942445328423</v>
      </c>
      <c r="E1102" s="232">
        <v>40.36</v>
      </c>
      <c r="F1102" s="35">
        <v>5.0489359890079317</v>
      </c>
      <c r="G1102" s="232">
        <v>13306.36</v>
      </c>
      <c r="H1102" s="35">
        <v>8.7497982731229325</v>
      </c>
      <c r="I1102" s="232">
        <v>14597.69</v>
      </c>
      <c r="J1102" s="35">
        <v>8.087909391713767</v>
      </c>
      <c r="K1102" s="232">
        <v>18255.400000000001</v>
      </c>
      <c r="L1102" s="35">
        <v>8.4294760135381388</v>
      </c>
      <c r="M1102" s="232">
        <v>44512.69</v>
      </c>
      <c r="N1102" s="35">
        <v>7.3064184242740744</v>
      </c>
      <c r="P1102" s="232">
        <v>-19.52</v>
      </c>
      <c r="Q1102" s="35">
        <v>6.9582555249105837E-3</v>
      </c>
      <c r="R1102" s="232">
        <v>1291.33</v>
      </c>
      <c r="S1102" s="35">
        <v>0.66188888140916546</v>
      </c>
      <c r="T1102" s="232">
        <v>26257.3</v>
      </c>
      <c r="U1102" s="35">
        <v>1.1230575892640644</v>
      </c>
      <c r="W1102" s="35">
        <f t="shared" si="109"/>
        <v>367.43277624552917</v>
      </c>
      <c r="X1102" s="35">
        <f t="shared" si="110"/>
        <v>31803.114070458272</v>
      </c>
      <c r="Y1102" s="35">
        <f t="shared" si="111"/>
        <v>29895.579463203223</v>
      </c>
      <c r="Z1102" s="35">
        <f t="shared" si="112"/>
        <v>0</v>
      </c>
      <c r="AA1102" s="35">
        <f t="shared" si="113"/>
        <v>1</v>
      </c>
      <c r="AB1102" s="35">
        <f t="shared" si="114"/>
        <v>0</v>
      </c>
    </row>
    <row r="1103" spans="1:28">
      <c r="A1103" s="35">
        <v>1092</v>
      </c>
      <c r="B1103" s="35">
        <v>4.974656037172176E-4</v>
      </c>
      <c r="C1103" s="232">
        <v>66.22</v>
      </c>
      <c r="D1103" s="35">
        <v>5.0640884808319324</v>
      </c>
      <c r="E1103" s="232">
        <v>39.14</v>
      </c>
      <c r="F1103" s="35">
        <v>5.0519375355117191</v>
      </c>
      <c r="G1103" s="232">
        <v>10325.450000000001</v>
      </c>
      <c r="H1103" s="35">
        <v>8.8178308242610353</v>
      </c>
      <c r="I1103" s="232">
        <v>11526.79</v>
      </c>
      <c r="J1103" s="35">
        <v>7.3719967105505235</v>
      </c>
      <c r="K1103" s="232">
        <v>11760.67</v>
      </c>
      <c r="L1103" s="35">
        <v>8.7315981110969254</v>
      </c>
      <c r="M1103" s="232">
        <v>37709.93</v>
      </c>
      <c r="N1103" s="35">
        <v>7.7071224123803903</v>
      </c>
      <c r="P1103" s="232">
        <v>-27.09</v>
      </c>
      <c r="Q1103" s="35">
        <v>1.2150945320213324E-2</v>
      </c>
      <c r="R1103" s="232">
        <v>1201.3399999999999</v>
      </c>
      <c r="S1103" s="35">
        <v>1.4458341137105117</v>
      </c>
      <c r="T1103" s="232">
        <v>25949.27</v>
      </c>
      <c r="U1103" s="35">
        <v>1.0244756987165351</v>
      </c>
      <c r="W1103" s="35">
        <f t="shared" si="109"/>
        <v>634.63726601066628</v>
      </c>
      <c r="X1103" s="35">
        <f t="shared" si="110"/>
        <v>71090.365685525583</v>
      </c>
      <c r="Y1103" s="35">
        <f t="shared" si="111"/>
        <v>25274.514935826755</v>
      </c>
      <c r="Z1103" s="35">
        <f t="shared" si="112"/>
        <v>0</v>
      </c>
      <c r="AA1103" s="35">
        <f t="shared" si="113"/>
        <v>1</v>
      </c>
      <c r="AB1103" s="35">
        <f t="shared" si="114"/>
        <v>0</v>
      </c>
    </row>
    <row r="1104" spans="1:28">
      <c r="A1104" s="35">
        <v>1093</v>
      </c>
      <c r="B1104" s="35">
        <v>5.5575058830736879E-4</v>
      </c>
      <c r="C1104" s="232">
        <v>93.23</v>
      </c>
      <c r="D1104" s="35">
        <v>5.0732775206453304</v>
      </c>
      <c r="E1104" s="232">
        <v>74.040000000000006</v>
      </c>
      <c r="F1104" s="35">
        <v>5.0646111048723421</v>
      </c>
      <c r="G1104" s="232">
        <v>12892.19</v>
      </c>
      <c r="H1104" s="35">
        <v>9.7228465249756884</v>
      </c>
      <c r="I1104" s="232">
        <v>14703.83</v>
      </c>
      <c r="J1104" s="35">
        <v>9.1388584403977315</v>
      </c>
      <c r="K1104" s="232">
        <v>14675.05</v>
      </c>
      <c r="L1104" s="35">
        <v>9.3243312541564869</v>
      </c>
      <c r="M1104" s="232">
        <v>40726.949999999997</v>
      </c>
      <c r="N1104" s="35">
        <v>8.2333263100222318</v>
      </c>
      <c r="P1104" s="232">
        <v>-19.190000000000001</v>
      </c>
      <c r="Q1104" s="35">
        <v>8.6664157729883229E-3</v>
      </c>
      <c r="R1104" s="232">
        <v>1811.64</v>
      </c>
      <c r="S1104" s="35">
        <v>0.58398808457795681</v>
      </c>
      <c r="T1104" s="232">
        <v>26051.9</v>
      </c>
      <c r="U1104" s="35">
        <v>1.0910049441342551</v>
      </c>
      <c r="W1104" s="35">
        <f t="shared" si="109"/>
        <v>452.51078864941616</v>
      </c>
      <c r="X1104" s="35">
        <f t="shared" si="110"/>
        <v>27387.764228897842</v>
      </c>
      <c r="Y1104" s="35">
        <f t="shared" si="111"/>
        <v>28498.347206712751</v>
      </c>
      <c r="Z1104" s="35">
        <f t="shared" si="112"/>
        <v>0</v>
      </c>
      <c r="AA1104" s="35">
        <f t="shared" si="113"/>
        <v>0</v>
      </c>
      <c r="AB1104" s="35">
        <f t="shared" si="114"/>
        <v>1</v>
      </c>
    </row>
    <row r="1105" spans="1:28">
      <c r="A1105" s="35">
        <v>1094</v>
      </c>
      <c r="B1105" s="35">
        <v>3.823483403911884E-4</v>
      </c>
      <c r="C1105" s="232">
        <v>63.44</v>
      </c>
      <c r="D1105" s="35">
        <v>5.0572652565284466</v>
      </c>
      <c r="E1105" s="232">
        <v>39.520000000000003</v>
      </c>
      <c r="F1105" s="35">
        <v>5.048854683155179</v>
      </c>
      <c r="G1105" s="232">
        <v>13275.63</v>
      </c>
      <c r="H1105" s="35">
        <v>8.5566458162102581</v>
      </c>
      <c r="I1105" s="232">
        <v>14727.77</v>
      </c>
      <c r="J1105" s="35">
        <v>7.5691325653903228</v>
      </c>
      <c r="K1105" s="232">
        <v>16196.34</v>
      </c>
      <c r="L1105" s="35">
        <v>8.5371032108017992</v>
      </c>
      <c r="M1105" s="232">
        <v>42351.56</v>
      </c>
      <c r="N1105" s="35">
        <v>7.3337221572693405</v>
      </c>
      <c r="P1105" s="232">
        <v>-23.92</v>
      </c>
      <c r="Q1105" s="35">
        <v>8.4105733732675603E-3</v>
      </c>
      <c r="R1105" s="232">
        <v>1452.14</v>
      </c>
      <c r="S1105" s="35">
        <v>0.98751325081993535</v>
      </c>
      <c r="T1105" s="232">
        <v>26155.23</v>
      </c>
      <c r="U1105" s="35">
        <v>1.2033810535324587</v>
      </c>
      <c r="W1105" s="35">
        <f t="shared" si="109"/>
        <v>444.44866866337804</v>
      </c>
      <c r="X1105" s="35">
        <f t="shared" si="110"/>
        <v>47923.522540996768</v>
      </c>
      <c r="Y1105" s="35">
        <f t="shared" si="111"/>
        <v>34013.822676622935</v>
      </c>
      <c r="Z1105" s="35">
        <f t="shared" si="112"/>
        <v>0</v>
      </c>
      <c r="AA1105" s="35">
        <f t="shared" si="113"/>
        <v>1</v>
      </c>
      <c r="AB1105" s="35">
        <f t="shared" si="114"/>
        <v>0</v>
      </c>
    </row>
    <row r="1106" spans="1:28">
      <c r="A1106" s="35">
        <v>1095</v>
      </c>
      <c r="B1106" s="35">
        <v>4.8222320423418896E-4</v>
      </c>
      <c r="C1106" s="232">
        <v>77.2</v>
      </c>
      <c r="D1106" s="35">
        <v>5.0602153896278113</v>
      </c>
      <c r="E1106" s="232">
        <v>40.98</v>
      </c>
      <c r="F1106" s="35">
        <v>5.0486964246322881</v>
      </c>
      <c r="G1106" s="232">
        <v>11042.84</v>
      </c>
      <c r="H1106" s="35">
        <v>7.8093436123784379</v>
      </c>
      <c r="I1106" s="232">
        <v>12278.77</v>
      </c>
      <c r="J1106" s="35">
        <v>7.3286512070022649</v>
      </c>
      <c r="K1106" s="232">
        <v>19809.34</v>
      </c>
      <c r="L1106" s="35">
        <v>8.9735781259400635</v>
      </c>
      <c r="M1106" s="232">
        <v>46018.53</v>
      </c>
      <c r="N1106" s="35">
        <v>7.9783974021976602</v>
      </c>
      <c r="P1106" s="232">
        <v>-36.22</v>
      </c>
      <c r="Q1106" s="35">
        <v>1.1518964995523184E-2</v>
      </c>
      <c r="R1106" s="232">
        <v>1235.94</v>
      </c>
      <c r="S1106" s="35">
        <v>0.48069240537617297</v>
      </c>
      <c r="T1106" s="232">
        <v>26209.19</v>
      </c>
      <c r="U1106" s="35">
        <v>0.99518072374240329</v>
      </c>
      <c r="W1106" s="35">
        <f t="shared" si="109"/>
        <v>612.1682497761592</v>
      </c>
      <c r="X1106" s="35">
        <f t="shared" si="110"/>
        <v>22798.68026880865</v>
      </c>
      <c r="Y1106" s="35">
        <f t="shared" si="111"/>
        <v>23549.846187120169</v>
      </c>
      <c r="Z1106" s="35">
        <f t="shared" si="112"/>
        <v>0</v>
      </c>
      <c r="AA1106" s="35">
        <f t="shared" si="113"/>
        <v>0</v>
      </c>
      <c r="AB1106" s="35">
        <f t="shared" si="114"/>
        <v>1</v>
      </c>
    </row>
    <row r="1107" spans="1:28">
      <c r="A1107" s="35">
        <v>1096</v>
      </c>
      <c r="B1107" s="35">
        <v>3.548191524128557E-4</v>
      </c>
      <c r="C1107" s="232">
        <v>52.47</v>
      </c>
      <c r="D1107" s="35">
        <v>5.0561218315191541</v>
      </c>
      <c r="E1107" s="232">
        <v>33.4</v>
      </c>
      <c r="F1107" s="35">
        <v>5.048236979157771</v>
      </c>
      <c r="G1107" s="232">
        <v>11372.91</v>
      </c>
      <c r="H1107" s="35">
        <v>8.6138207863498693</v>
      </c>
      <c r="I1107" s="232">
        <v>12141.85</v>
      </c>
      <c r="J1107" s="35">
        <v>7.0793035208938271</v>
      </c>
      <c r="K1107" s="232">
        <v>13906.87</v>
      </c>
      <c r="L1107" s="35">
        <v>8.6974677358945378</v>
      </c>
      <c r="M1107" s="232">
        <v>39978.5</v>
      </c>
      <c r="N1107" s="35">
        <v>7.6841970438889868</v>
      </c>
      <c r="P1107" s="232">
        <v>-19.07</v>
      </c>
      <c r="Q1107" s="35">
        <v>7.8848523613830324E-3</v>
      </c>
      <c r="R1107" s="232">
        <v>768.94</v>
      </c>
      <c r="S1107" s="35">
        <v>1.5345172654560422</v>
      </c>
      <c r="T1107" s="232">
        <v>26071.63</v>
      </c>
      <c r="U1107" s="35">
        <v>1.013270692005551</v>
      </c>
      <c r="W1107" s="35">
        <f t="shared" si="109"/>
        <v>413.3126180691516</v>
      </c>
      <c r="X1107" s="35">
        <f t="shared" si="110"/>
        <v>75956.923272802102</v>
      </c>
      <c r="Y1107" s="35">
        <f t="shared" si="111"/>
        <v>24591.904600277547</v>
      </c>
      <c r="Z1107" s="35">
        <f t="shared" si="112"/>
        <v>0</v>
      </c>
      <c r="AA1107" s="35">
        <f t="shared" si="113"/>
        <v>1</v>
      </c>
      <c r="AB1107" s="35">
        <f t="shared" si="114"/>
        <v>0</v>
      </c>
    </row>
    <row r="1108" spans="1:28">
      <c r="A1108" s="35">
        <v>1097</v>
      </c>
      <c r="B1108" s="35">
        <v>4.5873105093852118E-4</v>
      </c>
      <c r="C1108" s="232">
        <v>61.64</v>
      </c>
      <c r="D1108" s="35">
        <v>5.0598531440068975</v>
      </c>
      <c r="E1108" s="232">
        <v>36.67</v>
      </c>
      <c r="F1108" s="35">
        <v>5.0496636443921794</v>
      </c>
      <c r="G1108" s="232">
        <v>10170.36</v>
      </c>
      <c r="H1108" s="35">
        <v>8.3550664415298748</v>
      </c>
      <c r="I1108" s="232">
        <v>10061.81</v>
      </c>
      <c r="J1108" s="35">
        <v>6.3337516176417434</v>
      </c>
      <c r="K1108" s="232">
        <v>13460.07</v>
      </c>
      <c r="L1108" s="35">
        <v>8.2148561596889262</v>
      </c>
      <c r="M1108" s="232">
        <v>39564.199999999997</v>
      </c>
      <c r="N1108" s="35">
        <v>7.0838935245081665</v>
      </c>
      <c r="P1108" s="232">
        <v>-24.97</v>
      </c>
      <c r="Q1108" s="35">
        <v>1.0189499614718045E-2</v>
      </c>
      <c r="R1108" s="232">
        <v>-108.55</v>
      </c>
      <c r="S1108" s="35">
        <v>2.0213148238881313</v>
      </c>
      <c r="T1108" s="232">
        <v>26104.13</v>
      </c>
      <c r="U1108" s="35">
        <v>1.1309626351807598</v>
      </c>
      <c r="W1108" s="35">
        <f t="shared" si="109"/>
        <v>534.44498073590228</v>
      </c>
      <c r="X1108" s="35">
        <f t="shared" si="110"/>
        <v>101174.29119440657</v>
      </c>
      <c r="Y1108" s="35">
        <f t="shared" si="111"/>
        <v>30444.00175903799</v>
      </c>
      <c r="Z1108" s="35">
        <f t="shared" si="112"/>
        <v>0</v>
      </c>
      <c r="AA1108" s="35">
        <f t="shared" si="113"/>
        <v>1</v>
      </c>
      <c r="AB1108" s="35">
        <f t="shared" si="114"/>
        <v>0</v>
      </c>
    </row>
    <row r="1109" spans="1:28">
      <c r="A1109" s="35">
        <v>1098</v>
      </c>
      <c r="B1109" s="35">
        <v>4.3669130949030373E-4</v>
      </c>
      <c r="C1109" s="232">
        <v>58.44</v>
      </c>
      <c r="D1109" s="35">
        <v>5.0582974782467609</v>
      </c>
      <c r="E1109" s="232">
        <v>39.770000000000003</v>
      </c>
      <c r="F1109" s="35">
        <v>5.0505112947526518</v>
      </c>
      <c r="G1109" s="232">
        <v>10411.16</v>
      </c>
      <c r="H1109" s="35">
        <v>8.2057291615255981</v>
      </c>
      <c r="I1109" s="232">
        <v>11255.63</v>
      </c>
      <c r="J1109" s="35">
        <v>6.3804698458759015</v>
      </c>
      <c r="K1109" s="232">
        <v>12272.16</v>
      </c>
      <c r="L1109" s="35">
        <v>8.111910444112878</v>
      </c>
      <c r="M1109" s="232">
        <v>38091.94</v>
      </c>
      <c r="N1109" s="35">
        <v>7.0813528566783708</v>
      </c>
      <c r="P1109" s="232">
        <v>-18.670000000000002</v>
      </c>
      <c r="Q1109" s="35">
        <v>7.7861834941090891E-3</v>
      </c>
      <c r="R1109" s="232">
        <v>844.47</v>
      </c>
      <c r="S1109" s="35">
        <v>1.8252593156496966</v>
      </c>
      <c r="T1109" s="232">
        <v>25819.78</v>
      </c>
      <c r="U1109" s="35">
        <v>1.0305575874345072</v>
      </c>
      <c r="W1109" s="35">
        <f t="shared" si="109"/>
        <v>407.97917470545445</v>
      </c>
      <c r="X1109" s="35">
        <f t="shared" si="110"/>
        <v>90418.495782484824</v>
      </c>
      <c r="Y1109" s="35">
        <f t="shared" si="111"/>
        <v>25708.099371725359</v>
      </c>
      <c r="Z1109" s="35">
        <f t="shared" si="112"/>
        <v>0</v>
      </c>
      <c r="AA1109" s="35">
        <f t="shared" si="113"/>
        <v>1</v>
      </c>
      <c r="AB1109" s="35">
        <f t="shared" si="114"/>
        <v>0</v>
      </c>
    </row>
    <row r="1110" spans="1:28">
      <c r="A1110" s="35">
        <v>1099</v>
      </c>
      <c r="B1110" s="35">
        <v>4.667841618737345E-4</v>
      </c>
      <c r="C1110" s="232">
        <v>65</v>
      </c>
      <c r="D1110" s="35">
        <v>5.0627091996194453</v>
      </c>
      <c r="E1110" s="232">
        <v>40.22</v>
      </c>
      <c r="F1110" s="35">
        <v>5.051861496747966</v>
      </c>
      <c r="G1110" s="232">
        <v>10658.94</v>
      </c>
      <c r="H1110" s="35">
        <v>8.8143105277001865</v>
      </c>
      <c r="I1110" s="232">
        <v>11346.58</v>
      </c>
      <c r="J1110" s="35">
        <v>7.2951935266476298</v>
      </c>
      <c r="K1110" s="232">
        <v>13650.59</v>
      </c>
      <c r="L1110" s="35">
        <v>8.7585839533965633</v>
      </c>
      <c r="M1110" s="232">
        <v>39792.99</v>
      </c>
      <c r="N1110" s="35">
        <v>7.6041025044361561</v>
      </c>
      <c r="P1110" s="232">
        <v>-24.78</v>
      </c>
      <c r="Q1110" s="35">
        <v>1.0847702871479292E-2</v>
      </c>
      <c r="R1110" s="232">
        <v>687.64</v>
      </c>
      <c r="S1110" s="35">
        <v>1.5191170010525568</v>
      </c>
      <c r="T1110" s="232">
        <v>26142.400000000001</v>
      </c>
      <c r="U1110" s="35">
        <v>1.1544814489604072</v>
      </c>
      <c r="W1110" s="35">
        <f t="shared" si="109"/>
        <v>567.16514357396454</v>
      </c>
      <c r="X1110" s="35">
        <f t="shared" si="110"/>
        <v>75268.210052627837</v>
      </c>
      <c r="Y1110" s="35">
        <f t="shared" si="111"/>
        <v>31581.672448020356</v>
      </c>
      <c r="Z1110" s="35">
        <f t="shared" si="112"/>
        <v>0</v>
      </c>
      <c r="AA1110" s="35">
        <f t="shared" si="113"/>
        <v>1</v>
      </c>
      <c r="AB1110" s="35">
        <f t="shared" si="114"/>
        <v>0</v>
      </c>
    </row>
    <row r="1111" spans="1:28">
      <c r="A1111" s="35">
        <v>1100</v>
      </c>
      <c r="B1111" s="35">
        <v>4.7296270984065192E-4</v>
      </c>
      <c r="C1111" s="232">
        <v>53</v>
      </c>
      <c r="D1111" s="35">
        <v>5.0631604082879251</v>
      </c>
      <c r="E1111" s="232">
        <v>33.49</v>
      </c>
      <c r="F1111" s="35">
        <v>5.0521273465564001</v>
      </c>
      <c r="G1111" s="232">
        <v>9133.66</v>
      </c>
      <c r="H1111" s="35">
        <v>9.0533742635726178</v>
      </c>
      <c r="I1111" s="232">
        <v>11286.14</v>
      </c>
      <c r="J1111" s="35">
        <v>8.7922134948716035</v>
      </c>
      <c r="K1111" s="232">
        <v>9598.4</v>
      </c>
      <c r="L1111" s="35">
        <v>8.5393674052540565</v>
      </c>
      <c r="M1111" s="232">
        <v>35341.599999999999</v>
      </c>
      <c r="N1111" s="35">
        <v>7.5544817854179067</v>
      </c>
      <c r="P1111" s="232">
        <v>-19.5</v>
      </c>
      <c r="Q1111" s="35">
        <v>1.1033061731525073E-2</v>
      </c>
      <c r="R1111" s="232">
        <v>2152.48</v>
      </c>
      <c r="S1111" s="35">
        <v>0.26116076870101423</v>
      </c>
      <c r="T1111" s="232">
        <v>25743.19</v>
      </c>
      <c r="U1111" s="35">
        <v>0.98488561983614975</v>
      </c>
      <c r="W1111" s="35">
        <f t="shared" si="109"/>
        <v>571.15308657625371</v>
      </c>
      <c r="X1111" s="35">
        <f t="shared" si="110"/>
        <v>10905.558435050712</v>
      </c>
      <c r="Y1111" s="35">
        <f t="shared" si="111"/>
        <v>23501.090991807487</v>
      </c>
      <c r="Z1111" s="35">
        <f t="shared" si="112"/>
        <v>0</v>
      </c>
      <c r="AA1111" s="35">
        <f t="shared" si="113"/>
        <v>0</v>
      </c>
      <c r="AB1111" s="35">
        <f t="shared" si="114"/>
        <v>1</v>
      </c>
    </row>
    <row r="1112" spans="1:28">
      <c r="A1112" s="35">
        <v>1101</v>
      </c>
      <c r="B1112" s="35">
        <v>3.9606474194125275E-4</v>
      </c>
      <c r="C1112" s="232">
        <v>59.71</v>
      </c>
      <c r="D1112" s="35">
        <v>5.0569838875252549</v>
      </c>
      <c r="E1112" s="232">
        <v>39.89</v>
      </c>
      <c r="F1112" s="35">
        <v>5.0494892681542156</v>
      </c>
      <c r="G1112" s="232">
        <v>12214.35</v>
      </c>
      <c r="H1112" s="35">
        <v>8.2455528598823111</v>
      </c>
      <c r="I1112" s="232">
        <v>13593.19</v>
      </c>
      <c r="J1112" s="35">
        <v>6.6701641371344822</v>
      </c>
      <c r="K1112" s="232">
        <v>14472.91</v>
      </c>
      <c r="L1112" s="35">
        <v>8.4102797388771506</v>
      </c>
      <c r="M1112" s="232">
        <v>40571.040000000001</v>
      </c>
      <c r="N1112" s="35">
        <v>7.3039657821216268</v>
      </c>
      <c r="P1112" s="232">
        <v>-19.809999999999999</v>
      </c>
      <c r="Q1112" s="35">
        <v>7.494619371039235E-3</v>
      </c>
      <c r="R1112" s="232">
        <v>1378.84</v>
      </c>
      <c r="S1112" s="35">
        <v>1.5753887227478289</v>
      </c>
      <c r="T1112" s="232">
        <v>26098.13</v>
      </c>
      <c r="U1112" s="35">
        <v>1.1063139567555238</v>
      </c>
      <c r="W1112" s="35">
        <f t="shared" si="109"/>
        <v>394.54096855196173</v>
      </c>
      <c r="X1112" s="35">
        <f t="shared" si="110"/>
        <v>77390.596137391447</v>
      </c>
      <c r="Y1112" s="35">
        <f t="shared" si="111"/>
        <v>29217.567837776191</v>
      </c>
      <c r="Z1112" s="35">
        <f t="shared" si="112"/>
        <v>0</v>
      </c>
      <c r="AA1112" s="35">
        <f t="shared" si="113"/>
        <v>1</v>
      </c>
      <c r="AB1112" s="35">
        <f t="shared" si="114"/>
        <v>0</v>
      </c>
    </row>
    <row r="1113" spans="1:28">
      <c r="A1113" s="35">
        <v>1102</v>
      </c>
      <c r="B1113" s="35">
        <v>4.7564538798683387E-4</v>
      </c>
      <c r="C1113" s="232">
        <v>54.56</v>
      </c>
      <c r="D1113" s="35">
        <v>5.0624975874497773</v>
      </c>
      <c r="E1113" s="232">
        <v>33.42</v>
      </c>
      <c r="F1113" s="35">
        <v>5.0513255510289401</v>
      </c>
      <c r="G1113" s="232">
        <v>9931.33</v>
      </c>
      <c r="H1113" s="35">
        <v>8.7721817669729028</v>
      </c>
      <c r="I1113" s="232">
        <v>12505.08</v>
      </c>
      <c r="J1113" s="35">
        <v>7.6691359520855089</v>
      </c>
      <c r="K1113" s="232">
        <v>8755.98</v>
      </c>
      <c r="L1113" s="35">
        <v>8.4780734795090069</v>
      </c>
      <c r="M1113" s="232">
        <v>34546.800000000003</v>
      </c>
      <c r="N1113" s="35">
        <v>7.352312807383794</v>
      </c>
      <c r="P1113" s="232">
        <v>-21.14</v>
      </c>
      <c r="Q1113" s="35">
        <v>1.1172036420837195E-2</v>
      </c>
      <c r="R1113" s="232">
        <v>2573.75</v>
      </c>
      <c r="S1113" s="35">
        <v>1.1030458148873938</v>
      </c>
      <c r="T1113" s="232">
        <v>25790.82</v>
      </c>
      <c r="U1113" s="35">
        <v>1.1257606721252129</v>
      </c>
      <c r="W1113" s="35">
        <f t="shared" si="109"/>
        <v>579.74182104185968</v>
      </c>
      <c r="X1113" s="35">
        <f t="shared" si="110"/>
        <v>52578.540744369689</v>
      </c>
      <c r="Y1113" s="35">
        <f t="shared" si="111"/>
        <v>30497.213606260644</v>
      </c>
      <c r="Z1113" s="35">
        <f t="shared" si="112"/>
        <v>0</v>
      </c>
      <c r="AA1113" s="35">
        <f t="shared" si="113"/>
        <v>1</v>
      </c>
      <c r="AB1113" s="35">
        <f t="shared" si="114"/>
        <v>0</v>
      </c>
    </row>
    <row r="1114" spans="1:28">
      <c r="A1114" s="35">
        <v>1103</v>
      </c>
      <c r="B1114" s="35">
        <v>4.6113143763304443E-4</v>
      </c>
      <c r="C1114" s="232">
        <v>71.34</v>
      </c>
      <c r="D1114" s="35">
        <v>5.0641338293135432</v>
      </c>
      <c r="E1114" s="232">
        <v>44.81</v>
      </c>
      <c r="F1114" s="35">
        <v>5.0530411027096305</v>
      </c>
      <c r="G1114" s="232">
        <v>12714.48</v>
      </c>
      <c r="H1114" s="35">
        <v>9.4480286016526929</v>
      </c>
      <c r="I1114" s="232">
        <v>14669.49</v>
      </c>
      <c r="J1114" s="35">
        <v>8.5451997370771693</v>
      </c>
      <c r="K1114" s="232">
        <v>13588.89</v>
      </c>
      <c r="L1114" s="35">
        <v>8.4678560307131967</v>
      </c>
      <c r="M1114" s="232">
        <v>39588.910000000003</v>
      </c>
      <c r="N1114" s="35">
        <v>7.4449224313583766</v>
      </c>
      <c r="P1114" s="232">
        <v>-26.52</v>
      </c>
      <c r="Q1114" s="35">
        <v>1.1092726603912695E-2</v>
      </c>
      <c r="R1114" s="232">
        <v>1955.01</v>
      </c>
      <c r="S1114" s="35">
        <v>0.90282886457552358</v>
      </c>
      <c r="T1114" s="232">
        <v>26000.02</v>
      </c>
      <c r="U1114" s="35">
        <v>1.0229335993548201</v>
      </c>
      <c r="W1114" s="35">
        <f t="shared" si="109"/>
        <v>581.15633019563472</v>
      </c>
      <c r="X1114" s="35">
        <f t="shared" si="110"/>
        <v>43186.433228776179</v>
      </c>
      <c r="Y1114" s="35">
        <f t="shared" si="111"/>
        <v>25146.659967741001</v>
      </c>
      <c r="Z1114" s="35">
        <f t="shared" si="112"/>
        <v>0</v>
      </c>
      <c r="AA1114" s="35">
        <f t="shared" si="113"/>
        <v>1</v>
      </c>
      <c r="AB1114" s="35">
        <f t="shared" si="114"/>
        <v>0</v>
      </c>
    </row>
    <row r="1115" spans="1:28">
      <c r="A1115" s="35">
        <v>1104</v>
      </c>
      <c r="B1115" s="35">
        <v>4.0871203864597595E-4</v>
      </c>
      <c r="C1115" s="232">
        <v>58.39</v>
      </c>
      <c r="D1115" s="35">
        <v>5.059698511429036</v>
      </c>
      <c r="E1115" s="232">
        <v>33.619999999999997</v>
      </c>
      <c r="F1115" s="35">
        <v>5.0490927745844347</v>
      </c>
      <c r="G1115" s="232">
        <v>10765.26</v>
      </c>
      <c r="H1115" s="35">
        <v>8.9251284236408797</v>
      </c>
      <c r="I1115" s="232">
        <v>10691.42</v>
      </c>
      <c r="J1115" s="35">
        <v>7.305255640469027</v>
      </c>
      <c r="K1115" s="232">
        <v>14950.31</v>
      </c>
      <c r="L1115" s="35">
        <v>8.6847583479012034</v>
      </c>
      <c r="M1115" s="232">
        <v>41077.129999999997</v>
      </c>
      <c r="N1115" s="35">
        <v>7.6037128772973164</v>
      </c>
      <c r="P1115" s="232">
        <v>-24.77</v>
      </c>
      <c r="Q1115" s="35">
        <v>1.060573684460131E-2</v>
      </c>
      <c r="R1115" s="232">
        <v>-73.849999999999994</v>
      </c>
      <c r="S1115" s="35">
        <v>1.6198727831718527</v>
      </c>
      <c r="T1115" s="232">
        <v>26126.82</v>
      </c>
      <c r="U1115" s="35">
        <v>1.081045470603887</v>
      </c>
      <c r="W1115" s="35">
        <f t="shared" si="109"/>
        <v>555.05684223006551</v>
      </c>
      <c r="X1115" s="35">
        <f t="shared" si="110"/>
        <v>81067.489158592638</v>
      </c>
      <c r="Y1115" s="35">
        <f t="shared" si="111"/>
        <v>27925.453530194347</v>
      </c>
      <c r="Z1115" s="35">
        <f t="shared" si="112"/>
        <v>0</v>
      </c>
      <c r="AA1115" s="35">
        <f t="shared" si="113"/>
        <v>1</v>
      </c>
      <c r="AB1115" s="35">
        <f t="shared" si="114"/>
        <v>0</v>
      </c>
    </row>
    <row r="1116" spans="1:28">
      <c r="A1116" s="35">
        <v>1105</v>
      </c>
      <c r="B1116" s="35">
        <v>4.8411267353609677E-4</v>
      </c>
      <c r="C1116" s="232">
        <v>79.89</v>
      </c>
      <c r="D1116" s="35">
        <v>5.0639450608064696</v>
      </c>
      <c r="E1116" s="232">
        <v>56.05</v>
      </c>
      <c r="F1116" s="35">
        <v>5.0549838040276569</v>
      </c>
      <c r="G1116" s="232">
        <v>12220.62</v>
      </c>
      <c r="H1116" s="35">
        <v>8.8195392160850652</v>
      </c>
      <c r="I1116" s="232">
        <v>14411.49</v>
      </c>
      <c r="J1116" s="35">
        <v>8.7929659430416809</v>
      </c>
      <c r="K1116" s="232">
        <v>16377.86</v>
      </c>
      <c r="L1116" s="35">
        <v>8.7689606267422633</v>
      </c>
      <c r="M1116" s="232">
        <v>42468.49</v>
      </c>
      <c r="N1116" s="35">
        <v>7.6512238197699061</v>
      </c>
      <c r="P1116" s="232">
        <v>-23.85</v>
      </c>
      <c r="Q1116" s="35">
        <v>8.961256778812654E-3</v>
      </c>
      <c r="R1116" s="232">
        <v>2190.87</v>
      </c>
      <c r="S1116" s="35">
        <v>2.6573273043384305E-2</v>
      </c>
      <c r="T1116" s="232">
        <v>26090.63</v>
      </c>
      <c r="U1116" s="35">
        <v>1.1177368069723572</v>
      </c>
      <c r="W1116" s="35">
        <f t="shared" si="109"/>
        <v>471.9128389406327</v>
      </c>
      <c r="X1116" s="35">
        <f t="shared" si="110"/>
        <v>-862.20634783078458</v>
      </c>
      <c r="Y1116" s="35">
        <f t="shared" si="111"/>
        <v>29796.210348617857</v>
      </c>
      <c r="Z1116" s="35">
        <f t="shared" si="112"/>
        <v>0</v>
      </c>
      <c r="AA1116" s="35">
        <f t="shared" si="113"/>
        <v>0</v>
      </c>
      <c r="AB1116" s="35">
        <f t="shared" si="114"/>
        <v>1</v>
      </c>
    </row>
    <row r="1117" spans="1:28">
      <c r="A1117" s="35">
        <v>1106</v>
      </c>
      <c r="B1117" s="35">
        <v>4.9813284328681373E-4</v>
      </c>
      <c r="C1117" s="232">
        <v>58.43</v>
      </c>
      <c r="D1117" s="35">
        <v>5.0659579939194934</v>
      </c>
      <c r="E1117" s="232">
        <v>40.340000000000003</v>
      </c>
      <c r="F1117" s="35">
        <v>5.0555197155841762</v>
      </c>
      <c r="G1117" s="232">
        <v>9100.74</v>
      </c>
      <c r="H1117" s="35">
        <v>8.8969572021807082</v>
      </c>
      <c r="I1117" s="232">
        <v>10226.540000000001</v>
      </c>
      <c r="J1117" s="35">
        <v>7.1019982105363182</v>
      </c>
      <c r="K1117" s="232">
        <v>11257.42</v>
      </c>
      <c r="L1117" s="35">
        <v>9.2785003282378007</v>
      </c>
      <c r="M1117" s="232">
        <v>37278.74</v>
      </c>
      <c r="N1117" s="35">
        <v>8.2230096171194393</v>
      </c>
      <c r="P1117" s="232">
        <v>-18.09</v>
      </c>
      <c r="Q1117" s="35">
        <v>1.0438278335317186E-2</v>
      </c>
      <c r="R1117" s="232">
        <v>1125.81</v>
      </c>
      <c r="S1117" s="35">
        <v>1.79495899164439</v>
      </c>
      <c r="T1117" s="232">
        <v>26021.32</v>
      </c>
      <c r="U1117" s="35">
        <v>1.0554907111183613</v>
      </c>
      <c r="W1117" s="35">
        <f t="shared" si="109"/>
        <v>540.00391676585934</v>
      </c>
      <c r="X1117" s="35">
        <f t="shared" si="110"/>
        <v>88622.139582219505</v>
      </c>
      <c r="Y1117" s="35">
        <f t="shared" si="111"/>
        <v>26753.215555918068</v>
      </c>
      <c r="Z1117" s="35">
        <f t="shared" si="112"/>
        <v>0</v>
      </c>
      <c r="AA1117" s="35">
        <f t="shared" si="113"/>
        <v>1</v>
      </c>
      <c r="AB1117" s="35">
        <f t="shared" si="114"/>
        <v>0</v>
      </c>
    </row>
    <row r="1118" spans="1:28">
      <c r="A1118" s="35">
        <v>1107</v>
      </c>
      <c r="B1118" s="35">
        <v>5.5588797591588079E-4</v>
      </c>
      <c r="C1118" s="232">
        <v>75.87</v>
      </c>
      <c r="D1118" s="35">
        <v>5.0662374301757929</v>
      </c>
      <c r="E1118" s="232">
        <v>45.78</v>
      </c>
      <c r="F1118" s="35">
        <v>5.053638930722351</v>
      </c>
      <c r="G1118" s="232">
        <v>10192.81</v>
      </c>
      <c r="H1118" s="35">
        <v>8.4783941588084879</v>
      </c>
      <c r="I1118" s="232">
        <v>10682.86</v>
      </c>
      <c r="J1118" s="35">
        <v>7.1136672854531815</v>
      </c>
      <c r="K1118" s="232">
        <v>14952.68</v>
      </c>
      <c r="L1118" s="35">
        <v>8.6503528113891246</v>
      </c>
      <c r="M1118" s="232">
        <v>41193.69</v>
      </c>
      <c r="N1118" s="35">
        <v>7.4815493099416219</v>
      </c>
      <c r="P1118" s="232">
        <v>-30.09</v>
      </c>
      <c r="Q1118" s="35">
        <v>1.2598499453441825E-2</v>
      </c>
      <c r="R1118" s="232">
        <v>490.06</v>
      </c>
      <c r="S1118" s="35">
        <v>1.3647268733553064</v>
      </c>
      <c r="T1118" s="232">
        <v>26241.01</v>
      </c>
      <c r="U1118" s="35">
        <v>1.1688035014475027</v>
      </c>
      <c r="W1118" s="35">
        <f t="shared" si="109"/>
        <v>660.01497267209129</v>
      </c>
      <c r="X1118" s="35">
        <f t="shared" si="110"/>
        <v>67746.283667765325</v>
      </c>
      <c r="Y1118" s="35">
        <f t="shared" si="111"/>
        <v>32199.165072375134</v>
      </c>
      <c r="Z1118" s="35">
        <f t="shared" si="112"/>
        <v>0</v>
      </c>
      <c r="AA1118" s="35">
        <f t="shared" si="113"/>
        <v>1</v>
      </c>
      <c r="AB1118" s="35">
        <f t="shared" si="114"/>
        <v>0</v>
      </c>
    </row>
    <row r="1119" spans="1:28">
      <c r="A1119" s="35">
        <v>1108</v>
      </c>
      <c r="B1119" s="35">
        <v>3.5563757807680681E-4</v>
      </c>
      <c r="C1119" s="232">
        <v>45.91</v>
      </c>
      <c r="D1119" s="35">
        <v>5.0559362895865023</v>
      </c>
      <c r="E1119" s="232">
        <v>30.59</v>
      </c>
      <c r="F1119" s="35">
        <v>5.0484882400517623</v>
      </c>
      <c r="G1119" s="232">
        <v>9792.17</v>
      </c>
      <c r="H1119" s="35">
        <v>8.4593545157129544</v>
      </c>
      <c r="I1119" s="232">
        <v>11012.96</v>
      </c>
      <c r="J1119" s="35">
        <v>7.3130634665023955</v>
      </c>
      <c r="K1119" s="232">
        <v>12335.05</v>
      </c>
      <c r="L1119" s="35">
        <v>8.6558130405041425</v>
      </c>
      <c r="M1119" s="232">
        <v>38344.230000000003</v>
      </c>
      <c r="N1119" s="35">
        <v>7.4634298007684103</v>
      </c>
      <c r="P1119" s="232">
        <v>-15.32</v>
      </c>
      <c r="Q1119" s="35">
        <v>7.4480495347399867E-3</v>
      </c>
      <c r="R1119" s="232">
        <v>1220.79</v>
      </c>
      <c r="S1119" s="35">
        <v>1.1462910492105589</v>
      </c>
      <c r="T1119" s="232">
        <v>26009.18</v>
      </c>
      <c r="U1119" s="35">
        <v>1.1923832397357321</v>
      </c>
      <c r="W1119" s="35">
        <f t="shared" si="109"/>
        <v>387.72247673699934</v>
      </c>
      <c r="X1119" s="35">
        <f t="shared" si="110"/>
        <v>56093.762460527942</v>
      </c>
      <c r="Y1119" s="35">
        <f t="shared" si="111"/>
        <v>33609.981986786603</v>
      </c>
      <c r="Z1119" s="35">
        <f t="shared" si="112"/>
        <v>0</v>
      </c>
      <c r="AA1119" s="35">
        <f t="shared" si="113"/>
        <v>1</v>
      </c>
      <c r="AB1119" s="35">
        <f t="shared" si="114"/>
        <v>0</v>
      </c>
    </row>
    <row r="1120" spans="1:28">
      <c r="A1120" s="35">
        <v>1109</v>
      </c>
      <c r="B1120" s="35">
        <v>3.8792364885058283E-4</v>
      </c>
      <c r="C1120" s="232">
        <v>63.41</v>
      </c>
      <c r="D1120" s="35">
        <v>5.0555901053733496</v>
      </c>
      <c r="E1120" s="232">
        <v>38.659999999999997</v>
      </c>
      <c r="F1120" s="35">
        <v>5.0476722127170799</v>
      </c>
      <c r="G1120" s="232">
        <v>12101.33</v>
      </c>
      <c r="H1120" s="35">
        <v>7.7619973736242631</v>
      </c>
      <c r="I1120" s="232">
        <v>12305.77</v>
      </c>
      <c r="J1120" s="35">
        <v>6.4578662621133169</v>
      </c>
      <c r="K1120" s="232">
        <v>18810.490000000002</v>
      </c>
      <c r="L1120" s="35">
        <v>8.6184979695366675</v>
      </c>
      <c r="M1120" s="232">
        <v>45076.1</v>
      </c>
      <c r="N1120" s="35">
        <v>7.4887832988138356</v>
      </c>
      <c r="P1120" s="232">
        <v>-24.75</v>
      </c>
      <c r="Q1120" s="35">
        <v>7.9178926562697427E-3</v>
      </c>
      <c r="R1120" s="232">
        <v>204.44</v>
      </c>
      <c r="S1120" s="35">
        <v>1.3041311115109462</v>
      </c>
      <c r="T1120" s="232">
        <v>26265.61</v>
      </c>
      <c r="U1120" s="35">
        <v>1.1297146707228318</v>
      </c>
      <c r="W1120" s="35">
        <f t="shared" si="109"/>
        <v>420.64463281348714</v>
      </c>
      <c r="X1120" s="35">
        <f t="shared" si="110"/>
        <v>65002.115575547308</v>
      </c>
      <c r="Y1120" s="35">
        <f t="shared" si="111"/>
        <v>30220.123536141589</v>
      </c>
      <c r="Z1120" s="35">
        <f t="shared" si="112"/>
        <v>0</v>
      </c>
      <c r="AA1120" s="35">
        <f t="shared" si="113"/>
        <v>1</v>
      </c>
      <c r="AB1120" s="35">
        <f t="shared" si="114"/>
        <v>0</v>
      </c>
    </row>
    <row r="1121" spans="1:28">
      <c r="A1121" s="35">
        <v>1110</v>
      </c>
      <c r="B1121" s="35">
        <v>5.1076310929043522E-4</v>
      </c>
      <c r="C1121" s="232">
        <v>73.67</v>
      </c>
      <c r="D1121" s="35">
        <v>5.0626455224546607</v>
      </c>
      <c r="E1121" s="232">
        <v>39.97</v>
      </c>
      <c r="F1121" s="35">
        <v>5.0501034249027104</v>
      </c>
      <c r="G1121" s="232">
        <v>12158.97</v>
      </c>
      <c r="H1121" s="35">
        <v>8.2919171893367576</v>
      </c>
      <c r="I1121" s="232">
        <v>14167.63</v>
      </c>
      <c r="J1121" s="35">
        <v>6.8842852972526831</v>
      </c>
      <c r="K1121" s="232">
        <v>12609</v>
      </c>
      <c r="L1121" s="35">
        <v>8.5494621774658768</v>
      </c>
      <c r="M1121" s="232">
        <v>38394.86</v>
      </c>
      <c r="N1121" s="35">
        <v>7.4354337685442076</v>
      </c>
      <c r="P1121" s="232">
        <v>-33.71</v>
      </c>
      <c r="Q1121" s="35">
        <v>1.2542097551950349E-2</v>
      </c>
      <c r="R1121" s="232">
        <v>2008.66</v>
      </c>
      <c r="S1121" s="35">
        <v>1.4076318920840745</v>
      </c>
      <c r="T1121" s="232">
        <v>25785.86</v>
      </c>
      <c r="U1121" s="35">
        <v>1.1140284089216692</v>
      </c>
      <c r="W1121" s="35">
        <f t="shared" si="109"/>
        <v>660.81487759751747</v>
      </c>
      <c r="X1121" s="35">
        <f t="shared" si="110"/>
        <v>68372.934604203721</v>
      </c>
      <c r="Y1121" s="35">
        <f t="shared" si="111"/>
        <v>29915.560446083458</v>
      </c>
      <c r="Z1121" s="35">
        <f t="shared" si="112"/>
        <v>0</v>
      </c>
      <c r="AA1121" s="35">
        <f t="shared" si="113"/>
        <v>1</v>
      </c>
      <c r="AB1121" s="35">
        <f t="shared" si="114"/>
        <v>0</v>
      </c>
    </row>
    <row r="1122" spans="1:28">
      <c r="A1122" s="35">
        <v>1111</v>
      </c>
      <c r="B1122" s="35">
        <v>4.6757024380295054E-4</v>
      </c>
      <c r="C1122" s="232">
        <v>69.14</v>
      </c>
      <c r="D1122" s="35">
        <v>5.0627376097511512</v>
      </c>
      <c r="E1122" s="232">
        <v>45.02</v>
      </c>
      <c r="F1122" s="35">
        <v>5.0527641864386252</v>
      </c>
      <c r="G1122" s="232">
        <v>11443.96</v>
      </c>
      <c r="H1122" s="35">
        <v>8.8141400457535362</v>
      </c>
      <c r="I1122" s="232">
        <v>12475.77</v>
      </c>
      <c r="J1122" s="35">
        <v>7.6245344888859261</v>
      </c>
      <c r="K1122" s="232">
        <v>14641.58</v>
      </c>
      <c r="L1122" s="35">
        <v>8.6762770712158055</v>
      </c>
      <c r="M1122" s="232">
        <v>40761.21</v>
      </c>
      <c r="N1122" s="35">
        <v>7.6002261974842664</v>
      </c>
      <c r="P1122" s="232">
        <v>-24.12</v>
      </c>
      <c r="Q1122" s="35">
        <v>9.9734233125259308E-3</v>
      </c>
      <c r="R1122" s="232">
        <v>1031.81</v>
      </c>
      <c r="S1122" s="35">
        <v>1.18960555686761</v>
      </c>
      <c r="T1122" s="232">
        <v>26119.64</v>
      </c>
      <c r="U1122" s="35">
        <v>1.0760508737315391</v>
      </c>
      <c r="W1122" s="35">
        <f t="shared" si="109"/>
        <v>522.79116562629656</v>
      </c>
      <c r="X1122" s="35">
        <f t="shared" si="110"/>
        <v>58448.467843380502</v>
      </c>
      <c r="Y1122" s="35">
        <f t="shared" si="111"/>
        <v>27682.903686576952</v>
      </c>
      <c r="Z1122" s="35">
        <f t="shared" si="112"/>
        <v>0</v>
      </c>
      <c r="AA1122" s="35">
        <f t="shared" si="113"/>
        <v>1</v>
      </c>
      <c r="AB1122" s="35">
        <f t="shared" si="114"/>
        <v>0</v>
      </c>
    </row>
    <row r="1123" spans="1:28">
      <c r="A1123" s="35">
        <v>1112</v>
      </c>
      <c r="B1123" s="35">
        <v>4.5321702968825761E-4</v>
      </c>
      <c r="C1123" s="232">
        <v>69.5</v>
      </c>
      <c r="D1123" s="35">
        <v>5.0630887313485005</v>
      </c>
      <c r="E1123" s="232">
        <v>48.21</v>
      </c>
      <c r="F1123" s="35">
        <v>5.054052325605328</v>
      </c>
      <c r="G1123" s="232">
        <v>11857.55</v>
      </c>
      <c r="H1123" s="35">
        <v>9.0877228824600493</v>
      </c>
      <c r="I1123" s="232">
        <v>12682.53</v>
      </c>
      <c r="J1123" s="35">
        <v>7.0520113565886247</v>
      </c>
      <c r="K1123" s="232">
        <v>12859.67</v>
      </c>
      <c r="L1123" s="35">
        <v>8.7882335726917518</v>
      </c>
      <c r="M1123" s="232">
        <v>38835.160000000003</v>
      </c>
      <c r="N1123" s="35">
        <v>7.7064061616909081</v>
      </c>
      <c r="P1123" s="232">
        <v>-21.29</v>
      </c>
      <c r="Q1123" s="35">
        <v>9.0364057431724376E-3</v>
      </c>
      <c r="R1123" s="232">
        <v>824.98</v>
      </c>
      <c r="S1123" s="35">
        <v>2.0357115258714247</v>
      </c>
      <c r="T1123" s="232">
        <v>25975.48</v>
      </c>
      <c r="U1123" s="35">
        <v>1.0818274110008437</v>
      </c>
      <c r="W1123" s="35">
        <f t="shared" si="109"/>
        <v>473.11028715862193</v>
      </c>
      <c r="X1123" s="35">
        <f t="shared" si="110"/>
        <v>100960.59629357125</v>
      </c>
      <c r="Y1123" s="35">
        <f t="shared" si="111"/>
        <v>28115.890550042186</v>
      </c>
      <c r="Z1123" s="35">
        <f t="shared" si="112"/>
        <v>0</v>
      </c>
      <c r="AA1123" s="35">
        <f t="shared" si="113"/>
        <v>1</v>
      </c>
      <c r="AB1123" s="35">
        <f t="shared" si="114"/>
        <v>0</v>
      </c>
    </row>
    <row r="1124" spans="1:28">
      <c r="A1124" s="35">
        <v>1113</v>
      </c>
      <c r="B1124" s="35">
        <v>3.6909470961174641E-4</v>
      </c>
      <c r="C1124" s="232">
        <v>55.97</v>
      </c>
      <c r="D1124" s="35">
        <v>5.056307557373823</v>
      </c>
      <c r="E1124" s="232">
        <v>38.47</v>
      </c>
      <c r="F1124" s="35">
        <v>5.0493551451050722</v>
      </c>
      <c r="G1124" s="232">
        <v>11409.4</v>
      </c>
      <c r="H1124" s="35">
        <v>8.4310956668342332</v>
      </c>
      <c r="I1124" s="232">
        <v>12577.16</v>
      </c>
      <c r="J1124" s="35">
        <v>7.5946158339123278</v>
      </c>
      <c r="K1124" s="232">
        <v>15601.1</v>
      </c>
      <c r="L1124" s="35">
        <v>8.5772309636421831</v>
      </c>
      <c r="M1124" s="232">
        <v>41692.94</v>
      </c>
      <c r="N1124" s="35">
        <v>7.5746887889668919</v>
      </c>
      <c r="P1124" s="232">
        <v>-17.5</v>
      </c>
      <c r="Q1124" s="35">
        <v>6.9524122687507628E-3</v>
      </c>
      <c r="R1124" s="232">
        <v>1167.75</v>
      </c>
      <c r="S1124" s="35">
        <v>0.83647983292190542</v>
      </c>
      <c r="T1124" s="232">
        <v>26091.84</v>
      </c>
      <c r="U1124" s="35">
        <v>1.0025421746752912</v>
      </c>
      <c r="W1124" s="35">
        <f t="shared" si="109"/>
        <v>365.12061343753817</v>
      </c>
      <c r="X1124" s="35">
        <f t="shared" si="110"/>
        <v>40656.241646095274</v>
      </c>
      <c r="Y1124" s="35">
        <f t="shared" si="111"/>
        <v>24035.268733764558</v>
      </c>
      <c r="Z1124" s="35">
        <f t="shared" si="112"/>
        <v>0</v>
      </c>
      <c r="AA1124" s="35">
        <f t="shared" si="113"/>
        <v>1</v>
      </c>
      <c r="AB1124" s="35">
        <f t="shared" si="114"/>
        <v>0</v>
      </c>
    </row>
    <row r="1125" spans="1:28">
      <c r="A1125" s="35">
        <v>1114</v>
      </c>
      <c r="B1125" s="35">
        <v>3.2328068262066101E-4</v>
      </c>
      <c r="C1125" s="232">
        <v>48.19</v>
      </c>
      <c r="D1125" s="35">
        <v>5.0566460629039485</v>
      </c>
      <c r="E1125" s="232">
        <v>30.52</v>
      </c>
      <c r="F1125" s="35">
        <v>5.048356719926506</v>
      </c>
      <c r="G1125" s="232">
        <v>11214.89</v>
      </c>
      <c r="H1125" s="35">
        <v>9.2322995227484945</v>
      </c>
      <c r="I1125" s="232">
        <v>11706.64</v>
      </c>
      <c r="J1125" s="35">
        <v>7.553899640698277</v>
      </c>
      <c r="K1125" s="232">
        <v>13643.55</v>
      </c>
      <c r="L1125" s="35">
        <v>9.1702320630647574</v>
      </c>
      <c r="M1125" s="232">
        <v>39685.15</v>
      </c>
      <c r="N1125" s="35">
        <v>8.0161150497164364</v>
      </c>
      <c r="P1125" s="232">
        <v>-17.670000000000002</v>
      </c>
      <c r="Q1125" s="35">
        <v>8.2893429774424376E-3</v>
      </c>
      <c r="R1125" s="232">
        <v>491.75</v>
      </c>
      <c r="S1125" s="35">
        <v>1.6783998820502175</v>
      </c>
      <c r="T1125" s="232">
        <v>26041.599999999999</v>
      </c>
      <c r="U1125" s="35">
        <v>1.154117013348321</v>
      </c>
      <c r="W1125" s="35">
        <f t="shared" si="109"/>
        <v>432.13714887212188</v>
      </c>
      <c r="X1125" s="35">
        <f t="shared" si="110"/>
        <v>83428.244102510871</v>
      </c>
      <c r="Y1125" s="35">
        <f t="shared" si="111"/>
        <v>31664.250667416047</v>
      </c>
      <c r="Z1125" s="35">
        <f t="shared" si="112"/>
        <v>0</v>
      </c>
      <c r="AA1125" s="35">
        <f t="shared" si="113"/>
        <v>1</v>
      </c>
      <c r="AB1125" s="35">
        <f t="shared" si="114"/>
        <v>0</v>
      </c>
    </row>
    <row r="1126" spans="1:28">
      <c r="A1126" s="35">
        <v>1115</v>
      </c>
      <c r="B1126" s="35">
        <v>3.6575659068398904E-4</v>
      </c>
      <c r="C1126" s="232">
        <v>69.16</v>
      </c>
      <c r="D1126" s="35">
        <v>5.0568377701853322</v>
      </c>
      <c r="E1126" s="232">
        <v>42.62</v>
      </c>
      <c r="F1126" s="35">
        <v>5.048578111353951</v>
      </c>
      <c r="G1126" s="232">
        <v>14622.79</v>
      </c>
      <c r="H1126" s="35">
        <v>8.7895654479308085</v>
      </c>
      <c r="I1126" s="232">
        <v>14830.15</v>
      </c>
      <c r="J1126" s="35">
        <v>7.5281596923315739</v>
      </c>
      <c r="K1126" s="232">
        <v>19925.169999999998</v>
      </c>
      <c r="L1126" s="35">
        <v>8.4951936254265394</v>
      </c>
      <c r="M1126" s="232">
        <v>46315.93</v>
      </c>
      <c r="N1126" s="35">
        <v>7.4380058822787545</v>
      </c>
      <c r="P1126" s="232">
        <v>-26.53</v>
      </c>
      <c r="Q1126" s="35">
        <v>8.2596588313812447E-3</v>
      </c>
      <c r="R1126" s="232">
        <v>207.36</v>
      </c>
      <c r="S1126" s="35">
        <v>1.2614057555992346</v>
      </c>
      <c r="T1126" s="232">
        <v>26390.76</v>
      </c>
      <c r="U1126" s="35">
        <v>1.057187743147785</v>
      </c>
      <c r="W1126" s="35">
        <f t="shared" si="109"/>
        <v>439.51294156906226</v>
      </c>
      <c r="X1126" s="35">
        <f t="shared" si="110"/>
        <v>62862.927779961734</v>
      </c>
      <c r="Y1126" s="35">
        <f t="shared" si="111"/>
        <v>26468.627157389248</v>
      </c>
      <c r="Z1126" s="35">
        <f t="shared" si="112"/>
        <v>0</v>
      </c>
      <c r="AA1126" s="35">
        <f t="shared" si="113"/>
        <v>1</v>
      </c>
      <c r="AB1126" s="35">
        <f t="shared" si="114"/>
        <v>0</v>
      </c>
    </row>
    <row r="1127" spans="1:28">
      <c r="A1127" s="35">
        <v>1116</v>
      </c>
      <c r="B1127" s="35">
        <v>4.611422997655712E-4</v>
      </c>
      <c r="C1127" s="232">
        <v>63.61</v>
      </c>
      <c r="D1127" s="35">
        <v>5.0623156715761715</v>
      </c>
      <c r="E1127" s="232">
        <v>39.49</v>
      </c>
      <c r="F1127" s="35">
        <v>5.0516591665416231</v>
      </c>
      <c r="G1127" s="232">
        <v>10194</v>
      </c>
      <c r="H1127" s="35">
        <v>8.7497830454291154</v>
      </c>
      <c r="I1127" s="232">
        <v>11869.57</v>
      </c>
      <c r="J1127" s="35">
        <v>8.2330726597138266</v>
      </c>
      <c r="K1127" s="232">
        <v>12807.65</v>
      </c>
      <c r="L1127" s="35">
        <v>8.8333703637557353</v>
      </c>
      <c r="M1127" s="232">
        <v>38748.47</v>
      </c>
      <c r="N1127" s="35">
        <v>7.7433701307020977</v>
      </c>
      <c r="P1127" s="232">
        <v>-24.13</v>
      </c>
      <c r="Q1127" s="35">
        <v>1.0656505034548402E-2</v>
      </c>
      <c r="R1127" s="232">
        <v>1675.57</v>
      </c>
      <c r="S1127" s="35">
        <v>0.51671038571528882</v>
      </c>
      <c r="T1127" s="232">
        <v>25940.82</v>
      </c>
      <c r="U1127" s="35">
        <v>1.0900002330536376</v>
      </c>
      <c r="W1127" s="35">
        <f t="shared" si="109"/>
        <v>556.95525172742009</v>
      </c>
      <c r="X1127" s="35">
        <f t="shared" si="110"/>
        <v>24159.94928576444</v>
      </c>
      <c r="Y1127" s="35">
        <f t="shared" si="111"/>
        <v>28559.191652681882</v>
      </c>
      <c r="Z1127" s="35">
        <f t="shared" si="112"/>
        <v>0</v>
      </c>
      <c r="AA1127" s="35">
        <f t="shared" si="113"/>
        <v>0</v>
      </c>
      <c r="AB1127" s="35">
        <f t="shared" si="114"/>
        <v>1</v>
      </c>
    </row>
    <row r="1128" spans="1:28">
      <c r="A1128" s="35">
        <v>1117</v>
      </c>
      <c r="B1128" s="35">
        <v>4.5571152472034804E-4</v>
      </c>
      <c r="C1128" s="232">
        <v>68.97</v>
      </c>
      <c r="D1128" s="35">
        <v>5.061342385040648</v>
      </c>
      <c r="E1128" s="232">
        <v>36.880000000000003</v>
      </c>
      <c r="F1128" s="35">
        <v>5.0492026563013539</v>
      </c>
      <c r="G1128" s="232">
        <v>11841.99</v>
      </c>
      <c r="H1128" s="35">
        <v>8.6438148091795917</v>
      </c>
      <c r="I1128" s="232">
        <v>13181.51</v>
      </c>
      <c r="J1128" s="35">
        <v>7.655916776791341</v>
      </c>
      <c r="K1128" s="232">
        <v>14393.33</v>
      </c>
      <c r="L1128" s="35">
        <v>8.8457354372879173</v>
      </c>
      <c r="M1128" s="232">
        <v>40469.9</v>
      </c>
      <c r="N1128" s="35">
        <v>7.7621312094508461</v>
      </c>
      <c r="P1128" s="232">
        <v>-32.08</v>
      </c>
      <c r="Q1128" s="35">
        <v>1.2139728739294142E-2</v>
      </c>
      <c r="R1128" s="232">
        <v>1339.53</v>
      </c>
      <c r="S1128" s="35">
        <v>0.98789803238825069</v>
      </c>
      <c r="T1128" s="232">
        <v>26076.560000000001</v>
      </c>
      <c r="U1128" s="35">
        <v>1.0836042278370712</v>
      </c>
      <c r="W1128" s="35">
        <f t="shared" si="109"/>
        <v>639.06643696470712</v>
      </c>
      <c r="X1128" s="35">
        <f t="shared" si="110"/>
        <v>48055.371619412537</v>
      </c>
      <c r="Y1128" s="35">
        <f t="shared" si="111"/>
        <v>28103.65139185356</v>
      </c>
      <c r="Z1128" s="35">
        <f t="shared" si="112"/>
        <v>0</v>
      </c>
      <c r="AA1128" s="35">
        <f t="shared" si="113"/>
        <v>1</v>
      </c>
      <c r="AB1128" s="35">
        <f t="shared" si="114"/>
        <v>0</v>
      </c>
    </row>
    <row r="1129" spans="1:28">
      <c r="A1129" s="35">
        <v>1118</v>
      </c>
      <c r="B1129" s="35">
        <v>3.7401436182844144E-4</v>
      </c>
      <c r="C1129" s="232">
        <v>64.849999999999994</v>
      </c>
      <c r="D1129" s="35">
        <v>5.0572317975469865</v>
      </c>
      <c r="E1129" s="232">
        <v>37.07</v>
      </c>
      <c r="F1129" s="35">
        <v>5.0478681775704466</v>
      </c>
      <c r="G1129" s="232">
        <v>13299.27</v>
      </c>
      <c r="H1129" s="35">
        <v>8.7799568720757843</v>
      </c>
      <c r="I1129" s="232">
        <v>13755.13</v>
      </c>
      <c r="J1129" s="35">
        <v>7.6570192253050156</v>
      </c>
      <c r="K1129" s="232">
        <v>18423.32</v>
      </c>
      <c r="L1129" s="35">
        <v>8.5077119545328976</v>
      </c>
      <c r="M1129" s="232">
        <v>44674.04</v>
      </c>
      <c r="N1129" s="35">
        <v>7.4272729462653757</v>
      </c>
      <c r="P1129" s="232">
        <v>-27.78</v>
      </c>
      <c r="Q1129" s="35">
        <v>9.3636199765398942E-3</v>
      </c>
      <c r="R1129" s="232">
        <v>455.86</v>
      </c>
      <c r="S1129" s="35">
        <v>1.1229376467707688</v>
      </c>
      <c r="T1129" s="232">
        <v>26250.720000000001</v>
      </c>
      <c r="U1129" s="35">
        <v>1.0804390082675219</v>
      </c>
      <c r="W1129" s="35">
        <f t="shared" si="109"/>
        <v>495.96099882699468</v>
      </c>
      <c r="X1129" s="35">
        <f t="shared" si="110"/>
        <v>55691.022338538438</v>
      </c>
      <c r="Y1129" s="35">
        <f t="shared" si="111"/>
        <v>27771.230413376092</v>
      </c>
      <c r="Z1129" s="35">
        <f t="shared" si="112"/>
        <v>0</v>
      </c>
      <c r="AA1129" s="35">
        <f t="shared" si="113"/>
        <v>1</v>
      </c>
      <c r="AB1129" s="35">
        <f t="shared" si="114"/>
        <v>0</v>
      </c>
    </row>
    <row r="1130" spans="1:28">
      <c r="A1130" s="35">
        <v>1119</v>
      </c>
      <c r="B1130" s="35">
        <v>5.1692588969787234E-4</v>
      </c>
      <c r="C1130" s="232">
        <v>69.290000000000006</v>
      </c>
      <c r="D1130" s="35">
        <v>5.0650115699492302</v>
      </c>
      <c r="E1130" s="232">
        <v>41.84</v>
      </c>
      <c r="F1130" s="35">
        <v>5.0528468764458792</v>
      </c>
      <c r="G1130" s="232">
        <v>10677.46</v>
      </c>
      <c r="H1130" s="35">
        <v>8.9507439353930796</v>
      </c>
      <c r="I1130" s="232">
        <v>12216.69</v>
      </c>
      <c r="J1130" s="35">
        <v>7.523522101595332</v>
      </c>
      <c r="K1130" s="232">
        <v>11244.93</v>
      </c>
      <c r="L1130" s="35">
        <v>8.2933284138506824</v>
      </c>
      <c r="M1130" s="232">
        <v>37235.94</v>
      </c>
      <c r="N1130" s="35">
        <v>7.1723947591330139</v>
      </c>
      <c r="P1130" s="232">
        <v>-27.45</v>
      </c>
      <c r="Q1130" s="35">
        <v>1.2164693503351032E-2</v>
      </c>
      <c r="R1130" s="232">
        <v>1539.22</v>
      </c>
      <c r="S1130" s="35">
        <v>1.4272218337977476</v>
      </c>
      <c r="T1130" s="232">
        <v>25991.01</v>
      </c>
      <c r="U1130" s="35">
        <v>1.1209336547176685</v>
      </c>
      <c r="W1130" s="35">
        <f t="shared" si="109"/>
        <v>635.68467516755163</v>
      </c>
      <c r="X1130" s="35">
        <f t="shared" si="110"/>
        <v>69821.871689887383</v>
      </c>
      <c r="Y1130" s="35">
        <f t="shared" si="111"/>
        <v>30055.672735883429</v>
      </c>
      <c r="Z1130" s="35">
        <f t="shared" si="112"/>
        <v>0</v>
      </c>
      <c r="AA1130" s="35">
        <f t="shared" si="113"/>
        <v>1</v>
      </c>
      <c r="AB1130" s="35">
        <f t="shared" si="114"/>
        <v>0</v>
      </c>
    </row>
    <row r="1131" spans="1:28">
      <c r="A1131" s="35">
        <v>1120</v>
      </c>
      <c r="B1131" s="35">
        <v>3.5237758167291233E-4</v>
      </c>
      <c r="C1131" s="232">
        <v>46.92</v>
      </c>
      <c r="D1131" s="35">
        <v>5.0551219965442193</v>
      </c>
      <c r="E1131" s="232">
        <v>28.01</v>
      </c>
      <c r="F1131" s="35">
        <v>5.0468478524825056</v>
      </c>
      <c r="G1131" s="232">
        <v>10461.58</v>
      </c>
      <c r="H1131" s="35">
        <v>8.3482551986606417</v>
      </c>
      <c r="I1131" s="232">
        <v>12354.48</v>
      </c>
      <c r="J1131" s="35">
        <v>7.9329327081674439</v>
      </c>
      <c r="K1131" s="232">
        <v>13290.05</v>
      </c>
      <c r="L1131" s="35">
        <v>8.5036289715940452</v>
      </c>
      <c r="M1131" s="232">
        <v>39300.449999999997</v>
      </c>
      <c r="N1131" s="35">
        <v>7.3911991619667914</v>
      </c>
      <c r="P1131" s="232">
        <v>-18.91</v>
      </c>
      <c r="Q1131" s="35">
        <v>8.274144061713784E-3</v>
      </c>
      <c r="R1131" s="232">
        <v>1892.9</v>
      </c>
      <c r="S1131" s="35">
        <v>0.4153224904931978</v>
      </c>
      <c r="T1131" s="232">
        <v>26010.41</v>
      </c>
      <c r="U1131" s="35">
        <v>1.1124298096272538</v>
      </c>
      <c r="W1131" s="35">
        <f t="shared" si="109"/>
        <v>432.61720308568925</v>
      </c>
      <c r="X1131" s="35">
        <f t="shared" si="110"/>
        <v>18873.22452465989</v>
      </c>
      <c r="Y1131" s="35">
        <f t="shared" si="111"/>
        <v>29611.080481362693</v>
      </c>
      <c r="Z1131" s="35">
        <f t="shared" si="112"/>
        <v>0</v>
      </c>
      <c r="AA1131" s="35">
        <f t="shared" si="113"/>
        <v>0</v>
      </c>
      <c r="AB1131" s="35">
        <f t="shared" si="114"/>
        <v>1</v>
      </c>
    </row>
    <row r="1132" spans="1:28">
      <c r="A1132" s="35">
        <v>1121</v>
      </c>
      <c r="B1132" s="35">
        <v>3.9868439676940136E-4</v>
      </c>
      <c r="C1132" s="232">
        <v>56.49</v>
      </c>
      <c r="D1132" s="35">
        <v>5.059128849031306</v>
      </c>
      <c r="E1132" s="232">
        <v>34.200000000000003</v>
      </c>
      <c r="F1132" s="35">
        <v>5.0493869356759582</v>
      </c>
      <c r="G1132" s="232">
        <v>10917.1</v>
      </c>
      <c r="H1132" s="35">
        <v>8.8630944303891059</v>
      </c>
      <c r="I1132" s="232">
        <v>12136.6</v>
      </c>
      <c r="J1132" s="35">
        <v>7.5825269738477195</v>
      </c>
      <c r="K1132" s="232">
        <v>12652.41</v>
      </c>
      <c r="L1132" s="35">
        <v>8.7131281004528454</v>
      </c>
      <c r="M1132" s="232">
        <v>38728.17</v>
      </c>
      <c r="N1132" s="35">
        <v>7.6200531355139924</v>
      </c>
      <c r="P1132" s="232">
        <v>-22.29</v>
      </c>
      <c r="Q1132" s="35">
        <v>9.7419133553477977E-3</v>
      </c>
      <c r="R1132" s="232">
        <v>1219.5</v>
      </c>
      <c r="S1132" s="35">
        <v>1.2805674565413865</v>
      </c>
      <c r="T1132" s="232">
        <v>26075.759999999998</v>
      </c>
      <c r="U1132" s="35">
        <v>1.0930749649388529</v>
      </c>
      <c r="W1132" s="35">
        <f t="shared" si="109"/>
        <v>509.38566776738992</v>
      </c>
      <c r="X1132" s="35">
        <f t="shared" si="110"/>
        <v>62808.872827069325</v>
      </c>
      <c r="Y1132" s="35">
        <f t="shared" si="111"/>
        <v>28577.988246942648</v>
      </c>
      <c r="Z1132" s="35">
        <f t="shared" si="112"/>
        <v>0</v>
      </c>
      <c r="AA1132" s="35">
        <f t="shared" si="113"/>
        <v>1</v>
      </c>
      <c r="AB1132" s="35">
        <f t="shared" si="114"/>
        <v>0</v>
      </c>
    </row>
    <row r="1133" spans="1:28">
      <c r="A1133" s="35">
        <v>1122</v>
      </c>
      <c r="B1133" s="35">
        <v>5.11986831197353E-4</v>
      </c>
      <c r="C1133" s="232">
        <v>70.69</v>
      </c>
      <c r="D1133" s="35">
        <v>5.0670453323490845</v>
      </c>
      <c r="E1133" s="232">
        <v>41.27</v>
      </c>
      <c r="F1133" s="35">
        <v>5.0534160644385944</v>
      </c>
      <c r="G1133" s="232">
        <v>10854.64</v>
      </c>
      <c r="H1133" s="35">
        <v>9.184122525805325</v>
      </c>
      <c r="I1133" s="232">
        <v>12066.85</v>
      </c>
      <c r="J1133" s="35">
        <v>7.6812479190376202</v>
      </c>
      <c r="K1133" s="232">
        <v>12337.15</v>
      </c>
      <c r="L1133" s="35">
        <v>9.1552055423558212</v>
      </c>
      <c r="M1133" s="232">
        <v>38249.81</v>
      </c>
      <c r="N1133" s="35">
        <v>8.0205850123406321</v>
      </c>
      <c r="P1133" s="232">
        <v>-29.42</v>
      </c>
      <c r="Q1133" s="35">
        <v>1.3629267910490128E-2</v>
      </c>
      <c r="R1133" s="232">
        <v>1212.2</v>
      </c>
      <c r="S1133" s="35">
        <v>1.5028746067677048</v>
      </c>
      <c r="T1133" s="232">
        <v>25912.66</v>
      </c>
      <c r="U1133" s="35">
        <v>1.134620530015189</v>
      </c>
      <c r="W1133" s="35">
        <f t="shared" si="109"/>
        <v>710.88339552450634</v>
      </c>
      <c r="X1133" s="35">
        <f t="shared" si="110"/>
        <v>73931.530338385244</v>
      </c>
      <c r="Y1133" s="35">
        <f t="shared" si="111"/>
        <v>30818.36650075945</v>
      </c>
      <c r="Z1133" s="35">
        <f t="shared" si="112"/>
        <v>0</v>
      </c>
      <c r="AA1133" s="35">
        <f t="shared" si="113"/>
        <v>1</v>
      </c>
      <c r="AB1133" s="35">
        <f t="shared" si="114"/>
        <v>0</v>
      </c>
    </row>
    <row r="1134" spans="1:28">
      <c r="A1134" s="35">
        <v>1123</v>
      </c>
      <c r="B1134" s="35">
        <v>4.144722258735462E-4</v>
      </c>
      <c r="C1134" s="232">
        <v>58.78</v>
      </c>
      <c r="D1134" s="35">
        <v>5.0591322778445189</v>
      </c>
      <c r="E1134" s="232">
        <v>37.79</v>
      </c>
      <c r="F1134" s="35">
        <v>5.0502352624586528</v>
      </c>
      <c r="G1134" s="232">
        <v>10677.06</v>
      </c>
      <c r="H1134" s="35">
        <v>8.7082828386936608</v>
      </c>
      <c r="I1134" s="232">
        <v>11814.71</v>
      </c>
      <c r="J1134" s="35">
        <v>7.9069000470366904</v>
      </c>
      <c r="K1134" s="232">
        <v>14928.46</v>
      </c>
      <c r="L1134" s="35">
        <v>8.4909072408059618</v>
      </c>
      <c r="M1134" s="232">
        <v>41001.480000000003</v>
      </c>
      <c r="N1134" s="35">
        <v>7.508527800878996</v>
      </c>
      <c r="P1134" s="232">
        <v>-20.99</v>
      </c>
      <c r="Q1134" s="35">
        <v>8.8970153858660694E-3</v>
      </c>
      <c r="R1134" s="232">
        <v>1137.6600000000001</v>
      </c>
      <c r="S1134" s="35">
        <v>0.80138279165697046</v>
      </c>
      <c r="T1134" s="232">
        <v>26073.02</v>
      </c>
      <c r="U1134" s="35">
        <v>0.98237943992696586</v>
      </c>
      <c r="W1134" s="35">
        <f t="shared" si="109"/>
        <v>465.84076929330348</v>
      </c>
      <c r="X1134" s="35">
        <f t="shared" si="110"/>
        <v>38931.479582848522</v>
      </c>
      <c r="Y1134" s="35">
        <f t="shared" si="111"/>
        <v>23045.951996348293</v>
      </c>
      <c r="Z1134" s="35">
        <f t="shared" si="112"/>
        <v>0</v>
      </c>
      <c r="AA1134" s="35">
        <f t="shared" si="113"/>
        <v>1</v>
      </c>
      <c r="AB1134" s="35">
        <f t="shared" si="114"/>
        <v>0</v>
      </c>
    </row>
    <row r="1135" spans="1:28">
      <c r="A1135" s="35">
        <v>1124</v>
      </c>
      <c r="B1135" s="35">
        <v>3.9088960389226958E-4</v>
      </c>
      <c r="C1135" s="232">
        <v>48.42</v>
      </c>
      <c r="D1135" s="35">
        <v>5.056489483281819</v>
      </c>
      <c r="E1135" s="232">
        <v>33.43</v>
      </c>
      <c r="F1135" s="35">
        <v>5.0493358328406552</v>
      </c>
      <c r="G1135" s="232">
        <v>9737.18</v>
      </c>
      <c r="H1135" s="35">
        <v>8.3347548141375487</v>
      </c>
      <c r="I1135" s="232">
        <v>11144.59</v>
      </c>
      <c r="J1135" s="35">
        <v>7.2268888822824007</v>
      </c>
      <c r="K1135" s="232">
        <v>12018.65</v>
      </c>
      <c r="L1135" s="35">
        <v>8.2078200333318616</v>
      </c>
      <c r="M1135" s="232">
        <v>37980.22</v>
      </c>
      <c r="N1135" s="35">
        <v>7.1575545950014527</v>
      </c>
      <c r="P1135" s="232">
        <v>-14.99</v>
      </c>
      <c r="Q1135" s="35">
        <v>7.1536504411637836E-3</v>
      </c>
      <c r="R1135" s="232">
        <v>1407.41</v>
      </c>
      <c r="S1135" s="35">
        <v>1.107865931855148</v>
      </c>
      <c r="T1135" s="232">
        <v>25961.57</v>
      </c>
      <c r="U1135" s="35">
        <v>1.0502654383304089</v>
      </c>
      <c r="W1135" s="35">
        <f t="shared" si="109"/>
        <v>372.6725220581892</v>
      </c>
      <c r="X1135" s="35">
        <f t="shared" si="110"/>
        <v>53985.886592757401</v>
      </c>
      <c r="Y1135" s="35">
        <f t="shared" si="111"/>
        <v>26551.70191652044</v>
      </c>
      <c r="Z1135" s="35">
        <f t="shared" si="112"/>
        <v>0</v>
      </c>
      <c r="AA1135" s="35">
        <f t="shared" si="113"/>
        <v>1</v>
      </c>
      <c r="AB1135" s="35">
        <f t="shared" si="114"/>
        <v>0</v>
      </c>
    </row>
    <row r="1136" spans="1:28">
      <c r="A1136" s="35">
        <v>1125</v>
      </c>
      <c r="B1136" s="35">
        <v>4.9836574720463211E-4</v>
      </c>
      <c r="C1136" s="232">
        <v>74.92</v>
      </c>
      <c r="D1136" s="35">
        <v>5.0636332083901356</v>
      </c>
      <c r="E1136" s="232">
        <v>41.82</v>
      </c>
      <c r="F1136" s="35">
        <v>5.0510167182742158</v>
      </c>
      <c r="G1136" s="232">
        <v>11840.92</v>
      </c>
      <c r="H1136" s="35">
        <v>8.8283788053132604</v>
      </c>
      <c r="I1136" s="232">
        <v>12828.02</v>
      </c>
      <c r="J1136" s="35">
        <v>7.3501466168356222</v>
      </c>
      <c r="K1136" s="232">
        <v>13719.52</v>
      </c>
      <c r="L1136" s="35">
        <v>8.3707586262541902</v>
      </c>
      <c r="M1136" s="232">
        <v>39771.19</v>
      </c>
      <c r="N1136" s="35">
        <v>7.3040033649867144</v>
      </c>
      <c r="P1136" s="232">
        <v>-33.090000000000003</v>
      </c>
      <c r="Q1136" s="35">
        <v>1.261649011591981E-2</v>
      </c>
      <c r="R1136" s="232">
        <v>987.1</v>
      </c>
      <c r="S1136" s="35">
        <v>1.4782321884776382</v>
      </c>
      <c r="T1136" s="232">
        <v>26051.68</v>
      </c>
      <c r="U1136" s="35">
        <v>1.0667552612674758</v>
      </c>
      <c r="W1136" s="35">
        <f t="shared" si="109"/>
        <v>663.91450579599052</v>
      </c>
      <c r="X1136" s="35">
        <f t="shared" si="110"/>
        <v>72924.5094238819</v>
      </c>
      <c r="Y1136" s="35">
        <f t="shared" si="111"/>
        <v>27286.083063373786</v>
      </c>
      <c r="Z1136" s="35">
        <f t="shared" si="112"/>
        <v>0</v>
      </c>
      <c r="AA1136" s="35">
        <f t="shared" si="113"/>
        <v>1</v>
      </c>
      <c r="AB1136" s="35">
        <f t="shared" si="114"/>
        <v>0</v>
      </c>
    </row>
    <row r="1137" spans="1:28">
      <c r="A1137" s="35">
        <v>1126</v>
      </c>
      <c r="B1137" s="35">
        <v>5.4805593400564234E-4</v>
      </c>
      <c r="C1137" s="232">
        <v>93.94</v>
      </c>
      <c r="D1137" s="35">
        <v>5.0670710839238797</v>
      </c>
      <c r="E1137" s="232">
        <v>50.59</v>
      </c>
      <c r="F1137" s="35">
        <v>5.0524810869390278</v>
      </c>
      <c r="G1137" s="232">
        <v>13809.44</v>
      </c>
      <c r="H1137" s="35">
        <v>8.7966212703595499</v>
      </c>
      <c r="I1137" s="232">
        <v>14498.03</v>
      </c>
      <c r="J1137" s="35">
        <v>7.1971095683422028</v>
      </c>
      <c r="K1137" s="232">
        <v>17745.849999999999</v>
      </c>
      <c r="L1137" s="35">
        <v>8.8462744988123205</v>
      </c>
      <c r="M1137" s="232">
        <v>43986.16</v>
      </c>
      <c r="N1137" s="35">
        <v>7.720885288812144</v>
      </c>
      <c r="P1137" s="232">
        <v>-43.35</v>
      </c>
      <c r="Q1137" s="35">
        <v>1.4589996984851972E-2</v>
      </c>
      <c r="R1137" s="232">
        <v>688.59</v>
      </c>
      <c r="S1137" s="35">
        <v>1.599511702017347</v>
      </c>
      <c r="T1137" s="232">
        <v>26240.31</v>
      </c>
      <c r="U1137" s="35">
        <v>1.1253892100001766</v>
      </c>
      <c r="W1137" s="35">
        <f t="shared" si="109"/>
        <v>772.84984924259857</v>
      </c>
      <c r="X1137" s="35">
        <f t="shared" si="110"/>
        <v>79286.995100867352</v>
      </c>
      <c r="Y1137" s="35">
        <f t="shared" si="111"/>
        <v>30029.150500008825</v>
      </c>
      <c r="Z1137" s="35">
        <f t="shared" si="112"/>
        <v>0</v>
      </c>
      <c r="AA1137" s="35">
        <f t="shared" si="113"/>
        <v>1</v>
      </c>
      <c r="AB1137" s="35">
        <f t="shared" si="114"/>
        <v>0</v>
      </c>
    </row>
    <row r="1138" spans="1:28">
      <c r="A1138" s="35">
        <v>1127</v>
      </c>
      <c r="B1138" s="35">
        <v>4.9470744708046688E-4</v>
      </c>
      <c r="C1138" s="232">
        <v>71.599999999999994</v>
      </c>
      <c r="D1138" s="35">
        <v>5.0642459112558162</v>
      </c>
      <c r="E1138" s="232">
        <v>45.28</v>
      </c>
      <c r="F1138" s="35">
        <v>5.0532215546971528</v>
      </c>
      <c r="G1138" s="232">
        <v>11032.81</v>
      </c>
      <c r="H1138" s="35">
        <v>8.6465147009777166</v>
      </c>
      <c r="I1138" s="232">
        <v>12010.17</v>
      </c>
      <c r="J1138" s="35">
        <v>7.3267703588303554</v>
      </c>
      <c r="K1138" s="232">
        <v>14361.57</v>
      </c>
      <c r="L1138" s="35">
        <v>8.8552399176750036</v>
      </c>
      <c r="M1138" s="232">
        <v>40426.519999999997</v>
      </c>
      <c r="N1138" s="35">
        <v>7.6866145248822102</v>
      </c>
      <c r="P1138" s="232">
        <v>-26.32</v>
      </c>
      <c r="Q1138" s="35">
        <v>1.1024356558663406E-2</v>
      </c>
      <c r="R1138" s="232">
        <v>977.36</v>
      </c>
      <c r="S1138" s="35">
        <v>1.3197443421473611</v>
      </c>
      <c r="T1138" s="232">
        <v>26064.95</v>
      </c>
      <c r="U1138" s="35">
        <v>1.1686253927927934</v>
      </c>
      <c r="W1138" s="35">
        <f t="shared" si="109"/>
        <v>577.53782793317032</v>
      </c>
      <c r="X1138" s="35">
        <f t="shared" si="110"/>
        <v>65009.85710736805</v>
      </c>
      <c r="Y1138" s="35">
        <f t="shared" si="111"/>
        <v>32366.319639639671</v>
      </c>
      <c r="Z1138" s="35">
        <f t="shared" si="112"/>
        <v>0</v>
      </c>
      <c r="AA1138" s="35">
        <f t="shared" si="113"/>
        <v>1</v>
      </c>
      <c r="AB1138" s="35">
        <f t="shared" si="114"/>
        <v>0</v>
      </c>
    </row>
    <row r="1139" spans="1:28">
      <c r="A1139" s="35">
        <v>1128</v>
      </c>
      <c r="B1139" s="35">
        <v>3.8535112337393014E-4</v>
      </c>
      <c r="C1139" s="232">
        <v>49.23</v>
      </c>
      <c r="D1139" s="35">
        <v>5.0586426056800988</v>
      </c>
      <c r="E1139" s="232">
        <v>32.04</v>
      </c>
      <c r="F1139" s="35">
        <v>5.0498647999367448</v>
      </c>
      <c r="G1139" s="232">
        <v>10487.84</v>
      </c>
      <c r="H1139" s="35">
        <v>8.8715047954828794</v>
      </c>
      <c r="I1139" s="232">
        <v>12526.75</v>
      </c>
      <c r="J1139" s="35">
        <v>7.6283397155708208</v>
      </c>
      <c r="K1139" s="232">
        <v>10651.9</v>
      </c>
      <c r="L1139" s="35">
        <v>8.8464318785137142</v>
      </c>
      <c r="M1139" s="232">
        <v>36567.56</v>
      </c>
      <c r="N1139" s="35">
        <v>7.7489539019130369</v>
      </c>
      <c r="P1139" s="232">
        <v>-17.190000000000001</v>
      </c>
      <c r="Q1139" s="35">
        <v>8.7778057433540724E-3</v>
      </c>
      <c r="R1139" s="232">
        <v>2038.9</v>
      </c>
      <c r="S1139" s="35">
        <v>1.2431650799120586</v>
      </c>
      <c r="T1139" s="232">
        <v>25915.66</v>
      </c>
      <c r="U1139" s="35">
        <v>1.0974779766006773</v>
      </c>
      <c r="W1139" s="35">
        <f t="shared" si="109"/>
        <v>456.0802871677036</v>
      </c>
      <c r="X1139" s="35">
        <f t="shared" si="110"/>
        <v>60119.353995602927</v>
      </c>
      <c r="Y1139" s="35">
        <f t="shared" si="111"/>
        <v>28958.238830033861</v>
      </c>
      <c r="Z1139" s="35">
        <f t="shared" si="112"/>
        <v>0</v>
      </c>
      <c r="AA1139" s="35">
        <f t="shared" si="113"/>
        <v>1</v>
      </c>
      <c r="AB1139" s="35">
        <f t="shared" si="114"/>
        <v>0</v>
      </c>
    </row>
    <row r="1140" spans="1:28">
      <c r="A1140" s="35">
        <v>1129</v>
      </c>
      <c r="B1140" s="35">
        <v>4.192959188876935E-4</v>
      </c>
      <c r="C1140" s="232">
        <v>67.16</v>
      </c>
      <c r="D1140" s="35">
        <v>5.0611161680175254</v>
      </c>
      <c r="E1140" s="232">
        <v>38.659999999999997</v>
      </c>
      <c r="F1140" s="35">
        <v>5.0500080929864017</v>
      </c>
      <c r="G1140" s="232">
        <v>12718.02</v>
      </c>
      <c r="H1140" s="35">
        <v>9.2469655596754894</v>
      </c>
      <c r="I1140" s="232">
        <v>14680.74</v>
      </c>
      <c r="J1140" s="35">
        <v>8.9794555016232103</v>
      </c>
      <c r="K1140" s="232">
        <v>15838.19</v>
      </c>
      <c r="L1140" s="35">
        <v>8.7055943954995918</v>
      </c>
      <c r="M1140" s="232">
        <v>42055.62</v>
      </c>
      <c r="N1140" s="35">
        <v>7.6543083529812161</v>
      </c>
      <c r="P1140" s="232">
        <v>-28.5</v>
      </c>
      <c r="Q1140" s="35">
        <v>1.1108075031123654E-2</v>
      </c>
      <c r="R1140" s="232">
        <v>1962.71</v>
      </c>
      <c r="S1140" s="35">
        <v>0.26751005805227912</v>
      </c>
      <c r="T1140" s="232">
        <v>26217.43</v>
      </c>
      <c r="U1140" s="35">
        <v>1.0512860425183757</v>
      </c>
      <c r="W1140" s="35">
        <f t="shared" si="109"/>
        <v>583.90375155618267</v>
      </c>
      <c r="X1140" s="35">
        <f t="shared" si="110"/>
        <v>11412.792902613957</v>
      </c>
      <c r="Y1140" s="35">
        <f t="shared" si="111"/>
        <v>26346.872125918781</v>
      </c>
      <c r="Z1140" s="35">
        <f t="shared" si="112"/>
        <v>0</v>
      </c>
      <c r="AA1140" s="35">
        <f t="shared" si="113"/>
        <v>0</v>
      </c>
      <c r="AB1140" s="35">
        <f t="shared" si="114"/>
        <v>1</v>
      </c>
    </row>
    <row r="1141" spans="1:28">
      <c r="A1141" s="35">
        <v>1130</v>
      </c>
      <c r="B1141" s="35">
        <v>5.2616997590759773E-4</v>
      </c>
      <c r="C1141" s="232">
        <v>80.59</v>
      </c>
      <c r="D1141" s="35">
        <v>5.0679134702081408</v>
      </c>
      <c r="E1141" s="232">
        <v>49.1</v>
      </c>
      <c r="F1141" s="35">
        <v>5.0548301859234055</v>
      </c>
      <c r="G1141" s="232">
        <v>11851.24</v>
      </c>
      <c r="H1141" s="35">
        <v>9.1985806363838218</v>
      </c>
      <c r="I1141" s="232">
        <v>11512.87</v>
      </c>
      <c r="J1141" s="35">
        <v>7.0806073386398074</v>
      </c>
      <c r="K1141" s="232">
        <v>16233.81</v>
      </c>
      <c r="L1141" s="35">
        <v>8.7901502434159298</v>
      </c>
      <c r="M1141" s="232">
        <v>42586.879999999997</v>
      </c>
      <c r="N1141" s="35">
        <v>7.6138619178665525</v>
      </c>
      <c r="P1141" s="232">
        <v>-31.49</v>
      </c>
      <c r="Q1141" s="35">
        <v>1.3083284284735264E-2</v>
      </c>
      <c r="R1141" s="232">
        <v>-338.37</v>
      </c>
      <c r="S1141" s="35">
        <v>2.1179732977440144</v>
      </c>
      <c r="T1141" s="232">
        <v>26353.08</v>
      </c>
      <c r="U1141" s="35">
        <v>1.1762883255493772</v>
      </c>
      <c r="W1141" s="35">
        <f t="shared" si="109"/>
        <v>685.65421423676321</v>
      </c>
      <c r="X1141" s="35">
        <f t="shared" si="110"/>
        <v>106237.03488720072</v>
      </c>
      <c r="Y1141" s="35">
        <f t="shared" si="111"/>
        <v>32461.336277468858</v>
      </c>
      <c r="Z1141" s="35">
        <f t="shared" si="112"/>
        <v>0</v>
      </c>
      <c r="AA1141" s="35">
        <f t="shared" si="113"/>
        <v>1</v>
      </c>
      <c r="AB1141" s="35">
        <f t="shared" si="114"/>
        <v>0</v>
      </c>
    </row>
    <row r="1142" spans="1:28">
      <c r="A1142" s="35">
        <v>1131</v>
      </c>
      <c r="B1142" s="35">
        <v>4.3844446409204856E-4</v>
      </c>
      <c r="C1142" s="232">
        <v>61.29</v>
      </c>
      <c r="D1142" s="35">
        <v>5.0600292512427014</v>
      </c>
      <c r="E1142" s="232">
        <v>40.700000000000003</v>
      </c>
      <c r="F1142" s="35">
        <v>5.0512811894827117</v>
      </c>
      <c r="G1142" s="232">
        <v>11240.47</v>
      </c>
      <c r="H1142" s="35">
        <v>8.7438784108444896</v>
      </c>
      <c r="I1142" s="232">
        <v>12611.26</v>
      </c>
      <c r="J1142" s="35">
        <v>7.2197323058865841</v>
      </c>
      <c r="K1142" s="232">
        <v>12738.78</v>
      </c>
      <c r="L1142" s="35">
        <v>8.2383990289894946</v>
      </c>
      <c r="M1142" s="232">
        <v>38725.120000000003</v>
      </c>
      <c r="N1142" s="35">
        <v>7.1766552461391333</v>
      </c>
      <c r="P1142" s="232">
        <v>-20.59</v>
      </c>
      <c r="Q1142" s="35">
        <v>8.748061759989767E-3</v>
      </c>
      <c r="R1142" s="232">
        <v>1370.79</v>
      </c>
      <c r="S1142" s="35">
        <v>1.5241461049579055</v>
      </c>
      <c r="T1142" s="232">
        <v>25986.34</v>
      </c>
      <c r="U1142" s="35">
        <v>1.0617437828503613</v>
      </c>
      <c r="W1142" s="35">
        <f t="shared" si="109"/>
        <v>457.9930879994883</v>
      </c>
      <c r="X1142" s="35">
        <f t="shared" si="110"/>
        <v>74836.51524789528</v>
      </c>
      <c r="Y1142" s="35">
        <f t="shared" si="111"/>
        <v>27100.849142518065</v>
      </c>
      <c r="Z1142" s="35">
        <f t="shared" si="112"/>
        <v>0</v>
      </c>
      <c r="AA1142" s="35">
        <f t="shared" si="113"/>
        <v>1</v>
      </c>
      <c r="AB1142" s="35">
        <f t="shared" si="114"/>
        <v>0</v>
      </c>
    </row>
    <row r="1143" spans="1:28">
      <c r="A1143" s="35">
        <v>1132</v>
      </c>
      <c r="B1143" s="35">
        <v>4.7669429706287403E-4</v>
      </c>
      <c r="C1143" s="232">
        <v>71.989999999999995</v>
      </c>
      <c r="D1143" s="35">
        <v>5.0644090144459133</v>
      </c>
      <c r="E1143" s="232">
        <v>48.17</v>
      </c>
      <c r="F1143" s="35">
        <v>5.0542970487925283</v>
      </c>
      <c r="G1143" s="232">
        <v>11393.68</v>
      </c>
      <c r="H1143" s="35">
        <v>8.810222756129237</v>
      </c>
      <c r="I1143" s="232">
        <v>11894.1</v>
      </c>
      <c r="J1143" s="35">
        <v>7.0299739377511754</v>
      </c>
      <c r="K1143" s="232">
        <v>14415.97</v>
      </c>
      <c r="L1143" s="35">
        <v>9.2146236649094604</v>
      </c>
      <c r="M1143" s="232">
        <v>40429.03</v>
      </c>
      <c r="N1143" s="35">
        <v>8.1912449521762856</v>
      </c>
      <c r="P1143" s="232">
        <v>-23.82</v>
      </c>
      <c r="Q1143" s="35">
        <v>1.0111965653385013E-2</v>
      </c>
      <c r="R1143" s="232">
        <v>500.43</v>
      </c>
      <c r="S1143" s="35">
        <v>1.7802488183780616</v>
      </c>
      <c r="T1143" s="232">
        <v>26013.06</v>
      </c>
      <c r="U1143" s="35">
        <v>1.0233787127331748</v>
      </c>
      <c r="W1143" s="35">
        <f t="shared" si="109"/>
        <v>529.41828266925074</v>
      </c>
      <c r="X1143" s="35">
        <f t="shared" si="110"/>
        <v>88512.010918903092</v>
      </c>
      <c r="Y1143" s="35">
        <f t="shared" si="111"/>
        <v>25155.875636658737</v>
      </c>
      <c r="Z1143" s="35">
        <f t="shared" si="112"/>
        <v>0</v>
      </c>
      <c r="AA1143" s="35">
        <f t="shared" si="113"/>
        <v>1</v>
      </c>
      <c r="AB1143" s="35">
        <f t="shared" si="114"/>
        <v>0</v>
      </c>
    </row>
    <row r="1144" spans="1:28">
      <c r="A1144" s="35">
        <v>1133</v>
      </c>
      <c r="B1144" s="35">
        <v>4.1634019551224432E-4</v>
      </c>
      <c r="C1144" s="232">
        <v>63.84</v>
      </c>
      <c r="D1144" s="35">
        <v>5.060640574510086</v>
      </c>
      <c r="E1144" s="232">
        <v>37.83</v>
      </c>
      <c r="F1144" s="35">
        <v>5.0500824553609336</v>
      </c>
      <c r="G1144" s="232">
        <v>10929.38</v>
      </c>
      <c r="H1144" s="35">
        <v>8.9906194719640435</v>
      </c>
      <c r="I1144" s="232">
        <v>10045.32</v>
      </c>
      <c r="J1144" s="35">
        <v>7.3617340747631435</v>
      </c>
      <c r="K1144" s="232">
        <v>16555.400000000001</v>
      </c>
      <c r="L1144" s="35">
        <v>8.7369196052066282</v>
      </c>
      <c r="M1144" s="232">
        <v>42744.55</v>
      </c>
      <c r="N1144" s="35">
        <v>7.5787310492741451</v>
      </c>
      <c r="P1144" s="232">
        <v>-26</v>
      </c>
      <c r="Q1144" s="35">
        <v>1.055811914915239E-2</v>
      </c>
      <c r="R1144" s="232">
        <v>-884.07</v>
      </c>
      <c r="S1144" s="35">
        <v>1.6288853972009001</v>
      </c>
      <c r="T1144" s="232">
        <v>26189.15</v>
      </c>
      <c r="U1144" s="35">
        <v>1.1581885559324832</v>
      </c>
      <c r="W1144" s="35">
        <f t="shared" si="109"/>
        <v>553.90595745761948</v>
      </c>
      <c r="X1144" s="35">
        <f t="shared" si="110"/>
        <v>82328.339860045016</v>
      </c>
      <c r="Y1144" s="35">
        <f t="shared" si="111"/>
        <v>31720.277796624156</v>
      </c>
      <c r="Z1144" s="35">
        <f t="shared" si="112"/>
        <v>0</v>
      </c>
      <c r="AA1144" s="35">
        <f t="shared" si="113"/>
        <v>1</v>
      </c>
      <c r="AB1144" s="35">
        <f t="shared" si="114"/>
        <v>0</v>
      </c>
    </row>
    <row r="1145" spans="1:28">
      <c r="A1145" s="35">
        <v>1134</v>
      </c>
      <c r="B1145" s="35">
        <v>4.7039115617630856E-4</v>
      </c>
      <c r="C1145" s="232">
        <v>75.959999999999994</v>
      </c>
      <c r="D1145" s="35">
        <v>5.0626154447367471</v>
      </c>
      <c r="E1145" s="232">
        <v>52.44</v>
      </c>
      <c r="F1145" s="35">
        <v>5.0537793086350167</v>
      </c>
      <c r="G1145" s="232">
        <v>12018.18</v>
      </c>
      <c r="H1145" s="35">
        <v>8.6952300991026199</v>
      </c>
      <c r="I1145" s="232">
        <v>12900.82</v>
      </c>
      <c r="J1145" s="35">
        <v>7.7170803798029466</v>
      </c>
      <c r="K1145" s="232">
        <v>16297.49</v>
      </c>
      <c r="L1145" s="35">
        <v>8.7447250371691876</v>
      </c>
      <c r="M1145" s="232">
        <v>42450.15</v>
      </c>
      <c r="N1145" s="35">
        <v>7.7403407164818852</v>
      </c>
      <c r="P1145" s="232">
        <v>-23.52</v>
      </c>
      <c r="Q1145" s="35">
        <v>8.8361361017303963E-3</v>
      </c>
      <c r="R1145" s="232">
        <v>882.64</v>
      </c>
      <c r="S1145" s="35">
        <v>0.97814971929967331</v>
      </c>
      <c r="T1145" s="232">
        <v>26152.65</v>
      </c>
      <c r="U1145" s="35">
        <v>1.0043843206873024</v>
      </c>
      <c r="W1145" s="35">
        <f t="shared" si="109"/>
        <v>465.32680508651981</v>
      </c>
      <c r="X1145" s="35">
        <f t="shared" si="110"/>
        <v>48024.845964983666</v>
      </c>
      <c r="Y1145" s="35">
        <f t="shared" si="111"/>
        <v>24066.566034365118</v>
      </c>
      <c r="Z1145" s="35">
        <f t="shared" si="112"/>
        <v>0</v>
      </c>
      <c r="AA1145" s="35">
        <f t="shared" si="113"/>
        <v>1</v>
      </c>
      <c r="AB1145" s="35">
        <f t="shared" si="114"/>
        <v>0</v>
      </c>
    </row>
    <row r="1146" spans="1:28">
      <c r="A1146" s="35">
        <v>1135</v>
      </c>
      <c r="B1146" s="35">
        <v>4.5219888754088888E-4</v>
      </c>
      <c r="C1146" s="232">
        <v>85.51</v>
      </c>
      <c r="D1146" s="35">
        <v>5.062254955024418</v>
      </c>
      <c r="E1146" s="232">
        <v>52.94</v>
      </c>
      <c r="F1146" s="35">
        <v>5.0519419043223115</v>
      </c>
      <c r="G1146" s="232">
        <v>14663.94</v>
      </c>
      <c r="H1146" s="35">
        <v>9.011637751352815</v>
      </c>
      <c r="I1146" s="232">
        <v>15207.06</v>
      </c>
      <c r="J1146" s="35">
        <v>7.6931599215319109</v>
      </c>
      <c r="K1146" s="232">
        <v>18042.5</v>
      </c>
      <c r="L1146" s="35">
        <v>8.6303997108592654</v>
      </c>
      <c r="M1146" s="232">
        <v>44164.160000000003</v>
      </c>
      <c r="N1146" s="35">
        <v>7.5841968783895766</v>
      </c>
      <c r="P1146" s="232">
        <v>-32.58</v>
      </c>
      <c r="Q1146" s="35">
        <v>1.031305070210653E-2</v>
      </c>
      <c r="R1146" s="232">
        <v>543.12</v>
      </c>
      <c r="S1146" s="35">
        <v>1.3184778298209041</v>
      </c>
      <c r="T1146" s="232">
        <v>26121.66</v>
      </c>
      <c r="U1146" s="35">
        <v>1.0462028324696888</v>
      </c>
      <c r="W1146" s="35">
        <f t="shared" si="109"/>
        <v>548.23253510532652</v>
      </c>
      <c r="X1146" s="35">
        <f t="shared" si="110"/>
        <v>65380.771491045198</v>
      </c>
      <c r="Y1146" s="35">
        <f t="shared" si="111"/>
        <v>26188.481623484444</v>
      </c>
      <c r="Z1146" s="35">
        <f t="shared" si="112"/>
        <v>0</v>
      </c>
      <c r="AA1146" s="35">
        <f t="shared" si="113"/>
        <v>1</v>
      </c>
      <c r="AB1146" s="35">
        <f t="shared" si="114"/>
        <v>0</v>
      </c>
    </row>
    <row r="1147" spans="1:28">
      <c r="A1147" s="35">
        <v>1136</v>
      </c>
      <c r="B1147" s="35">
        <v>3.7649334577776714E-4</v>
      </c>
      <c r="C1147" s="232">
        <v>52.05</v>
      </c>
      <c r="D1147" s="35">
        <v>5.0572183004911544</v>
      </c>
      <c r="E1147" s="232">
        <v>33.950000000000003</v>
      </c>
      <c r="F1147" s="35">
        <v>5.0491500700766094</v>
      </c>
      <c r="G1147" s="232">
        <v>10916.11</v>
      </c>
      <c r="H1147" s="35">
        <v>8.8123987244509205</v>
      </c>
      <c r="I1147" s="232">
        <v>11605.47</v>
      </c>
      <c r="J1147" s="35">
        <v>7.0784276205963961</v>
      </c>
      <c r="K1147" s="232">
        <v>13158.03</v>
      </c>
      <c r="L1147" s="35">
        <v>8.2701405532216459</v>
      </c>
      <c r="M1147" s="232">
        <v>38966.22</v>
      </c>
      <c r="N1147" s="35">
        <v>7.1484184939851767</v>
      </c>
      <c r="P1147" s="232">
        <v>-18.100000000000001</v>
      </c>
      <c r="Q1147" s="35">
        <v>8.0682304145449635E-3</v>
      </c>
      <c r="R1147" s="232">
        <v>689.35</v>
      </c>
      <c r="S1147" s="35">
        <v>1.7339711038545245</v>
      </c>
      <c r="T1147" s="232">
        <v>25808.19</v>
      </c>
      <c r="U1147" s="35">
        <v>1.1217220592364692</v>
      </c>
      <c r="W1147" s="35">
        <f t="shared" si="109"/>
        <v>421.51152072724818</v>
      </c>
      <c r="X1147" s="35">
        <f t="shared" si="110"/>
        <v>86009.205192726222</v>
      </c>
      <c r="Y1147" s="35">
        <f t="shared" si="111"/>
        <v>30277.912961823462</v>
      </c>
      <c r="Z1147" s="35">
        <f t="shared" si="112"/>
        <v>0</v>
      </c>
      <c r="AA1147" s="35">
        <f t="shared" si="113"/>
        <v>1</v>
      </c>
      <c r="AB1147" s="35">
        <f t="shared" si="114"/>
        <v>0</v>
      </c>
    </row>
    <row r="1148" spans="1:28">
      <c r="A1148" s="35">
        <v>1137</v>
      </c>
      <c r="B1148" s="35">
        <v>5.121442687415767E-4</v>
      </c>
      <c r="C1148" s="232">
        <v>49.09</v>
      </c>
      <c r="D1148" s="35">
        <v>5.0650148741612782</v>
      </c>
      <c r="E1148" s="232">
        <v>32.11</v>
      </c>
      <c r="F1148" s="35">
        <v>5.0536209853400527</v>
      </c>
      <c r="G1148" s="232">
        <v>7301.73</v>
      </c>
      <c r="H1148" s="35">
        <v>8.6361131512343654</v>
      </c>
      <c r="I1148" s="232">
        <v>8794.31</v>
      </c>
      <c r="J1148" s="35">
        <v>7.3761771804613865</v>
      </c>
      <c r="K1148" s="232">
        <v>8889.57</v>
      </c>
      <c r="L1148" s="35">
        <v>8.8860580840616148</v>
      </c>
      <c r="M1148" s="232">
        <v>34697.949999999997</v>
      </c>
      <c r="N1148" s="35">
        <v>7.7431049370054739</v>
      </c>
      <c r="P1148" s="232">
        <v>-16.98</v>
      </c>
      <c r="Q1148" s="35">
        <v>1.1393888821225495E-2</v>
      </c>
      <c r="R1148" s="232">
        <v>1492.59</v>
      </c>
      <c r="S1148" s="35">
        <v>1.2599359707729789</v>
      </c>
      <c r="T1148" s="232">
        <v>25808.38</v>
      </c>
      <c r="U1148" s="35">
        <v>1.1429531470561409</v>
      </c>
      <c r="W1148" s="35">
        <f t="shared" si="109"/>
        <v>586.67444106127482</v>
      </c>
      <c r="X1148" s="35">
        <f t="shared" si="110"/>
        <v>61504.208538648949</v>
      </c>
      <c r="Y1148" s="35">
        <f t="shared" si="111"/>
        <v>31339.277352807043</v>
      </c>
      <c r="Z1148" s="35">
        <f t="shared" si="112"/>
        <v>0</v>
      </c>
      <c r="AA1148" s="35">
        <f t="shared" si="113"/>
        <v>1</v>
      </c>
      <c r="AB1148" s="35">
        <f t="shared" si="114"/>
        <v>0</v>
      </c>
    </row>
    <row r="1149" spans="1:28">
      <c r="A1149" s="35">
        <v>1138</v>
      </c>
      <c r="B1149" s="35">
        <v>3.0141030430704923E-4</v>
      </c>
      <c r="C1149" s="232">
        <v>45.58</v>
      </c>
      <c r="D1149" s="35">
        <v>5.0527686798980227</v>
      </c>
      <c r="E1149" s="232">
        <v>31.15</v>
      </c>
      <c r="F1149" s="35">
        <v>5.0468738436002818</v>
      </c>
      <c r="G1149" s="232">
        <v>11147.19</v>
      </c>
      <c r="H1149" s="35">
        <v>8.332668420294759</v>
      </c>
      <c r="I1149" s="232">
        <v>13572.05</v>
      </c>
      <c r="J1149" s="35">
        <v>8.4904097880536469</v>
      </c>
      <c r="K1149" s="232">
        <v>15092.45</v>
      </c>
      <c r="L1149" s="35">
        <v>8.5343727330088299</v>
      </c>
      <c r="M1149" s="232">
        <v>41133.480000000003</v>
      </c>
      <c r="N1149" s="35">
        <v>7.4874571254910043</v>
      </c>
      <c r="P1149" s="232">
        <v>-14.44</v>
      </c>
      <c r="Q1149" s="35">
        <v>5.8948362977409019E-3</v>
      </c>
      <c r="R1149" s="232">
        <v>2424.85</v>
      </c>
      <c r="S1149" s="35">
        <v>-0.15774136775888792</v>
      </c>
      <c r="T1149" s="232">
        <v>26041.03</v>
      </c>
      <c r="U1149" s="35">
        <v>1.0469156075178256</v>
      </c>
      <c r="W1149" s="35">
        <f t="shared" si="109"/>
        <v>309.18181488704511</v>
      </c>
      <c r="X1149" s="35">
        <f t="shared" si="110"/>
        <v>-10311.918387944395</v>
      </c>
      <c r="Y1149" s="35">
        <f t="shared" si="111"/>
        <v>26304.750375891286</v>
      </c>
      <c r="Z1149" s="35">
        <f t="shared" si="112"/>
        <v>0</v>
      </c>
      <c r="AA1149" s="35">
        <f t="shared" si="113"/>
        <v>0</v>
      </c>
      <c r="AB1149" s="35">
        <f t="shared" si="114"/>
        <v>1</v>
      </c>
    </row>
    <row r="1150" spans="1:28">
      <c r="A1150" s="35">
        <v>1139</v>
      </c>
      <c r="B1150" s="35">
        <v>3.9991311467401129E-4</v>
      </c>
      <c r="C1150" s="232">
        <v>51.35</v>
      </c>
      <c r="D1150" s="35">
        <v>5.0593052523274791</v>
      </c>
      <c r="E1150" s="232">
        <v>31.05</v>
      </c>
      <c r="F1150" s="35">
        <v>5.0493237696199023</v>
      </c>
      <c r="G1150" s="232">
        <v>10319.92</v>
      </c>
      <c r="H1150" s="35">
        <v>8.9687979924024326</v>
      </c>
      <c r="I1150" s="232">
        <v>12248.18</v>
      </c>
      <c r="J1150" s="35">
        <v>8.3213173417856421</v>
      </c>
      <c r="K1150" s="232">
        <v>11479.98</v>
      </c>
      <c r="L1150" s="35">
        <v>8.5262645593484461</v>
      </c>
      <c r="M1150" s="232">
        <v>37436.660000000003</v>
      </c>
      <c r="N1150" s="35">
        <v>7.4832987888161115</v>
      </c>
      <c r="P1150" s="232">
        <v>-20.309999999999999</v>
      </c>
      <c r="Q1150" s="35">
        <v>9.9814827075768164E-3</v>
      </c>
      <c r="R1150" s="232">
        <v>1928.26</v>
      </c>
      <c r="S1150" s="35">
        <v>0.6474806506167905</v>
      </c>
      <c r="T1150" s="232">
        <v>25956.68</v>
      </c>
      <c r="U1150" s="35">
        <v>1.0429657705323345</v>
      </c>
      <c r="W1150" s="35">
        <f t="shared" si="109"/>
        <v>519.38413537884082</v>
      </c>
      <c r="X1150" s="35">
        <f t="shared" si="110"/>
        <v>30445.772530839527</v>
      </c>
      <c r="Y1150" s="35">
        <f t="shared" si="111"/>
        <v>26191.608526616728</v>
      </c>
      <c r="Z1150" s="35">
        <f t="shared" si="112"/>
        <v>0</v>
      </c>
      <c r="AA1150" s="35">
        <f t="shared" si="113"/>
        <v>1</v>
      </c>
      <c r="AB1150" s="35">
        <f t="shared" si="114"/>
        <v>0</v>
      </c>
    </row>
    <row r="1151" spans="1:28">
      <c r="A1151" s="35">
        <v>1140</v>
      </c>
      <c r="B1151" s="35">
        <v>5.0038979926658733E-4</v>
      </c>
      <c r="C1151" s="232">
        <v>65.650000000000006</v>
      </c>
      <c r="D1151" s="35">
        <v>5.066312882323321</v>
      </c>
      <c r="E1151" s="232">
        <v>40.82</v>
      </c>
      <c r="F1151" s="35">
        <v>5.0539907875177938</v>
      </c>
      <c r="G1151" s="232">
        <v>10388.459999999999</v>
      </c>
      <c r="H1151" s="35">
        <v>9.1542444096303992</v>
      </c>
      <c r="I1151" s="232">
        <v>12012.09</v>
      </c>
      <c r="J1151" s="35">
        <v>8.263056329634777</v>
      </c>
      <c r="K1151" s="232">
        <v>12662.88</v>
      </c>
      <c r="L1151" s="35">
        <v>9.1246790757883414</v>
      </c>
      <c r="M1151" s="232">
        <v>38739.19</v>
      </c>
      <c r="N1151" s="35">
        <v>8.0313146821967027</v>
      </c>
      <c r="P1151" s="232">
        <v>-24.83</v>
      </c>
      <c r="Q1151" s="35">
        <v>1.2322094805527151E-2</v>
      </c>
      <c r="R1151" s="232">
        <v>1623.64</v>
      </c>
      <c r="S1151" s="35">
        <v>0.89118807999562222</v>
      </c>
      <c r="T1151" s="232">
        <v>26076.31</v>
      </c>
      <c r="U1151" s="35">
        <v>1.0933643935916386</v>
      </c>
      <c r="W1151" s="35">
        <f t="shared" si="109"/>
        <v>640.93474027635762</v>
      </c>
      <c r="X1151" s="35">
        <f t="shared" si="110"/>
        <v>42935.763999781113</v>
      </c>
      <c r="Y1151" s="35">
        <f t="shared" si="111"/>
        <v>28591.909679581931</v>
      </c>
      <c r="Z1151" s="35">
        <f t="shared" si="112"/>
        <v>0</v>
      </c>
      <c r="AA1151" s="35">
        <f t="shared" si="113"/>
        <v>1</v>
      </c>
      <c r="AB1151" s="35">
        <f t="shared" si="114"/>
        <v>0</v>
      </c>
    </row>
    <row r="1152" spans="1:28">
      <c r="A1152" s="35">
        <v>1141</v>
      </c>
      <c r="B1152" s="35">
        <v>4.2258841916294247E-4</v>
      </c>
      <c r="C1152" s="232">
        <v>66.2</v>
      </c>
      <c r="D1152" s="35">
        <v>5.0596737020863705</v>
      </c>
      <c r="E1152" s="232">
        <v>48.18</v>
      </c>
      <c r="F1152" s="35">
        <v>5.052547807324073</v>
      </c>
      <c r="G1152" s="232">
        <v>11041.15</v>
      </c>
      <c r="H1152" s="35">
        <v>8.2495692816664263</v>
      </c>
      <c r="I1152" s="232">
        <v>10254.370000000001</v>
      </c>
      <c r="J1152" s="35">
        <v>6.4082109165523908</v>
      </c>
      <c r="K1152" s="232">
        <v>17578.689999999999</v>
      </c>
      <c r="L1152" s="35">
        <v>9.11375809762351</v>
      </c>
      <c r="M1152" s="232">
        <v>43864.65</v>
      </c>
      <c r="N1152" s="35">
        <v>7.9747245623767586</v>
      </c>
      <c r="P1152" s="232">
        <v>-18.03</v>
      </c>
      <c r="Q1152" s="35">
        <v>7.1258947622974134E-3</v>
      </c>
      <c r="R1152" s="232">
        <v>-786.78</v>
      </c>
      <c r="S1152" s="35">
        <v>1.8413583651140355</v>
      </c>
      <c r="T1152" s="232">
        <v>26285.96</v>
      </c>
      <c r="U1152" s="35">
        <v>1.1390335352467513</v>
      </c>
      <c r="W1152" s="35">
        <f t="shared" si="109"/>
        <v>374.32473811487068</v>
      </c>
      <c r="X1152" s="35">
        <f t="shared" si="110"/>
        <v>92854.698255701776</v>
      </c>
      <c r="Y1152" s="35">
        <f t="shared" si="111"/>
        <v>30665.716762337564</v>
      </c>
      <c r="Z1152" s="35">
        <f t="shared" si="112"/>
        <v>0</v>
      </c>
      <c r="AA1152" s="35">
        <f t="shared" si="113"/>
        <v>1</v>
      </c>
      <c r="AB1152" s="35">
        <f t="shared" si="114"/>
        <v>0</v>
      </c>
    </row>
    <row r="1153" spans="1:28">
      <c r="A1153" s="35">
        <v>1142</v>
      </c>
      <c r="B1153" s="35">
        <v>4.0014958859851908E-4</v>
      </c>
      <c r="C1153" s="232">
        <v>63.62</v>
      </c>
      <c r="D1153" s="35">
        <v>5.0596825549001343</v>
      </c>
      <c r="E1153" s="232">
        <v>43.08</v>
      </c>
      <c r="F1153" s="35">
        <v>5.051402563517744</v>
      </c>
      <c r="G1153" s="232">
        <v>11741.53</v>
      </c>
      <c r="H1153" s="35">
        <v>8.8399733460482572</v>
      </c>
      <c r="I1153" s="232">
        <v>12205.85</v>
      </c>
      <c r="J1153" s="35">
        <v>7.4597011943345688</v>
      </c>
      <c r="K1153" s="232">
        <v>15222.15</v>
      </c>
      <c r="L1153" s="35">
        <v>8.7750113088173798</v>
      </c>
      <c r="M1153" s="232">
        <v>41369.050000000003</v>
      </c>
      <c r="N1153" s="35">
        <v>7.6284955754490351</v>
      </c>
      <c r="P1153" s="232">
        <v>-20.54</v>
      </c>
      <c r="Q1153" s="35">
        <v>8.2799913823903282E-3</v>
      </c>
      <c r="R1153" s="232">
        <v>464.32</v>
      </c>
      <c r="S1153" s="35">
        <v>1.3802721517136884</v>
      </c>
      <c r="T1153" s="232">
        <v>26146.9</v>
      </c>
      <c r="U1153" s="35">
        <v>1.1465157333683447</v>
      </c>
      <c r="W1153" s="35">
        <f t="shared" si="109"/>
        <v>434.53956911951644</v>
      </c>
      <c r="X1153" s="35">
        <f t="shared" si="110"/>
        <v>68549.287585684418</v>
      </c>
      <c r="Y1153" s="35">
        <f t="shared" si="111"/>
        <v>31178.886668417232</v>
      </c>
      <c r="Z1153" s="35">
        <f t="shared" si="112"/>
        <v>0</v>
      </c>
      <c r="AA1153" s="35">
        <f t="shared" si="113"/>
        <v>1</v>
      </c>
      <c r="AB1153" s="35">
        <f t="shared" si="114"/>
        <v>0</v>
      </c>
    </row>
    <row r="1154" spans="1:28">
      <c r="A1154" s="35">
        <v>1143</v>
      </c>
      <c r="B1154" s="35">
        <v>3.2635075294359158E-4</v>
      </c>
      <c r="C1154" s="232">
        <v>53.19</v>
      </c>
      <c r="D1154" s="35">
        <v>5.0548737226528742</v>
      </c>
      <c r="E1154" s="232">
        <v>31.56</v>
      </c>
      <c r="F1154" s="35">
        <v>5.04681254005681</v>
      </c>
      <c r="G1154" s="232">
        <v>12139.71</v>
      </c>
      <c r="H1154" s="35">
        <v>8.6445828927865467</v>
      </c>
      <c r="I1154" s="232">
        <v>11533.92</v>
      </c>
      <c r="J1154" s="35">
        <v>7.0865813961572295</v>
      </c>
      <c r="K1154" s="232">
        <v>19540.79</v>
      </c>
      <c r="L1154" s="35">
        <v>8.6985191096738639</v>
      </c>
      <c r="M1154" s="232">
        <v>45915.34</v>
      </c>
      <c r="N1154" s="35">
        <v>7.6426016065563802</v>
      </c>
      <c r="P1154" s="232">
        <v>-21.63</v>
      </c>
      <c r="Q1154" s="35">
        <v>8.0611825960641426E-3</v>
      </c>
      <c r="R1154" s="232">
        <v>-605.79</v>
      </c>
      <c r="S1154" s="35">
        <v>1.5580014966293172</v>
      </c>
      <c r="T1154" s="232">
        <v>26374.55</v>
      </c>
      <c r="U1154" s="35">
        <v>1.0559175031174837</v>
      </c>
      <c r="W1154" s="35">
        <f t="shared" si="109"/>
        <v>424.68912980320715</v>
      </c>
      <c r="X1154" s="35">
        <f t="shared" si="110"/>
        <v>78505.864831465849</v>
      </c>
      <c r="Y1154" s="35">
        <f t="shared" si="111"/>
        <v>26421.325155874187</v>
      </c>
      <c r="Z1154" s="35">
        <f t="shared" si="112"/>
        <v>0</v>
      </c>
      <c r="AA1154" s="35">
        <f t="shared" si="113"/>
        <v>1</v>
      </c>
      <c r="AB1154" s="35">
        <f t="shared" si="114"/>
        <v>0</v>
      </c>
    </row>
    <row r="1155" spans="1:28">
      <c r="A1155" s="35">
        <v>1144</v>
      </c>
      <c r="B1155" s="35">
        <v>3.8796610944535497E-4</v>
      </c>
      <c r="C1155" s="232">
        <v>47.49</v>
      </c>
      <c r="D1155" s="35">
        <v>5.0581282699805108</v>
      </c>
      <c r="E1155" s="232">
        <v>34.07</v>
      </c>
      <c r="F1155" s="35">
        <v>5.0508616764760514</v>
      </c>
      <c r="G1155" s="232">
        <v>9307.52</v>
      </c>
      <c r="H1155" s="35">
        <v>8.6711630058125362</v>
      </c>
      <c r="I1155" s="232">
        <v>11055.35</v>
      </c>
      <c r="J1155" s="35">
        <v>8.1818473753239314</v>
      </c>
      <c r="K1155" s="232">
        <v>12863.3</v>
      </c>
      <c r="L1155" s="35">
        <v>8.5298612907154148</v>
      </c>
      <c r="M1155" s="232">
        <v>38950.769999999997</v>
      </c>
      <c r="N1155" s="35">
        <v>7.4138580788589925</v>
      </c>
      <c r="P1155" s="232">
        <v>-13.42</v>
      </c>
      <c r="Q1155" s="35">
        <v>7.266593504459351E-3</v>
      </c>
      <c r="R1155" s="232">
        <v>1747.83</v>
      </c>
      <c r="S1155" s="35">
        <v>0.48931563048860482</v>
      </c>
      <c r="T1155" s="232">
        <v>26087.46</v>
      </c>
      <c r="U1155" s="35">
        <v>1.1160032118564223</v>
      </c>
      <c r="W1155" s="35">
        <f t="shared" si="109"/>
        <v>376.7496752229676</v>
      </c>
      <c r="X1155" s="35">
        <f t="shared" si="110"/>
        <v>22717.951524430238</v>
      </c>
      <c r="Y1155" s="35">
        <f t="shared" si="111"/>
        <v>29712.700592821115</v>
      </c>
      <c r="Z1155" s="35">
        <f t="shared" si="112"/>
        <v>0</v>
      </c>
      <c r="AA1155" s="35">
        <f t="shared" si="113"/>
        <v>0</v>
      </c>
      <c r="AB1155" s="35">
        <f t="shared" si="114"/>
        <v>1</v>
      </c>
    </row>
    <row r="1156" spans="1:28">
      <c r="A1156" s="35">
        <v>1145</v>
      </c>
      <c r="B1156" s="35">
        <v>4.8352702673049031E-4</v>
      </c>
      <c r="C1156" s="232">
        <v>67.489999999999995</v>
      </c>
      <c r="D1156" s="35">
        <v>5.06321187234101</v>
      </c>
      <c r="E1156" s="232">
        <v>43.46</v>
      </c>
      <c r="F1156" s="35">
        <v>5.0528350843877714</v>
      </c>
      <c r="G1156" s="232">
        <v>10669.42</v>
      </c>
      <c r="H1156" s="35">
        <v>8.6582280932319851</v>
      </c>
      <c r="I1156" s="232">
        <v>11049.94</v>
      </c>
      <c r="J1156" s="35">
        <v>6.7630061470067275</v>
      </c>
      <c r="K1156" s="232">
        <v>13570.14</v>
      </c>
      <c r="L1156" s="35">
        <v>8.7787401590591063</v>
      </c>
      <c r="M1156" s="232">
        <v>39591.89</v>
      </c>
      <c r="N1156" s="35">
        <v>7.7528389869425043</v>
      </c>
      <c r="P1156" s="232">
        <v>-24.03</v>
      </c>
      <c r="Q1156" s="35">
        <v>1.0376787953238598E-2</v>
      </c>
      <c r="R1156" s="232">
        <v>380.52</v>
      </c>
      <c r="S1156" s="35">
        <v>1.8952219462252575</v>
      </c>
      <c r="T1156" s="232">
        <v>26021.75</v>
      </c>
      <c r="U1156" s="35">
        <v>1.025901172116602</v>
      </c>
      <c r="W1156" s="35">
        <f t="shared" si="109"/>
        <v>542.86939766192984</v>
      </c>
      <c r="X1156" s="35">
        <f t="shared" si="110"/>
        <v>94380.577311262867</v>
      </c>
      <c r="Y1156" s="35">
        <f t="shared" si="111"/>
        <v>25273.308605830105</v>
      </c>
      <c r="Z1156" s="35">
        <f t="shared" si="112"/>
        <v>0</v>
      </c>
      <c r="AA1156" s="35">
        <f t="shared" si="113"/>
        <v>1</v>
      </c>
      <c r="AB1156" s="35">
        <f t="shared" si="114"/>
        <v>0</v>
      </c>
    </row>
    <row r="1157" spans="1:28">
      <c r="A1157" s="35">
        <v>1146</v>
      </c>
      <c r="B1157" s="35">
        <v>5.0005661832996928E-4</v>
      </c>
      <c r="C1157" s="232">
        <v>107.02</v>
      </c>
      <c r="D1157" s="35">
        <v>5.0654118834174708</v>
      </c>
      <c r="E1157" s="232">
        <v>61.45</v>
      </c>
      <c r="F1157" s="35">
        <v>5.0527642598269944</v>
      </c>
      <c r="G1157" s="232">
        <v>16278.54</v>
      </c>
      <c r="H1157" s="35">
        <v>9.1167871975382493</v>
      </c>
      <c r="I1157" s="232">
        <v>16754.060000000001</v>
      </c>
      <c r="J1157" s="35">
        <v>8.3232533324506655</v>
      </c>
      <c r="K1157" s="232">
        <v>23780.77</v>
      </c>
      <c r="L1157" s="35">
        <v>8.7515882554108586</v>
      </c>
      <c r="M1157" s="232">
        <v>50295.06</v>
      </c>
      <c r="N1157" s="35">
        <v>7.6146289102796354</v>
      </c>
      <c r="P1157" s="232">
        <v>-45.57</v>
      </c>
      <c r="Q1157" s="35">
        <v>1.2647623590476442E-2</v>
      </c>
      <c r="R1157" s="232">
        <v>475.52</v>
      </c>
      <c r="S1157" s="35">
        <v>0.79353386508758383</v>
      </c>
      <c r="T1157" s="232">
        <v>26514.29</v>
      </c>
      <c r="U1157" s="35">
        <v>1.1369593451312232</v>
      </c>
      <c r="W1157" s="35">
        <f t="shared" si="109"/>
        <v>677.95117952382213</v>
      </c>
      <c r="X1157" s="35">
        <f t="shared" si="110"/>
        <v>39201.173254379195</v>
      </c>
      <c r="Y1157" s="35">
        <f t="shared" si="111"/>
        <v>30333.677256561161</v>
      </c>
      <c r="Z1157" s="35">
        <f t="shared" si="112"/>
        <v>0</v>
      </c>
      <c r="AA1157" s="35">
        <f t="shared" si="113"/>
        <v>1</v>
      </c>
      <c r="AB1157" s="35">
        <f t="shared" si="114"/>
        <v>0</v>
      </c>
    </row>
    <row r="1158" spans="1:28">
      <c r="A1158" s="35">
        <v>1147</v>
      </c>
      <c r="B1158" s="35">
        <v>4.0532887242602627E-4</v>
      </c>
      <c r="C1158" s="232">
        <v>54.66</v>
      </c>
      <c r="D1158" s="35">
        <v>5.0601576649245894</v>
      </c>
      <c r="E1158" s="232">
        <v>34.47</v>
      </c>
      <c r="F1158" s="35">
        <v>5.0504566650874807</v>
      </c>
      <c r="G1158" s="232">
        <v>10173.81</v>
      </c>
      <c r="H1158" s="35">
        <v>9.0011916955358409</v>
      </c>
      <c r="I1158" s="232">
        <v>10876.32</v>
      </c>
      <c r="J1158" s="35">
        <v>7.296693413375154</v>
      </c>
      <c r="K1158" s="232">
        <v>11822.95</v>
      </c>
      <c r="L1158" s="35">
        <v>8.7869831013839068</v>
      </c>
      <c r="M1158" s="232">
        <v>37738.01</v>
      </c>
      <c r="N1158" s="35">
        <v>7.6381802104534868</v>
      </c>
      <c r="P1158" s="232">
        <v>-20.18</v>
      </c>
      <c r="Q1158" s="35">
        <v>9.7009998371087036E-3</v>
      </c>
      <c r="R1158" s="232">
        <v>702.51</v>
      </c>
      <c r="S1158" s="35">
        <v>1.7044982821606869</v>
      </c>
      <c r="T1158" s="232">
        <v>25915.06</v>
      </c>
      <c r="U1158" s="35">
        <v>1.14880289093042</v>
      </c>
      <c r="W1158" s="35">
        <f t="shared" si="109"/>
        <v>505.22999185543517</v>
      </c>
      <c r="X1158" s="35">
        <f t="shared" si="110"/>
        <v>84522.404108034345</v>
      </c>
      <c r="Y1158" s="35">
        <f t="shared" si="111"/>
        <v>31525.084546520997</v>
      </c>
      <c r="Z1158" s="35">
        <f t="shared" si="112"/>
        <v>0</v>
      </c>
      <c r="AA1158" s="35">
        <f t="shared" si="113"/>
        <v>1</v>
      </c>
      <c r="AB1158" s="35">
        <f t="shared" si="114"/>
        <v>0</v>
      </c>
    </row>
    <row r="1159" spans="1:28">
      <c r="A1159" s="35">
        <v>1148</v>
      </c>
      <c r="B1159" s="35">
        <v>3.7098104649119982E-4</v>
      </c>
      <c r="C1159" s="232">
        <v>61.25</v>
      </c>
      <c r="D1159" s="35">
        <v>5.0576744421276647</v>
      </c>
      <c r="E1159" s="232">
        <v>37.130000000000003</v>
      </c>
      <c r="F1159" s="35">
        <v>5.0487144655167553</v>
      </c>
      <c r="G1159" s="232">
        <v>12988.24</v>
      </c>
      <c r="H1159" s="35">
        <v>8.8945096528007905</v>
      </c>
      <c r="I1159" s="232">
        <v>14206.38</v>
      </c>
      <c r="J1159" s="35">
        <v>7.9758199100241205</v>
      </c>
      <c r="K1159" s="232">
        <v>16642.98</v>
      </c>
      <c r="L1159" s="35">
        <v>8.7233530148335614</v>
      </c>
      <c r="M1159" s="232">
        <v>42659.11</v>
      </c>
      <c r="N1159" s="35">
        <v>7.6574141760755747</v>
      </c>
      <c r="P1159" s="232">
        <v>-24.12</v>
      </c>
      <c r="Q1159" s="35">
        <v>8.9599766109094148E-3</v>
      </c>
      <c r="R1159" s="232">
        <v>1218.1400000000001</v>
      </c>
      <c r="S1159" s="35">
        <v>0.91868974277667004</v>
      </c>
      <c r="T1159" s="232">
        <v>26016.12</v>
      </c>
      <c r="U1159" s="35">
        <v>1.0659388387579867</v>
      </c>
      <c r="W1159" s="35">
        <f t="shared" si="109"/>
        <v>472.11883054547076</v>
      </c>
      <c r="X1159" s="35">
        <f t="shared" si="110"/>
        <v>44716.347138833502</v>
      </c>
      <c r="Y1159" s="35">
        <f t="shared" si="111"/>
        <v>27280.821937899334</v>
      </c>
      <c r="Z1159" s="35">
        <f t="shared" si="112"/>
        <v>0</v>
      </c>
      <c r="AA1159" s="35">
        <f t="shared" si="113"/>
        <v>1</v>
      </c>
      <c r="AB1159" s="35">
        <f t="shared" si="114"/>
        <v>0</v>
      </c>
    </row>
    <row r="1160" spans="1:28">
      <c r="A1160" s="35">
        <v>1149</v>
      </c>
      <c r="B1160" s="35">
        <v>4.0438714095070605E-4</v>
      </c>
      <c r="C1160" s="232">
        <v>64.900000000000006</v>
      </c>
      <c r="D1160" s="35">
        <v>5.060063447262257</v>
      </c>
      <c r="E1160" s="232">
        <v>39.94</v>
      </c>
      <c r="F1160" s="35">
        <v>5.0502992930362955</v>
      </c>
      <c r="G1160" s="232">
        <v>11971.89</v>
      </c>
      <c r="H1160" s="35">
        <v>8.7375440346903233</v>
      </c>
      <c r="I1160" s="232">
        <v>13638.26</v>
      </c>
      <c r="J1160" s="35">
        <v>8.2836671842015726</v>
      </c>
      <c r="K1160" s="232">
        <v>16398.25</v>
      </c>
      <c r="L1160" s="35">
        <v>9.4374317302236292</v>
      </c>
      <c r="M1160" s="232">
        <v>42569.35</v>
      </c>
      <c r="N1160" s="35">
        <v>8.2933433414097646</v>
      </c>
      <c r="P1160" s="232">
        <v>-24.95</v>
      </c>
      <c r="Q1160" s="35">
        <v>9.7641542259614411E-3</v>
      </c>
      <c r="R1160" s="232">
        <v>1666.38</v>
      </c>
      <c r="S1160" s="35">
        <v>0.4538768504887507</v>
      </c>
      <c r="T1160" s="232">
        <v>26171.1</v>
      </c>
      <c r="U1160" s="35">
        <v>1.1440883888138647</v>
      </c>
      <c r="W1160" s="35">
        <f t="shared" si="109"/>
        <v>513.15771129807206</v>
      </c>
      <c r="X1160" s="35">
        <f t="shared" si="110"/>
        <v>21027.462524437535</v>
      </c>
      <c r="Y1160" s="35">
        <f t="shared" si="111"/>
        <v>31033.319440693231</v>
      </c>
      <c r="Z1160" s="35">
        <f t="shared" si="112"/>
        <v>0</v>
      </c>
      <c r="AA1160" s="35">
        <f t="shared" si="113"/>
        <v>0</v>
      </c>
      <c r="AB1160" s="35">
        <f t="shared" si="114"/>
        <v>1</v>
      </c>
    </row>
    <row r="1161" spans="1:28">
      <c r="A1161" s="35">
        <v>1150</v>
      </c>
      <c r="B1161" s="35">
        <v>4.1992397032377597E-4</v>
      </c>
      <c r="C1161" s="232">
        <v>75.430000000000007</v>
      </c>
      <c r="D1161" s="35">
        <v>5.0590316460944003</v>
      </c>
      <c r="E1161" s="232">
        <v>46.36</v>
      </c>
      <c r="F1161" s="35">
        <v>5.0498701606213094</v>
      </c>
      <c r="G1161" s="232">
        <v>15340.16</v>
      </c>
      <c r="H1161" s="35">
        <v>8.0284653357159712</v>
      </c>
      <c r="I1161" s="232">
        <v>17490.21</v>
      </c>
      <c r="J1161" s="35">
        <v>6.8033633218738254</v>
      </c>
      <c r="K1161" s="232">
        <v>16613.34</v>
      </c>
      <c r="L1161" s="35">
        <v>9.3447293541307026</v>
      </c>
      <c r="M1161" s="232">
        <v>42860.03</v>
      </c>
      <c r="N1161" s="35">
        <v>8.2069751045779409</v>
      </c>
      <c r="P1161" s="232">
        <v>-29.07</v>
      </c>
      <c r="Q1161" s="35">
        <v>9.1614854730908135E-3</v>
      </c>
      <c r="R1161" s="232">
        <v>2150.0500000000002</v>
      </c>
      <c r="S1161" s="35">
        <v>1.2251020138421458</v>
      </c>
      <c r="T1161" s="232">
        <v>26246.69</v>
      </c>
      <c r="U1161" s="35">
        <v>1.1377542495527617</v>
      </c>
      <c r="W1161" s="35">
        <f t="shared" si="109"/>
        <v>487.14427365454065</v>
      </c>
      <c r="X1161" s="35">
        <f t="shared" si="110"/>
        <v>59105.050692107288</v>
      </c>
      <c r="Y1161" s="35">
        <f t="shared" si="111"/>
        <v>30641.022477638089</v>
      </c>
      <c r="Z1161" s="35">
        <f t="shared" si="112"/>
        <v>0</v>
      </c>
      <c r="AA1161" s="35">
        <f t="shared" si="113"/>
        <v>1</v>
      </c>
      <c r="AB1161" s="35">
        <f t="shared" si="114"/>
        <v>0</v>
      </c>
    </row>
    <row r="1162" spans="1:28">
      <c r="A1162" s="35">
        <v>1151</v>
      </c>
      <c r="B1162" s="35">
        <v>5.6122321960805355E-4</v>
      </c>
      <c r="C1162" s="232">
        <v>65.959999999999994</v>
      </c>
      <c r="D1162" s="35">
        <v>5.066310873621644</v>
      </c>
      <c r="E1162" s="232">
        <v>43.28</v>
      </c>
      <c r="F1162" s="35">
        <v>5.0549704294822702</v>
      </c>
      <c r="G1162" s="232">
        <v>9764.49</v>
      </c>
      <c r="H1162" s="35">
        <v>8.2253694464474769</v>
      </c>
      <c r="I1162" s="232">
        <v>11939.75</v>
      </c>
      <c r="J1162" s="35">
        <v>7.1157831658886082</v>
      </c>
      <c r="K1162" s="232">
        <v>9838.7000000000007</v>
      </c>
      <c r="L1162" s="35">
        <v>8.8866676214600062</v>
      </c>
      <c r="M1162" s="232">
        <v>35715.629999999997</v>
      </c>
      <c r="N1162" s="35">
        <v>7.7541355851364813</v>
      </c>
      <c r="P1162" s="232">
        <v>-22.68</v>
      </c>
      <c r="Q1162" s="35">
        <v>1.1340444139373851E-2</v>
      </c>
      <c r="R1162" s="232">
        <v>2175.2600000000002</v>
      </c>
      <c r="S1162" s="35">
        <v>1.1095862805588688</v>
      </c>
      <c r="T1162" s="232">
        <v>25876.93</v>
      </c>
      <c r="U1162" s="35">
        <v>1.1325320363235249</v>
      </c>
      <c r="W1162" s="35">
        <f t="shared" si="109"/>
        <v>589.70220696869251</v>
      </c>
      <c r="X1162" s="35">
        <f t="shared" si="110"/>
        <v>53304.054027943435</v>
      </c>
      <c r="Y1162" s="35">
        <f t="shared" si="111"/>
        <v>30749.671816176247</v>
      </c>
      <c r="Z1162" s="35">
        <f t="shared" si="112"/>
        <v>0</v>
      </c>
      <c r="AA1162" s="35">
        <f t="shared" si="113"/>
        <v>1</v>
      </c>
      <c r="AB1162" s="35">
        <f t="shared" si="114"/>
        <v>0</v>
      </c>
    </row>
    <row r="1163" spans="1:28">
      <c r="A1163" s="35">
        <v>1152</v>
      </c>
      <c r="B1163" s="35">
        <v>5.430277844814535E-4</v>
      </c>
      <c r="C1163" s="232">
        <v>91.06</v>
      </c>
      <c r="D1163" s="35">
        <v>5.0657491486682478</v>
      </c>
      <c r="E1163" s="232">
        <v>52.65</v>
      </c>
      <c r="F1163" s="35">
        <v>5.0528900639386904</v>
      </c>
      <c r="G1163" s="232">
        <v>12827.09</v>
      </c>
      <c r="H1163" s="35">
        <v>8.7300290802413318</v>
      </c>
      <c r="I1163" s="232">
        <v>12469.45</v>
      </c>
      <c r="J1163" s="35">
        <v>7.2389564295109761</v>
      </c>
      <c r="K1163" s="232">
        <v>18463.900000000001</v>
      </c>
      <c r="L1163" s="35">
        <v>8.6089322002211901</v>
      </c>
      <c r="M1163" s="232">
        <v>44594.879999999997</v>
      </c>
      <c r="N1163" s="35">
        <v>7.5460086174356089</v>
      </c>
      <c r="P1163" s="232">
        <v>-38.409999999999997</v>
      </c>
      <c r="Q1163" s="35">
        <v>1.2859084729557324E-2</v>
      </c>
      <c r="R1163" s="232">
        <v>-357.64</v>
      </c>
      <c r="S1163" s="35">
        <v>1.4910726507303558</v>
      </c>
      <c r="T1163" s="232">
        <v>26130.98</v>
      </c>
      <c r="U1163" s="35">
        <v>1.0629235827855812</v>
      </c>
      <c r="W1163" s="35">
        <f t="shared" si="109"/>
        <v>681.36423647786614</v>
      </c>
      <c r="X1163" s="35">
        <f t="shared" si="110"/>
        <v>74911.27253651779</v>
      </c>
      <c r="Y1163" s="35">
        <f t="shared" si="111"/>
        <v>27015.199139279062</v>
      </c>
      <c r="Z1163" s="35">
        <f t="shared" si="112"/>
        <v>0</v>
      </c>
      <c r="AA1163" s="35">
        <f t="shared" si="113"/>
        <v>1</v>
      </c>
      <c r="AB1163" s="35">
        <f t="shared" si="114"/>
        <v>0</v>
      </c>
    </row>
    <row r="1164" spans="1:28">
      <c r="A1164" s="35">
        <v>1153</v>
      </c>
      <c r="B1164" s="35">
        <v>3.8944416730104001E-4</v>
      </c>
      <c r="C1164" s="232">
        <v>51.26</v>
      </c>
      <c r="D1164" s="35">
        <v>5.0578885427308924</v>
      </c>
      <c r="E1164" s="232">
        <v>30.74</v>
      </c>
      <c r="F1164" s="35">
        <v>5.0484699113043598</v>
      </c>
      <c r="G1164" s="232">
        <v>10479.23</v>
      </c>
      <c r="H1164" s="35">
        <v>8.6775321907061453</v>
      </c>
      <c r="I1164" s="232">
        <v>11146.84</v>
      </c>
      <c r="J1164" s="35">
        <v>6.713160736740722</v>
      </c>
      <c r="K1164" s="232">
        <v>13298.58</v>
      </c>
      <c r="L1164" s="35">
        <v>8.6871215167821756</v>
      </c>
      <c r="M1164" s="232">
        <v>39401.24</v>
      </c>
      <c r="N1164" s="35">
        <v>7.6468722125222204</v>
      </c>
      <c r="P1164" s="232">
        <v>-20.52</v>
      </c>
      <c r="Q1164" s="35">
        <v>9.4186314265325422E-3</v>
      </c>
      <c r="R1164" s="232">
        <v>667.61</v>
      </c>
      <c r="S1164" s="35">
        <v>1.9643714539654233</v>
      </c>
      <c r="T1164" s="232">
        <v>26102.66</v>
      </c>
      <c r="U1164" s="35">
        <v>1.0402493042599552</v>
      </c>
      <c r="W1164" s="35">
        <f t="shared" ref="W1164:W1227" si="115">$X$2*Q1164-P1164</f>
        <v>491.45157132662712</v>
      </c>
      <c r="X1164" s="35">
        <f t="shared" ref="X1164:X1227" si="116">$X$2*S1164-R1164</f>
        <v>97550.962698271163</v>
      </c>
      <c r="Y1164" s="35">
        <f t="shared" ref="Y1164:Y1227" si="117">$X$2*U1164-T1164</f>
        <v>25909.805212997762</v>
      </c>
      <c r="Z1164" s="35">
        <f t="shared" ref="Z1164:Z1227" si="118">IF(W1164=MAX($W1164:$Y1164), 1, 0)</f>
        <v>0</v>
      </c>
      <c r="AA1164" s="35">
        <f t="shared" ref="AA1164:AA1227" si="119">IF(X1164=MAX($W1164:$Y1164), 1, 0)</f>
        <v>1</v>
      </c>
      <c r="AB1164" s="35">
        <f t="shared" ref="AB1164:AB1227" si="120">IF(Y1164=MAX($W1164:$Y1164), 1, 0)</f>
        <v>0</v>
      </c>
    </row>
    <row r="1165" spans="1:28">
      <c r="A1165" s="35">
        <v>1154</v>
      </c>
      <c r="B1165" s="35">
        <v>5.2980788847012406E-4</v>
      </c>
      <c r="C1165" s="232">
        <v>70.86</v>
      </c>
      <c r="D1165" s="35">
        <v>5.064537428640568</v>
      </c>
      <c r="E1165" s="232">
        <v>39.21</v>
      </c>
      <c r="F1165" s="35">
        <v>5.0512722760112485</v>
      </c>
      <c r="G1165" s="232">
        <v>11393.25</v>
      </c>
      <c r="H1165" s="35">
        <v>8.5910620129133761</v>
      </c>
      <c r="I1165" s="232">
        <v>13556.49</v>
      </c>
      <c r="J1165" s="35">
        <v>7.1812663254822793</v>
      </c>
      <c r="K1165" s="232">
        <v>11735.31</v>
      </c>
      <c r="L1165" s="35">
        <v>8.6274130534557649</v>
      </c>
      <c r="M1165" s="232">
        <v>37742.129999999997</v>
      </c>
      <c r="N1165" s="35">
        <v>7.5437030639197866</v>
      </c>
      <c r="P1165" s="232">
        <v>-31.65</v>
      </c>
      <c r="Q1165" s="35">
        <v>1.3265152629319488E-2</v>
      </c>
      <c r="R1165" s="232">
        <v>2163.2399999999998</v>
      </c>
      <c r="S1165" s="35">
        <v>1.4097956874310968</v>
      </c>
      <c r="T1165" s="232">
        <v>26006.82</v>
      </c>
      <c r="U1165" s="35">
        <v>1.0837099895359783</v>
      </c>
      <c r="W1165" s="35">
        <f t="shared" si="115"/>
        <v>694.9076314659743</v>
      </c>
      <c r="X1165" s="35">
        <f t="shared" si="116"/>
        <v>68326.544371554832</v>
      </c>
      <c r="Y1165" s="35">
        <f t="shared" si="117"/>
        <v>28178.679476798912</v>
      </c>
      <c r="Z1165" s="35">
        <f t="shared" si="118"/>
        <v>0</v>
      </c>
      <c r="AA1165" s="35">
        <f t="shared" si="119"/>
        <v>1</v>
      </c>
      <c r="AB1165" s="35">
        <f t="shared" si="120"/>
        <v>0</v>
      </c>
    </row>
    <row r="1166" spans="1:28">
      <c r="A1166" s="35">
        <v>1155</v>
      </c>
      <c r="B1166" s="35">
        <v>4.2707355985442593E-4</v>
      </c>
      <c r="C1166" s="232">
        <v>45.74</v>
      </c>
      <c r="D1166" s="35">
        <v>5.0593795765620939</v>
      </c>
      <c r="E1166" s="232">
        <v>27.81</v>
      </c>
      <c r="F1166" s="35">
        <v>5.0492510812955427</v>
      </c>
      <c r="G1166" s="232">
        <v>8151.69</v>
      </c>
      <c r="H1166" s="35">
        <v>8.617875621746709</v>
      </c>
      <c r="I1166" s="232">
        <v>8925.82</v>
      </c>
      <c r="J1166" s="35">
        <v>6.88655124315365</v>
      </c>
      <c r="K1166" s="232">
        <v>10275.549999999999</v>
      </c>
      <c r="L1166" s="35">
        <v>8.3655403786325273</v>
      </c>
      <c r="M1166" s="232">
        <v>36177</v>
      </c>
      <c r="N1166" s="35">
        <v>7.2845938751422015</v>
      </c>
      <c r="P1166" s="232">
        <v>-17.93</v>
      </c>
      <c r="Q1166" s="35">
        <v>1.0128495266551241E-2</v>
      </c>
      <c r="R1166" s="232">
        <v>774.14</v>
      </c>
      <c r="S1166" s="35">
        <v>1.731324378593059</v>
      </c>
      <c r="T1166" s="232">
        <v>25901.45</v>
      </c>
      <c r="U1166" s="35">
        <v>1.0809465034903258</v>
      </c>
      <c r="W1166" s="35">
        <f t="shared" si="115"/>
        <v>524.35476332756195</v>
      </c>
      <c r="X1166" s="35">
        <f t="shared" si="116"/>
        <v>85792.078929652955</v>
      </c>
      <c r="Y1166" s="35">
        <f t="shared" si="117"/>
        <v>28145.875174516292</v>
      </c>
      <c r="Z1166" s="35">
        <f t="shared" si="118"/>
        <v>0</v>
      </c>
      <c r="AA1166" s="35">
        <f t="shared" si="119"/>
        <v>1</v>
      </c>
      <c r="AB1166" s="35">
        <f t="shared" si="120"/>
        <v>0</v>
      </c>
    </row>
    <row r="1167" spans="1:28">
      <c r="A1167" s="35">
        <v>1156</v>
      </c>
      <c r="B1167" s="35">
        <v>3.9050683557782036E-4</v>
      </c>
      <c r="C1167" s="232">
        <v>61.27</v>
      </c>
      <c r="D1167" s="35">
        <v>5.0566898978110961</v>
      </c>
      <c r="E1167" s="232">
        <v>40.9</v>
      </c>
      <c r="F1167" s="35">
        <v>5.0493280424112612</v>
      </c>
      <c r="G1167" s="232">
        <v>11468.03</v>
      </c>
      <c r="H1167" s="35">
        <v>8.2368886624869049</v>
      </c>
      <c r="I1167" s="232">
        <v>12909.33</v>
      </c>
      <c r="J1167" s="35">
        <v>7.7040957959580751</v>
      </c>
      <c r="K1167" s="232">
        <v>16070.52</v>
      </c>
      <c r="L1167" s="35">
        <v>8.4403248369338613</v>
      </c>
      <c r="M1167" s="232">
        <v>42144.82</v>
      </c>
      <c r="N1167" s="35">
        <v>7.3951922123486682</v>
      </c>
      <c r="P1167" s="232">
        <v>-20.37</v>
      </c>
      <c r="Q1167" s="35">
        <v>7.3618553998349157E-3</v>
      </c>
      <c r="R1167" s="232">
        <v>1441.31</v>
      </c>
      <c r="S1167" s="35">
        <v>0.53279286652882973</v>
      </c>
      <c r="T1167" s="232">
        <v>26074.3</v>
      </c>
      <c r="U1167" s="35">
        <v>1.0451326245851931</v>
      </c>
      <c r="W1167" s="35">
        <f t="shared" si="115"/>
        <v>388.4627699917458</v>
      </c>
      <c r="X1167" s="35">
        <f t="shared" si="116"/>
        <v>25198.333326441487</v>
      </c>
      <c r="Y1167" s="35">
        <f t="shared" si="117"/>
        <v>26182.331229259657</v>
      </c>
      <c r="Z1167" s="35">
        <f t="shared" si="118"/>
        <v>0</v>
      </c>
      <c r="AA1167" s="35">
        <f t="shared" si="119"/>
        <v>0</v>
      </c>
      <c r="AB1167" s="35">
        <f t="shared" si="120"/>
        <v>1</v>
      </c>
    </row>
    <row r="1168" spans="1:28">
      <c r="A1168" s="35">
        <v>1157</v>
      </c>
      <c r="B1168" s="35">
        <v>4.99393616471E-4</v>
      </c>
      <c r="C1168" s="232">
        <v>57.88</v>
      </c>
      <c r="D1168" s="35">
        <v>5.0644991251033131</v>
      </c>
      <c r="E1168" s="232">
        <v>38.17</v>
      </c>
      <c r="F1168" s="35">
        <v>5.0537683747599038</v>
      </c>
      <c r="G1168" s="232">
        <v>9130.7099999999991</v>
      </c>
      <c r="H1168" s="35">
        <v>8.9142151463704273</v>
      </c>
      <c r="I1168" s="232">
        <v>10652.08</v>
      </c>
      <c r="J1168" s="35">
        <v>7.7313748274196925</v>
      </c>
      <c r="K1168" s="232">
        <v>10700.14</v>
      </c>
      <c r="L1168" s="35">
        <v>8.5140520487741291</v>
      </c>
      <c r="M1168" s="232">
        <v>36675.01</v>
      </c>
      <c r="N1168" s="35">
        <v>7.3479682628159857</v>
      </c>
      <c r="P1168" s="232">
        <v>-19.71</v>
      </c>
      <c r="Q1168" s="35">
        <v>1.0730750343409312E-2</v>
      </c>
      <c r="R1168" s="232">
        <v>1521.37</v>
      </c>
      <c r="S1168" s="35">
        <v>1.1828403189507348</v>
      </c>
      <c r="T1168" s="232">
        <v>25974.87</v>
      </c>
      <c r="U1168" s="35">
        <v>1.1660837859581434</v>
      </c>
      <c r="W1168" s="35">
        <f t="shared" si="115"/>
        <v>556.2475171704657</v>
      </c>
      <c r="X1168" s="35">
        <f t="shared" si="116"/>
        <v>57620.645947536737</v>
      </c>
      <c r="Y1168" s="35">
        <f t="shared" si="117"/>
        <v>32329.319297907172</v>
      </c>
      <c r="Z1168" s="35">
        <f t="shared" si="118"/>
        <v>0</v>
      </c>
      <c r="AA1168" s="35">
        <f t="shared" si="119"/>
        <v>1</v>
      </c>
      <c r="AB1168" s="35">
        <f t="shared" si="120"/>
        <v>0</v>
      </c>
    </row>
    <row r="1169" spans="1:28">
      <c r="A1169" s="35">
        <v>1158</v>
      </c>
      <c r="B1169" s="35">
        <v>3.7719955704284907E-4</v>
      </c>
      <c r="C1169" s="232">
        <v>63.12</v>
      </c>
      <c r="D1169" s="35">
        <v>5.0568113469573035</v>
      </c>
      <c r="E1169" s="232">
        <v>44.22</v>
      </c>
      <c r="F1169" s="35">
        <v>5.0500585098121729</v>
      </c>
      <c r="G1169" s="232">
        <v>12555.19</v>
      </c>
      <c r="H1169" s="35">
        <v>8.4453487342335567</v>
      </c>
      <c r="I1169" s="232">
        <v>13118.82</v>
      </c>
      <c r="J1169" s="35">
        <v>7.1953095045136273</v>
      </c>
      <c r="K1169" s="232">
        <v>16700.98</v>
      </c>
      <c r="L1169" s="35">
        <v>8.493029364506322</v>
      </c>
      <c r="M1169" s="232">
        <v>42941.38</v>
      </c>
      <c r="N1169" s="35">
        <v>7.419190680934471</v>
      </c>
      <c r="P1169" s="232">
        <v>-18.899999999999999</v>
      </c>
      <c r="Q1169" s="35">
        <v>6.7528371451306413E-3</v>
      </c>
      <c r="R1169" s="232">
        <v>563.63</v>
      </c>
      <c r="S1169" s="35">
        <v>1.2500392297199294</v>
      </c>
      <c r="T1169" s="232">
        <v>26240.41</v>
      </c>
      <c r="U1169" s="35">
        <v>1.073838683571851</v>
      </c>
      <c r="W1169" s="35">
        <f t="shared" si="115"/>
        <v>356.54185725653201</v>
      </c>
      <c r="X1169" s="35">
        <f t="shared" si="116"/>
        <v>61938.331485996474</v>
      </c>
      <c r="Y1169" s="35">
        <f t="shared" si="117"/>
        <v>27451.52417859255</v>
      </c>
      <c r="Z1169" s="35">
        <f t="shared" si="118"/>
        <v>0</v>
      </c>
      <c r="AA1169" s="35">
        <f t="shared" si="119"/>
        <v>1</v>
      </c>
      <c r="AB1169" s="35">
        <f t="shared" si="120"/>
        <v>0</v>
      </c>
    </row>
    <row r="1170" spans="1:28">
      <c r="A1170" s="35">
        <v>1159</v>
      </c>
      <c r="B1170" s="35">
        <v>4.505065817306253E-4</v>
      </c>
      <c r="C1170" s="232">
        <v>69.989999999999995</v>
      </c>
      <c r="D1170" s="35">
        <v>5.0622426646517855</v>
      </c>
      <c r="E1170" s="232">
        <v>41.54</v>
      </c>
      <c r="F1170" s="35">
        <v>5.0510822986471595</v>
      </c>
      <c r="G1170" s="232">
        <v>12274.85</v>
      </c>
      <c r="H1170" s="35">
        <v>8.9817257424944845</v>
      </c>
      <c r="I1170" s="232">
        <v>12593.59</v>
      </c>
      <c r="J1170" s="35">
        <v>7.2687493903025633</v>
      </c>
      <c r="K1170" s="232">
        <v>16338.66</v>
      </c>
      <c r="L1170" s="35">
        <v>8.7536076324304677</v>
      </c>
      <c r="M1170" s="232">
        <v>42522.27</v>
      </c>
      <c r="N1170" s="35">
        <v>7.6754272231699119</v>
      </c>
      <c r="P1170" s="232">
        <v>-28.45</v>
      </c>
      <c r="Q1170" s="35">
        <v>1.1160366004625999E-2</v>
      </c>
      <c r="R1170" s="232">
        <v>318.75</v>
      </c>
      <c r="S1170" s="35">
        <v>1.7129763521919212</v>
      </c>
      <c r="T1170" s="232">
        <v>26183.61</v>
      </c>
      <c r="U1170" s="35">
        <v>1.0781804092605558</v>
      </c>
      <c r="W1170" s="35">
        <f t="shared" si="115"/>
        <v>586.46830023129996</v>
      </c>
      <c r="X1170" s="35">
        <f t="shared" si="116"/>
        <v>85330.067609596066</v>
      </c>
      <c r="Y1170" s="35">
        <f t="shared" si="117"/>
        <v>27725.410463027787</v>
      </c>
      <c r="Z1170" s="35">
        <f t="shared" si="118"/>
        <v>0</v>
      </c>
      <c r="AA1170" s="35">
        <f t="shared" si="119"/>
        <v>1</v>
      </c>
      <c r="AB1170" s="35">
        <f t="shared" si="120"/>
        <v>0</v>
      </c>
    </row>
    <row r="1171" spans="1:28">
      <c r="A1171" s="35">
        <v>1160</v>
      </c>
      <c r="B1171" s="35">
        <v>4.1236604535404122E-4</v>
      </c>
      <c r="C1171" s="232">
        <v>66</v>
      </c>
      <c r="D1171" s="35">
        <v>5.0591217024953474</v>
      </c>
      <c r="E1171" s="232">
        <v>38.08</v>
      </c>
      <c r="F1171" s="35">
        <v>5.0489751729324714</v>
      </c>
      <c r="G1171" s="232">
        <v>12264.52</v>
      </c>
      <c r="H1171" s="35">
        <v>8.7644596365621759</v>
      </c>
      <c r="I1171" s="232">
        <v>13469.46</v>
      </c>
      <c r="J1171" s="35">
        <v>7.8264958435269385</v>
      </c>
      <c r="K1171" s="232">
        <v>14755.66</v>
      </c>
      <c r="L1171" s="35">
        <v>8.5400483942958534</v>
      </c>
      <c r="M1171" s="232">
        <v>40891.019999999997</v>
      </c>
      <c r="N1171" s="35">
        <v>7.4628164195460709</v>
      </c>
      <c r="P1171" s="232">
        <v>-27.93</v>
      </c>
      <c r="Q1171" s="35">
        <v>1.0146529562875983E-2</v>
      </c>
      <c r="R1171" s="232">
        <v>1204.95</v>
      </c>
      <c r="S1171" s="35">
        <v>0.93796379303523736</v>
      </c>
      <c r="T1171" s="232">
        <v>26135.360000000001</v>
      </c>
      <c r="U1171" s="35">
        <v>1.0772319747497825</v>
      </c>
      <c r="W1171" s="35">
        <f t="shared" si="115"/>
        <v>535.25647814379909</v>
      </c>
      <c r="X1171" s="35">
        <f t="shared" si="116"/>
        <v>45693.239651761869</v>
      </c>
      <c r="Y1171" s="35">
        <f t="shared" si="117"/>
        <v>27726.238737489126</v>
      </c>
      <c r="Z1171" s="35">
        <f t="shared" si="118"/>
        <v>0</v>
      </c>
      <c r="AA1171" s="35">
        <f t="shared" si="119"/>
        <v>1</v>
      </c>
      <c r="AB1171" s="35">
        <f t="shared" si="120"/>
        <v>0</v>
      </c>
    </row>
    <row r="1172" spans="1:28">
      <c r="A1172" s="35">
        <v>1161</v>
      </c>
      <c r="B1172" s="35">
        <v>6.1072607844236959E-4</v>
      </c>
      <c r="C1172" s="232">
        <v>93.78</v>
      </c>
      <c r="D1172" s="35">
        <v>5.0699105812206442</v>
      </c>
      <c r="E1172" s="232">
        <v>51.41</v>
      </c>
      <c r="F1172" s="35">
        <v>5.0542056592972466</v>
      </c>
      <c r="G1172" s="232">
        <v>11469.4</v>
      </c>
      <c r="H1172" s="35">
        <v>8.6660311052847945</v>
      </c>
      <c r="I1172" s="232">
        <v>12676.12</v>
      </c>
      <c r="J1172" s="35">
        <v>7.7085126566992646</v>
      </c>
      <c r="K1172" s="232">
        <v>14084.21</v>
      </c>
      <c r="L1172" s="35">
        <v>8.8246397191898325</v>
      </c>
      <c r="M1172" s="232">
        <v>40170.97</v>
      </c>
      <c r="N1172" s="35">
        <v>7.6688629448854311</v>
      </c>
      <c r="P1172" s="232">
        <v>-42.37</v>
      </c>
      <c r="Q1172" s="35">
        <v>1.5704921923397563E-2</v>
      </c>
      <c r="R1172" s="232">
        <v>1206.72</v>
      </c>
      <c r="S1172" s="35">
        <v>0.95751844858552992</v>
      </c>
      <c r="T1172" s="232">
        <v>26086.75</v>
      </c>
      <c r="U1172" s="35">
        <v>1.1557767743044014</v>
      </c>
      <c r="W1172" s="35">
        <f t="shared" si="115"/>
        <v>827.61609616987823</v>
      </c>
      <c r="X1172" s="35">
        <f t="shared" si="116"/>
        <v>46669.202429276498</v>
      </c>
      <c r="Y1172" s="35">
        <f t="shared" si="117"/>
        <v>31702.088715220067</v>
      </c>
      <c r="Z1172" s="35">
        <f t="shared" si="118"/>
        <v>0</v>
      </c>
      <c r="AA1172" s="35">
        <f t="shared" si="119"/>
        <v>1</v>
      </c>
      <c r="AB1172" s="35">
        <f t="shared" si="120"/>
        <v>0</v>
      </c>
    </row>
    <row r="1173" spans="1:28">
      <c r="A1173" s="35">
        <v>1162</v>
      </c>
      <c r="B1173" s="35">
        <v>4.4532353818171888E-4</v>
      </c>
      <c r="C1173" s="232">
        <v>71.17</v>
      </c>
      <c r="D1173" s="35">
        <v>5.0613823427400728</v>
      </c>
      <c r="E1173" s="232">
        <v>43.91</v>
      </c>
      <c r="F1173" s="35">
        <v>5.0511881436241541</v>
      </c>
      <c r="G1173" s="232">
        <v>11953.69</v>
      </c>
      <c r="H1173" s="35">
        <v>8.8387721445144063</v>
      </c>
      <c r="I1173" s="232">
        <v>13591.49</v>
      </c>
      <c r="J1173" s="35">
        <v>8.4597611365942704</v>
      </c>
      <c r="K1173" s="232">
        <v>16755.62</v>
      </c>
      <c r="L1173" s="35">
        <v>8.6271138508235907</v>
      </c>
      <c r="M1173" s="232">
        <v>42887.61</v>
      </c>
      <c r="N1173" s="35">
        <v>7.5550291444093736</v>
      </c>
      <c r="P1173" s="232">
        <v>-27.26</v>
      </c>
      <c r="Q1173" s="35">
        <v>1.0194199115918678E-2</v>
      </c>
      <c r="R1173" s="232">
        <v>1637.8</v>
      </c>
      <c r="S1173" s="35">
        <v>0.37901100792013587</v>
      </c>
      <c r="T1173" s="232">
        <v>26131.99</v>
      </c>
      <c r="U1173" s="35">
        <v>1.0720847064142172</v>
      </c>
      <c r="W1173" s="35">
        <f t="shared" si="115"/>
        <v>536.96995579593397</v>
      </c>
      <c r="X1173" s="35">
        <f t="shared" si="116"/>
        <v>17312.750396006795</v>
      </c>
      <c r="Y1173" s="35">
        <f t="shared" si="117"/>
        <v>27472.245320710859</v>
      </c>
      <c r="Z1173" s="35">
        <f t="shared" si="118"/>
        <v>0</v>
      </c>
      <c r="AA1173" s="35">
        <f t="shared" si="119"/>
        <v>0</v>
      </c>
      <c r="AB1173" s="35">
        <f t="shared" si="120"/>
        <v>1</v>
      </c>
    </row>
    <row r="1174" spans="1:28">
      <c r="A1174" s="35">
        <v>1163</v>
      </c>
      <c r="B1174" s="35">
        <v>4.3249694151678537E-4</v>
      </c>
      <c r="C1174" s="232">
        <v>64.650000000000006</v>
      </c>
      <c r="D1174" s="35">
        <v>5.0588613097352129</v>
      </c>
      <c r="E1174" s="232">
        <v>38.75</v>
      </c>
      <c r="F1174" s="35">
        <v>5.0492862807919332</v>
      </c>
      <c r="G1174" s="232">
        <v>11228.22</v>
      </c>
      <c r="H1174" s="35">
        <v>8.2347095284615275</v>
      </c>
      <c r="I1174" s="232">
        <v>12770</v>
      </c>
      <c r="J1174" s="35">
        <v>7.7769633723762484</v>
      </c>
      <c r="K1174" s="232">
        <v>17336.5</v>
      </c>
      <c r="L1174" s="35">
        <v>8.6957924985552975</v>
      </c>
      <c r="M1174" s="232">
        <v>43439.85</v>
      </c>
      <c r="N1174" s="35">
        <v>7.6368209557291973</v>
      </c>
      <c r="P1174" s="232">
        <v>-25.9</v>
      </c>
      <c r="Q1174" s="35">
        <v>9.575028943279662E-3</v>
      </c>
      <c r="R1174" s="232">
        <v>1541.78</v>
      </c>
      <c r="S1174" s="35">
        <v>0.45774615608527913</v>
      </c>
      <c r="T1174" s="232">
        <v>26103.35</v>
      </c>
      <c r="U1174" s="35">
        <v>1.0589715428261002</v>
      </c>
      <c r="W1174" s="35">
        <f t="shared" si="115"/>
        <v>504.65144716398311</v>
      </c>
      <c r="X1174" s="35">
        <f t="shared" si="116"/>
        <v>21345.527804263958</v>
      </c>
      <c r="Y1174" s="35">
        <f t="shared" si="117"/>
        <v>26845.227141305011</v>
      </c>
      <c r="Z1174" s="35">
        <f t="shared" si="118"/>
        <v>0</v>
      </c>
      <c r="AA1174" s="35">
        <f t="shared" si="119"/>
        <v>0</v>
      </c>
      <c r="AB1174" s="35">
        <f t="shared" si="120"/>
        <v>1</v>
      </c>
    </row>
    <row r="1175" spans="1:28">
      <c r="A1175" s="35">
        <v>1164</v>
      </c>
      <c r="B1175" s="35">
        <v>4.9652685069234703E-4</v>
      </c>
      <c r="C1175" s="232">
        <v>76.97</v>
      </c>
      <c r="D1175" s="35">
        <v>5.0661212820817276</v>
      </c>
      <c r="E1175" s="232">
        <v>42.52</v>
      </c>
      <c r="F1175" s="35">
        <v>5.0521563491986363</v>
      </c>
      <c r="G1175" s="232">
        <v>12568.31</v>
      </c>
      <c r="H1175" s="35">
        <v>9.3002062639180334</v>
      </c>
      <c r="I1175" s="232">
        <v>13530.09</v>
      </c>
      <c r="J1175" s="35">
        <v>7.730802349186094</v>
      </c>
      <c r="K1175" s="232">
        <v>15267.36</v>
      </c>
      <c r="L1175" s="35">
        <v>8.9406255939658195</v>
      </c>
      <c r="M1175" s="232">
        <v>41207.99</v>
      </c>
      <c r="N1175" s="35">
        <v>7.7935611741085156</v>
      </c>
      <c r="P1175" s="232">
        <v>-34.450000000000003</v>
      </c>
      <c r="Q1175" s="35">
        <v>1.3964932883091308E-2</v>
      </c>
      <c r="R1175" s="232">
        <v>961.77</v>
      </c>
      <c r="S1175" s="35">
        <v>1.5694039147319394</v>
      </c>
      <c r="T1175" s="232">
        <v>25940.639999999999</v>
      </c>
      <c r="U1175" s="35">
        <v>1.1470644198573039</v>
      </c>
      <c r="W1175" s="35">
        <f t="shared" si="115"/>
        <v>732.69664415456543</v>
      </c>
      <c r="X1175" s="35">
        <f t="shared" si="116"/>
        <v>77508.425736596968</v>
      </c>
      <c r="Y1175" s="35">
        <f t="shared" si="117"/>
        <v>31412.580992865194</v>
      </c>
      <c r="Z1175" s="35">
        <f t="shared" si="118"/>
        <v>0</v>
      </c>
      <c r="AA1175" s="35">
        <f t="shared" si="119"/>
        <v>1</v>
      </c>
      <c r="AB1175" s="35">
        <f t="shared" si="120"/>
        <v>0</v>
      </c>
    </row>
    <row r="1176" spans="1:28">
      <c r="A1176" s="35">
        <v>1165</v>
      </c>
      <c r="B1176" s="35">
        <v>4.1669281680792932E-4</v>
      </c>
      <c r="C1176" s="232">
        <v>62.09</v>
      </c>
      <c r="D1176" s="35">
        <v>5.0588563222783902</v>
      </c>
      <c r="E1176" s="232">
        <v>37.83</v>
      </c>
      <c r="F1176" s="35">
        <v>5.0494398904683129</v>
      </c>
      <c r="G1176" s="232">
        <v>11521.84</v>
      </c>
      <c r="H1176" s="35">
        <v>8.6871223909740127</v>
      </c>
      <c r="I1176" s="232">
        <v>13563.34</v>
      </c>
      <c r="J1176" s="35">
        <v>8.4326745151922609</v>
      </c>
      <c r="K1176" s="232">
        <v>12522.76</v>
      </c>
      <c r="L1176" s="35">
        <v>8.2684643914323459</v>
      </c>
      <c r="M1176" s="232">
        <v>38414.230000000003</v>
      </c>
      <c r="N1176" s="35">
        <v>7.1344229630329403</v>
      </c>
      <c r="P1176" s="232">
        <v>-24.26</v>
      </c>
      <c r="Q1176" s="35">
        <v>9.4164318100773414E-3</v>
      </c>
      <c r="R1176" s="232">
        <v>2041.51</v>
      </c>
      <c r="S1176" s="35">
        <v>0.25444787578175188</v>
      </c>
      <c r="T1176" s="232">
        <v>25891.47</v>
      </c>
      <c r="U1176" s="35">
        <v>1.1340414283994056</v>
      </c>
      <c r="W1176" s="35">
        <f t="shared" si="115"/>
        <v>495.08159050386706</v>
      </c>
      <c r="X1176" s="35">
        <f t="shared" si="116"/>
        <v>10680.883789087593</v>
      </c>
      <c r="Y1176" s="35">
        <f t="shared" si="117"/>
        <v>30810.601419970277</v>
      </c>
      <c r="Z1176" s="35">
        <f t="shared" si="118"/>
        <v>0</v>
      </c>
      <c r="AA1176" s="35">
        <f t="shared" si="119"/>
        <v>0</v>
      </c>
      <c r="AB1176" s="35">
        <f t="shared" si="120"/>
        <v>1</v>
      </c>
    </row>
    <row r="1177" spans="1:28">
      <c r="A1177" s="35">
        <v>1166</v>
      </c>
      <c r="B1177" s="35">
        <v>3.2743869534551027E-4</v>
      </c>
      <c r="C1177" s="232">
        <v>43.33</v>
      </c>
      <c r="D1177" s="35">
        <v>5.0557545970167013</v>
      </c>
      <c r="E1177" s="232">
        <v>25.14</v>
      </c>
      <c r="F1177" s="35">
        <v>5.0467609879070805</v>
      </c>
      <c r="G1177" s="232">
        <v>10291.629999999999</v>
      </c>
      <c r="H1177" s="35">
        <v>9.2163149196057805</v>
      </c>
      <c r="I1177" s="232">
        <v>11873.55</v>
      </c>
      <c r="J1177" s="35">
        <v>8.361640803365729</v>
      </c>
      <c r="K1177" s="232">
        <v>11398.93</v>
      </c>
      <c r="L1177" s="35">
        <v>8.5463989658337347</v>
      </c>
      <c r="M1177" s="232">
        <v>37349.949999999997</v>
      </c>
      <c r="N1177" s="35">
        <v>7.4418615530515346</v>
      </c>
      <c r="P1177" s="232">
        <v>-18.190000000000001</v>
      </c>
      <c r="Q1177" s="35">
        <v>8.9936091096207704E-3</v>
      </c>
      <c r="R1177" s="232">
        <v>1581.91</v>
      </c>
      <c r="S1177" s="35">
        <v>0.85467411624005152</v>
      </c>
      <c r="T1177" s="232">
        <v>25951.02</v>
      </c>
      <c r="U1177" s="35">
        <v>1.1045374127822001</v>
      </c>
      <c r="W1177" s="35">
        <f t="shared" si="115"/>
        <v>467.8704554810385</v>
      </c>
      <c r="X1177" s="35">
        <f t="shared" si="116"/>
        <v>41151.795812002572</v>
      </c>
      <c r="Y1177" s="35">
        <f t="shared" si="117"/>
        <v>29275.850639110005</v>
      </c>
      <c r="Z1177" s="35">
        <f t="shared" si="118"/>
        <v>0</v>
      </c>
      <c r="AA1177" s="35">
        <f t="shared" si="119"/>
        <v>1</v>
      </c>
      <c r="AB1177" s="35">
        <f t="shared" si="120"/>
        <v>0</v>
      </c>
    </row>
    <row r="1178" spans="1:28">
      <c r="A1178" s="35">
        <v>1167</v>
      </c>
      <c r="B1178" s="35">
        <v>3.7256886846805169E-4</v>
      </c>
      <c r="C1178" s="232">
        <v>58.25</v>
      </c>
      <c r="D1178" s="35">
        <v>5.058186390298907</v>
      </c>
      <c r="E1178" s="232">
        <v>33.51</v>
      </c>
      <c r="F1178" s="35">
        <v>5.0483067981663101</v>
      </c>
      <c r="G1178" s="232">
        <v>12252.89</v>
      </c>
      <c r="H1178" s="35">
        <v>8.8273955270490507</v>
      </c>
      <c r="I1178" s="232">
        <v>13692.87</v>
      </c>
      <c r="J1178" s="35">
        <v>7.8588464791486636</v>
      </c>
      <c r="K1178" s="232">
        <v>14943.24</v>
      </c>
      <c r="L1178" s="35">
        <v>9.121465777524536</v>
      </c>
      <c r="M1178" s="232">
        <v>41171.33</v>
      </c>
      <c r="N1178" s="35">
        <v>7.9782284927472258</v>
      </c>
      <c r="P1178" s="232">
        <v>-24.73</v>
      </c>
      <c r="Q1178" s="35">
        <v>9.879592132596926E-3</v>
      </c>
      <c r="R1178" s="232">
        <v>1439.98</v>
      </c>
      <c r="S1178" s="35">
        <v>0.96854904790038709</v>
      </c>
      <c r="T1178" s="232">
        <v>26228.09</v>
      </c>
      <c r="U1178" s="35">
        <v>1.1432372847773102</v>
      </c>
      <c r="W1178" s="35">
        <f t="shared" si="115"/>
        <v>518.70960662984635</v>
      </c>
      <c r="X1178" s="35">
        <f t="shared" si="116"/>
        <v>46987.472395019351</v>
      </c>
      <c r="Y1178" s="35">
        <f t="shared" si="117"/>
        <v>30933.774238865513</v>
      </c>
      <c r="Z1178" s="35">
        <f t="shared" si="118"/>
        <v>0</v>
      </c>
      <c r="AA1178" s="35">
        <f t="shared" si="119"/>
        <v>1</v>
      </c>
      <c r="AB1178" s="35">
        <f t="shared" si="120"/>
        <v>0</v>
      </c>
    </row>
    <row r="1179" spans="1:28">
      <c r="A1179" s="35">
        <v>1168</v>
      </c>
      <c r="B1179" s="35">
        <v>4.3587508193049978E-4</v>
      </c>
      <c r="C1179" s="232">
        <v>66.05</v>
      </c>
      <c r="D1179" s="35">
        <v>5.059507707843613</v>
      </c>
      <c r="E1179" s="232">
        <v>39.97</v>
      </c>
      <c r="F1179" s="35">
        <v>5.0497857407081614</v>
      </c>
      <c r="G1179" s="232">
        <v>11861.79</v>
      </c>
      <c r="H1179" s="35">
        <v>8.450989559787411</v>
      </c>
      <c r="I1179" s="232">
        <v>13007.19</v>
      </c>
      <c r="J1179" s="35">
        <v>7.1502033184113722</v>
      </c>
      <c r="K1179" s="232">
        <v>14208.85</v>
      </c>
      <c r="L1179" s="35">
        <v>8.5838568655502492</v>
      </c>
      <c r="M1179" s="232">
        <v>40316.53</v>
      </c>
      <c r="N1179" s="35">
        <v>7.5729110692288586</v>
      </c>
      <c r="P1179" s="232">
        <v>-26.08</v>
      </c>
      <c r="Q1179" s="35">
        <v>9.7219671354515924E-3</v>
      </c>
      <c r="R1179" s="232">
        <v>1145.3900000000001</v>
      </c>
      <c r="S1179" s="35">
        <v>1.3007862413760387</v>
      </c>
      <c r="T1179" s="232">
        <v>26107.67</v>
      </c>
      <c r="U1179" s="35">
        <v>1.0109457963213906</v>
      </c>
      <c r="W1179" s="35">
        <f t="shared" si="115"/>
        <v>512.1783567725796</v>
      </c>
      <c r="X1179" s="35">
        <f t="shared" si="116"/>
        <v>63893.922068801934</v>
      </c>
      <c r="Y1179" s="35">
        <f t="shared" si="117"/>
        <v>24439.619816069528</v>
      </c>
      <c r="Z1179" s="35">
        <f t="shared" si="118"/>
        <v>0</v>
      </c>
      <c r="AA1179" s="35">
        <f t="shared" si="119"/>
        <v>1</v>
      </c>
      <c r="AB1179" s="35">
        <f t="shared" si="120"/>
        <v>0</v>
      </c>
    </row>
    <row r="1180" spans="1:28">
      <c r="A1180" s="35">
        <v>1169</v>
      </c>
      <c r="B1180" s="35">
        <v>4.1134144815937107E-4</v>
      </c>
      <c r="C1180" s="232">
        <v>78.95</v>
      </c>
      <c r="D1180" s="35">
        <v>5.0602853999374773</v>
      </c>
      <c r="E1180" s="232">
        <v>50.82</v>
      </c>
      <c r="F1180" s="35">
        <v>5.0512773325697893</v>
      </c>
      <c r="G1180" s="232">
        <v>14839.56</v>
      </c>
      <c r="H1180" s="35">
        <v>8.9238916796763785</v>
      </c>
      <c r="I1180" s="232">
        <v>14852.53</v>
      </c>
      <c r="J1180" s="35">
        <v>7.4392743817494624</v>
      </c>
      <c r="K1180" s="232">
        <v>20522.240000000002</v>
      </c>
      <c r="L1180" s="35">
        <v>8.7975666997409085</v>
      </c>
      <c r="M1180" s="232">
        <v>46982.15</v>
      </c>
      <c r="N1180" s="35">
        <v>7.6841515499331905</v>
      </c>
      <c r="P1180" s="232">
        <v>-28.14</v>
      </c>
      <c r="Q1180" s="35">
        <v>9.0080673676879996E-3</v>
      </c>
      <c r="R1180" s="232">
        <v>12.98</v>
      </c>
      <c r="S1180" s="35">
        <v>1.4846172979269161</v>
      </c>
      <c r="T1180" s="232">
        <v>26459.91</v>
      </c>
      <c r="U1180" s="35">
        <v>1.1134151498077181</v>
      </c>
      <c r="W1180" s="35">
        <f t="shared" si="115"/>
        <v>478.54336838439997</v>
      </c>
      <c r="X1180" s="35">
        <f t="shared" si="116"/>
        <v>74217.884896345815</v>
      </c>
      <c r="Y1180" s="35">
        <f t="shared" si="117"/>
        <v>29210.847490385906</v>
      </c>
      <c r="Z1180" s="35">
        <f t="shared" si="118"/>
        <v>0</v>
      </c>
      <c r="AA1180" s="35">
        <f t="shared" si="119"/>
        <v>1</v>
      </c>
      <c r="AB1180" s="35">
        <f t="shared" si="120"/>
        <v>0</v>
      </c>
    </row>
    <row r="1181" spans="1:28">
      <c r="A1181" s="35">
        <v>1170</v>
      </c>
      <c r="B1181" s="35">
        <v>3.7838452648562989E-4</v>
      </c>
      <c r="C1181" s="232">
        <v>55.51</v>
      </c>
      <c r="D1181" s="35">
        <v>5.0584082933246206</v>
      </c>
      <c r="E1181" s="232">
        <v>35.06</v>
      </c>
      <c r="F1181" s="35">
        <v>5.0495109266249711</v>
      </c>
      <c r="G1181" s="232">
        <v>11577.05</v>
      </c>
      <c r="H1181" s="35">
        <v>9.1820729734344866</v>
      </c>
      <c r="I1181" s="232">
        <v>13071.12</v>
      </c>
      <c r="J1181" s="35">
        <v>8.3095002517149208</v>
      </c>
      <c r="K1181" s="232">
        <v>13308.59</v>
      </c>
      <c r="L1181" s="35">
        <v>8.3896468393401467</v>
      </c>
      <c r="M1181" s="232">
        <v>39051.879999999997</v>
      </c>
      <c r="N1181" s="35">
        <v>7.3176914942412576</v>
      </c>
      <c r="P1181" s="232">
        <v>-20.440000000000001</v>
      </c>
      <c r="Q1181" s="35">
        <v>8.8973666996494671E-3</v>
      </c>
      <c r="R1181" s="232">
        <v>1494.07</v>
      </c>
      <c r="S1181" s="35">
        <v>0.87257272171956579</v>
      </c>
      <c r="T1181" s="232">
        <v>25743.29</v>
      </c>
      <c r="U1181" s="35">
        <v>1.071955345098889</v>
      </c>
      <c r="W1181" s="35">
        <f t="shared" si="115"/>
        <v>465.30833498247335</v>
      </c>
      <c r="X1181" s="35">
        <f t="shared" si="116"/>
        <v>42134.566085978287</v>
      </c>
      <c r="Y1181" s="35">
        <f t="shared" si="117"/>
        <v>27854.477254944453</v>
      </c>
      <c r="Z1181" s="35">
        <f t="shared" si="118"/>
        <v>0</v>
      </c>
      <c r="AA1181" s="35">
        <f t="shared" si="119"/>
        <v>1</v>
      </c>
      <c r="AB1181" s="35">
        <f t="shared" si="120"/>
        <v>0</v>
      </c>
    </row>
    <row r="1182" spans="1:28">
      <c r="A1182" s="35">
        <v>1171</v>
      </c>
      <c r="B1182" s="35">
        <v>5.2606811136524101E-4</v>
      </c>
      <c r="C1182" s="232">
        <v>87.41</v>
      </c>
      <c r="D1182" s="35">
        <v>5.0677374566808222</v>
      </c>
      <c r="E1182" s="232">
        <v>59.92</v>
      </c>
      <c r="F1182" s="35">
        <v>5.0571087436077367</v>
      </c>
      <c r="G1182" s="232">
        <v>12886.37</v>
      </c>
      <c r="H1182" s="35">
        <v>9.2671214742378947</v>
      </c>
      <c r="I1182" s="232">
        <v>13335.66</v>
      </c>
      <c r="J1182" s="35">
        <v>7.7050646805936784</v>
      </c>
      <c r="K1182" s="232">
        <v>15987.41</v>
      </c>
      <c r="L1182" s="35">
        <v>8.7477120283794925</v>
      </c>
      <c r="M1182" s="232">
        <v>41965.1</v>
      </c>
      <c r="N1182" s="35">
        <v>7.6928397785746245</v>
      </c>
      <c r="P1182" s="232">
        <v>-27.49</v>
      </c>
      <c r="Q1182" s="35">
        <v>1.0628713073085549E-2</v>
      </c>
      <c r="R1182" s="232">
        <v>449.29</v>
      </c>
      <c r="S1182" s="35">
        <v>1.5620567936442162</v>
      </c>
      <c r="T1182" s="232">
        <v>25977.69</v>
      </c>
      <c r="U1182" s="35">
        <v>1.0548722498048679</v>
      </c>
      <c r="W1182" s="35">
        <f t="shared" si="115"/>
        <v>558.92565365427754</v>
      </c>
      <c r="X1182" s="35">
        <f t="shared" si="116"/>
        <v>77653.549682210825</v>
      </c>
      <c r="Y1182" s="35">
        <f t="shared" si="117"/>
        <v>26765.922490243396</v>
      </c>
      <c r="Z1182" s="35">
        <f t="shared" si="118"/>
        <v>0</v>
      </c>
      <c r="AA1182" s="35">
        <f t="shared" si="119"/>
        <v>1</v>
      </c>
      <c r="AB1182" s="35">
        <f t="shared" si="120"/>
        <v>0</v>
      </c>
    </row>
    <row r="1183" spans="1:28">
      <c r="A1183" s="35">
        <v>1172</v>
      </c>
      <c r="B1183" s="35">
        <v>3.9160378303247482E-4</v>
      </c>
      <c r="C1183" s="232">
        <v>51.2</v>
      </c>
      <c r="D1183" s="35">
        <v>5.0553498870625706</v>
      </c>
      <c r="E1183" s="232">
        <v>34.47</v>
      </c>
      <c r="F1183" s="35">
        <v>5.0484103985560296</v>
      </c>
      <c r="G1183" s="232">
        <v>8831.26</v>
      </c>
      <c r="H1183" s="35">
        <v>7.631947731500798</v>
      </c>
      <c r="I1183" s="232">
        <v>9815.32</v>
      </c>
      <c r="J1183" s="35">
        <v>6.7760775519232652</v>
      </c>
      <c r="K1183" s="232">
        <v>13438.8</v>
      </c>
      <c r="L1183" s="35">
        <v>8.545744989294052</v>
      </c>
      <c r="M1183" s="232">
        <v>39445.96</v>
      </c>
      <c r="N1183" s="35">
        <v>7.5026244785693006</v>
      </c>
      <c r="P1183" s="232">
        <v>-16.72</v>
      </c>
      <c r="Q1183" s="35">
        <v>6.939488506541025E-3</v>
      </c>
      <c r="R1183" s="232">
        <v>984.06</v>
      </c>
      <c r="S1183" s="35">
        <v>0.85587017957753275</v>
      </c>
      <c r="T1183" s="232">
        <v>26007.16</v>
      </c>
      <c r="U1183" s="35">
        <v>1.0431205107247514</v>
      </c>
      <c r="W1183" s="35">
        <f t="shared" si="115"/>
        <v>363.69442532705125</v>
      </c>
      <c r="X1183" s="35">
        <f t="shared" si="116"/>
        <v>41809.448978876637</v>
      </c>
      <c r="Y1183" s="35">
        <f t="shared" si="117"/>
        <v>26148.865536237568</v>
      </c>
      <c r="Z1183" s="35">
        <f t="shared" si="118"/>
        <v>0</v>
      </c>
      <c r="AA1183" s="35">
        <f t="shared" si="119"/>
        <v>1</v>
      </c>
      <c r="AB1183" s="35">
        <f t="shared" si="120"/>
        <v>0</v>
      </c>
    </row>
    <row r="1184" spans="1:28">
      <c r="A1184" s="35">
        <v>1173</v>
      </c>
      <c r="B1184" s="35">
        <v>4.6931230140323521E-4</v>
      </c>
      <c r="C1184" s="232">
        <v>56.45</v>
      </c>
      <c r="D1184" s="35">
        <v>5.0638889625229364</v>
      </c>
      <c r="E1184" s="232">
        <v>39.159999999999997</v>
      </c>
      <c r="F1184" s="35">
        <v>5.0542512451086887</v>
      </c>
      <c r="G1184" s="232">
        <v>9424.89</v>
      </c>
      <c r="H1184" s="35">
        <v>9.183124447823495</v>
      </c>
      <c r="I1184" s="232">
        <v>11538.59</v>
      </c>
      <c r="J1184" s="35">
        <v>8.9037930291053566</v>
      </c>
      <c r="K1184" s="232">
        <v>9764.0400000000009</v>
      </c>
      <c r="L1184" s="35">
        <v>8.3891780988001674</v>
      </c>
      <c r="M1184" s="232">
        <v>35533.32</v>
      </c>
      <c r="N1184" s="35">
        <v>7.1927547976814372</v>
      </c>
      <c r="P1184" s="232">
        <v>-17.29</v>
      </c>
      <c r="Q1184" s="35">
        <v>9.6377174142476818E-3</v>
      </c>
      <c r="R1184" s="232">
        <v>2113.6999999999998</v>
      </c>
      <c r="S1184" s="35">
        <v>0.27933141871813838</v>
      </c>
      <c r="T1184" s="232">
        <v>25769.279999999999</v>
      </c>
      <c r="U1184" s="35">
        <v>1.1964233011187302</v>
      </c>
      <c r="W1184" s="35">
        <f t="shared" si="115"/>
        <v>499.1758707123841</v>
      </c>
      <c r="X1184" s="35">
        <f t="shared" si="116"/>
        <v>11852.870935906918</v>
      </c>
      <c r="Y1184" s="35">
        <f t="shared" si="117"/>
        <v>34051.885055936509</v>
      </c>
      <c r="Z1184" s="35">
        <f t="shared" si="118"/>
        <v>0</v>
      </c>
      <c r="AA1184" s="35">
        <f t="shared" si="119"/>
        <v>0</v>
      </c>
      <c r="AB1184" s="35">
        <f t="shared" si="120"/>
        <v>1</v>
      </c>
    </row>
    <row r="1185" spans="1:28">
      <c r="A1185" s="35">
        <v>1174</v>
      </c>
      <c r="B1185" s="35">
        <v>3.6745344757893296E-4</v>
      </c>
      <c r="C1185" s="232">
        <v>51.79</v>
      </c>
      <c r="D1185" s="35">
        <v>5.059505971207833</v>
      </c>
      <c r="E1185" s="232">
        <v>31.41</v>
      </c>
      <c r="F1185" s="35">
        <v>5.049484597224172</v>
      </c>
      <c r="G1185" s="232">
        <v>10771.35</v>
      </c>
      <c r="H1185" s="35">
        <v>9.2396767235584356</v>
      </c>
      <c r="I1185" s="232">
        <v>10701.54</v>
      </c>
      <c r="J1185" s="35">
        <v>7.1724492950275849</v>
      </c>
      <c r="K1185" s="232">
        <v>14836.98</v>
      </c>
      <c r="L1185" s="35">
        <v>9.3711290335958122</v>
      </c>
      <c r="M1185" s="232">
        <v>40945.519999999997</v>
      </c>
      <c r="N1185" s="35">
        <v>8.3217539814646635</v>
      </c>
      <c r="P1185" s="232">
        <v>-20.38</v>
      </c>
      <c r="Q1185" s="35">
        <v>1.0021373983660986E-2</v>
      </c>
      <c r="R1185" s="232">
        <v>-69.819999999999993</v>
      </c>
      <c r="S1185" s="35">
        <v>2.0672274285308507</v>
      </c>
      <c r="T1185" s="232">
        <v>26108.54</v>
      </c>
      <c r="U1185" s="35">
        <v>1.0493750521311487</v>
      </c>
      <c r="W1185" s="35">
        <f t="shared" si="115"/>
        <v>521.44869918304937</v>
      </c>
      <c r="X1185" s="35">
        <f t="shared" si="116"/>
        <v>103431.19142654254</v>
      </c>
      <c r="Y1185" s="35">
        <f t="shared" si="117"/>
        <v>26360.212606557434</v>
      </c>
      <c r="Z1185" s="35">
        <f t="shared" si="118"/>
        <v>0</v>
      </c>
      <c r="AA1185" s="35">
        <f t="shared" si="119"/>
        <v>1</v>
      </c>
      <c r="AB1185" s="35">
        <f t="shared" si="120"/>
        <v>0</v>
      </c>
    </row>
    <row r="1186" spans="1:28">
      <c r="A1186" s="35">
        <v>1175</v>
      </c>
      <c r="B1186" s="35">
        <v>5.3290428921537458E-4</v>
      </c>
      <c r="C1186" s="232">
        <v>74.569999999999993</v>
      </c>
      <c r="D1186" s="35">
        <v>5.0645503100668305</v>
      </c>
      <c r="E1186" s="232">
        <v>51.25</v>
      </c>
      <c r="F1186" s="35">
        <v>5.0549135548269861</v>
      </c>
      <c r="G1186" s="232">
        <v>10211.18</v>
      </c>
      <c r="H1186" s="35">
        <v>8.5074837990464225</v>
      </c>
      <c r="I1186" s="232">
        <v>9993.6299999999992</v>
      </c>
      <c r="J1186" s="35">
        <v>7.0814592154749434</v>
      </c>
      <c r="K1186" s="232">
        <v>15968.49</v>
      </c>
      <c r="L1186" s="35">
        <v>8.3560711064060698</v>
      </c>
      <c r="M1186" s="232">
        <v>42160.639999999999</v>
      </c>
      <c r="N1186" s="35">
        <v>7.2919756638123845</v>
      </c>
      <c r="P1186" s="232">
        <v>-23.32</v>
      </c>
      <c r="Q1186" s="35">
        <v>9.636755239844419E-3</v>
      </c>
      <c r="R1186" s="232">
        <v>-217.55</v>
      </c>
      <c r="S1186" s="35">
        <v>1.4260245835714791</v>
      </c>
      <c r="T1186" s="232">
        <v>26192.15</v>
      </c>
      <c r="U1186" s="35">
        <v>1.0640954425936853</v>
      </c>
      <c r="W1186" s="35">
        <f t="shared" si="115"/>
        <v>505.15776199222097</v>
      </c>
      <c r="X1186" s="35">
        <f t="shared" si="116"/>
        <v>71518.779178573954</v>
      </c>
      <c r="Y1186" s="35">
        <f t="shared" si="117"/>
        <v>27012.622129684263</v>
      </c>
      <c r="Z1186" s="35">
        <f t="shared" si="118"/>
        <v>0</v>
      </c>
      <c r="AA1186" s="35">
        <f t="shared" si="119"/>
        <v>1</v>
      </c>
      <c r="AB1186" s="35">
        <f t="shared" si="120"/>
        <v>0</v>
      </c>
    </row>
    <row r="1187" spans="1:28">
      <c r="A1187" s="35">
        <v>1176</v>
      </c>
      <c r="B1187" s="35">
        <v>4.6383221025014798E-4</v>
      </c>
      <c r="C1187" s="232">
        <v>68.87</v>
      </c>
      <c r="D1187" s="35">
        <v>5.0629780955279999</v>
      </c>
      <c r="E1187" s="232">
        <v>40.97</v>
      </c>
      <c r="F1187" s="35">
        <v>5.0514936582696421</v>
      </c>
      <c r="G1187" s="232">
        <v>11073.19</v>
      </c>
      <c r="H1187" s="35">
        <v>8.7823287527189784</v>
      </c>
      <c r="I1187" s="232">
        <v>12282.58</v>
      </c>
      <c r="J1187" s="35">
        <v>8.0101326031922753</v>
      </c>
      <c r="K1187" s="232">
        <v>15711.34</v>
      </c>
      <c r="L1187" s="35">
        <v>8.9278445352847822</v>
      </c>
      <c r="M1187" s="232">
        <v>41866.35</v>
      </c>
      <c r="N1187" s="35">
        <v>7.7341465717355158</v>
      </c>
      <c r="P1187" s="232">
        <v>-27.9</v>
      </c>
      <c r="Q1187" s="35">
        <v>1.1484437258357794E-2</v>
      </c>
      <c r="R1187" s="232">
        <v>1209.4000000000001</v>
      </c>
      <c r="S1187" s="35">
        <v>0.77219614952670312</v>
      </c>
      <c r="T1187" s="232">
        <v>26155.02</v>
      </c>
      <c r="U1187" s="35">
        <v>1.1936979635492664</v>
      </c>
      <c r="W1187" s="35">
        <f t="shared" si="115"/>
        <v>602.12186291788964</v>
      </c>
      <c r="X1187" s="35">
        <f t="shared" si="116"/>
        <v>37400.407476335153</v>
      </c>
      <c r="Y1187" s="35">
        <f t="shared" si="117"/>
        <v>33529.878177463324</v>
      </c>
      <c r="Z1187" s="35">
        <f t="shared" si="118"/>
        <v>0</v>
      </c>
      <c r="AA1187" s="35">
        <f t="shared" si="119"/>
        <v>1</v>
      </c>
      <c r="AB1187" s="35">
        <f t="shared" si="120"/>
        <v>0</v>
      </c>
    </row>
    <row r="1188" spans="1:28">
      <c r="A1188" s="35">
        <v>1177</v>
      </c>
      <c r="B1188" s="35">
        <v>5.2290946062194532E-4</v>
      </c>
      <c r="C1188" s="232">
        <v>73.75</v>
      </c>
      <c r="D1188" s="35">
        <v>5.0638432964324931</v>
      </c>
      <c r="E1188" s="232">
        <v>50.5</v>
      </c>
      <c r="F1188" s="35">
        <v>5.0543830248530019</v>
      </c>
      <c r="G1188" s="232">
        <v>10918.98</v>
      </c>
      <c r="H1188" s="35">
        <v>8.2296543543150023</v>
      </c>
      <c r="I1188" s="232">
        <v>11906.43</v>
      </c>
      <c r="J1188" s="35">
        <v>6.3107194996077594</v>
      </c>
      <c r="K1188" s="232">
        <v>12703.5</v>
      </c>
      <c r="L1188" s="35">
        <v>8.6004721588950463</v>
      </c>
      <c r="M1188" s="232">
        <v>38605.08</v>
      </c>
      <c r="N1188" s="35">
        <v>7.4472277697855613</v>
      </c>
      <c r="P1188" s="232">
        <v>-23.25</v>
      </c>
      <c r="Q1188" s="35">
        <v>9.4602715794911418E-3</v>
      </c>
      <c r="R1188" s="232">
        <v>987.46</v>
      </c>
      <c r="S1188" s="35">
        <v>1.9189348547072429</v>
      </c>
      <c r="T1188" s="232">
        <v>25901.58</v>
      </c>
      <c r="U1188" s="35">
        <v>1.153244389109485</v>
      </c>
      <c r="W1188" s="35">
        <f t="shared" si="115"/>
        <v>496.26357897455711</v>
      </c>
      <c r="X1188" s="35">
        <f t="shared" si="116"/>
        <v>94959.28273536214</v>
      </c>
      <c r="Y1188" s="35">
        <f t="shared" si="117"/>
        <v>31760.639455474251</v>
      </c>
      <c r="Z1188" s="35">
        <f t="shared" si="118"/>
        <v>0</v>
      </c>
      <c r="AA1188" s="35">
        <f t="shared" si="119"/>
        <v>1</v>
      </c>
      <c r="AB1188" s="35">
        <f t="shared" si="120"/>
        <v>0</v>
      </c>
    </row>
    <row r="1189" spans="1:28">
      <c r="A1189" s="35">
        <v>1178</v>
      </c>
      <c r="B1189" s="35">
        <v>5.570535969475765E-4</v>
      </c>
      <c r="C1189" s="232">
        <v>71.83</v>
      </c>
      <c r="D1189" s="35">
        <v>5.0662041544664271</v>
      </c>
      <c r="E1189" s="232">
        <v>45.11</v>
      </c>
      <c r="F1189" s="35">
        <v>5.0542390661777876</v>
      </c>
      <c r="G1189" s="232">
        <v>10032.66</v>
      </c>
      <c r="H1189" s="35">
        <v>8.7650044550943793</v>
      </c>
      <c r="I1189" s="232">
        <v>11872.26</v>
      </c>
      <c r="J1189" s="35">
        <v>8.2952677887243347</v>
      </c>
      <c r="K1189" s="232">
        <v>12107.22</v>
      </c>
      <c r="L1189" s="35">
        <v>8.1560491994932356</v>
      </c>
      <c r="M1189" s="232">
        <v>38058.730000000003</v>
      </c>
      <c r="N1189" s="35">
        <v>7.0239286611688287</v>
      </c>
      <c r="P1189" s="232">
        <v>-26.72</v>
      </c>
      <c r="Q1189" s="35">
        <v>1.1965088288639514E-2</v>
      </c>
      <c r="R1189" s="232">
        <v>1839.6</v>
      </c>
      <c r="S1189" s="35">
        <v>0.46973666637004463</v>
      </c>
      <c r="T1189" s="232">
        <v>25951.51</v>
      </c>
      <c r="U1189" s="35">
        <v>1.1321205383244068</v>
      </c>
      <c r="W1189" s="35">
        <f t="shared" si="115"/>
        <v>624.97441443197567</v>
      </c>
      <c r="X1189" s="35">
        <f t="shared" si="116"/>
        <v>21647.233318502233</v>
      </c>
      <c r="Y1189" s="35">
        <f t="shared" si="117"/>
        <v>30654.516916220342</v>
      </c>
      <c r="Z1189" s="35">
        <f t="shared" si="118"/>
        <v>0</v>
      </c>
      <c r="AA1189" s="35">
        <f t="shared" si="119"/>
        <v>0</v>
      </c>
      <c r="AB1189" s="35">
        <f t="shared" si="120"/>
        <v>1</v>
      </c>
    </row>
    <row r="1190" spans="1:28">
      <c r="A1190" s="35">
        <v>1179</v>
      </c>
      <c r="B1190" s="35">
        <v>4.8152213416852163E-4</v>
      </c>
      <c r="C1190" s="232">
        <v>58.9</v>
      </c>
      <c r="D1190" s="35">
        <v>5.0641130789483277</v>
      </c>
      <c r="E1190" s="232">
        <v>38.479999999999997</v>
      </c>
      <c r="F1190" s="35">
        <v>5.0534040794465174</v>
      </c>
      <c r="G1190" s="232">
        <v>9111.43</v>
      </c>
      <c r="H1190" s="35">
        <v>8.8795405611200628</v>
      </c>
      <c r="I1190" s="232">
        <v>10555.89</v>
      </c>
      <c r="J1190" s="35">
        <v>7.926106992957207</v>
      </c>
      <c r="K1190" s="232">
        <v>10846.18</v>
      </c>
      <c r="L1190" s="35">
        <v>8.8860495638477168</v>
      </c>
      <c r="M1190" s="232">
        <v>36772.230000000003</v>
      </c>
      <c r="N1190" s="35">
        <v>7.7774334702966392</v>
      </c>
      <c r="P1190" s="232">
        <v>-20.420000000000002</v>
      </c>
      <c r="Q1190" s="35">
        <v>1.0708999501810368E-2</v>
      </c>
      <c r="R1190" s="232">
        <v>1444.47</v>
      </c>
      <c r="S1190" s="35">
        <v>0.95343356816285585</v>
      </c>
      <c r="T1190" s="232">
        <v>25926.05</v>
      </c>
      <c r="U1190" s="35">
        <v>1.1086160935510776</v>
      </c>
      <c r="W1190" s="35">
        <f t="shared" si="115"/>
        <v>555.86997509051832</v>
      </c>
      <c r="X1190" s="35">
        <f t="shared" si="116"/>
        <v>46227.208408142789</v>
      </c>
      <c r="Y1190" s="35">
        <f t="shared" si="117"/>
        <v>29504.754677553883</v>
      </c>
      <c r="Z1190" s="35">
        <f t="shared" si="118"/>
        <v>0</v>
      </c>
      <c r="AA1190" s="35">
        <f t="shared" si="119"/>
        <v>1</v>
      </c>
      <c r="AB1190" s="35">
        <f t="shared" si="120"/>
        <v>0</v>
      </c>
    </row>
    <row r="1191" spans="1:28">
      <c r="A1191" s="35">
        <v>1180</v>
      </c>
      <c r="B1191" s="35">
        <v>4.1642046856562995E-4</v>
      </c>
      <c r="C1191" s="232">
        <v>58.94</v>
      </c>
      <c r="D1191" s="35">
        <v>5.0588416119828432</v>
      </c>
      <c r="E1191" s="232">
        <v>37.25</v>
      </c>
      <c r="F1191" s="35">
        <v>5.0498437829717506</v>
      </c>
      <c r="G1191" s="232">
        <v>10371.39</v>
      </c>
      <c r="H1191" s="35">
        <v>8.4166657832575229</v>
      </c>
      <c r="I1191" s="232">
        <v>10454.65</v>
      </c>
      <c r="J1191" s="35">
        <v>6.8016547488511634</v>
      </c>
      <c r="K1191" s="232">
        <v>14597.05</v>
      </c>
      <c r="L1191" s="35">
        <v>8.5627894042604016</v>
      </c>
      <c r="M1191" s="232">
        <v>40778.120000000003</v>
      </c>
      <c r="N1191" s="35">
        <v>7.3635598426276179</v>
      </c>
      <c r="P1191" s="232">
        <v>-21.69</v>
      </c>
      <c r="Q1191" s="35">
        <v>8.997829011092584E-3</v>
      </c>
      <c r="R1191" s="232">
        <v>83.25</v>
      </c>
      <c r="S1191" s="35">
        <v>1.6150110344063595</v>
      </c>
      <c r="T1191" s="232">
        <v>26181.07</v>
      </c>
      <c r="U1191" s="35">
        <v>1.1992295616327837</v>
      </c>
      <c r="W1191" s="35">
        <f t="shared" si="115"/>
        <v>471.58145055462921</v>
      </c>
      <c r="X1191" s="35">
        <f t="shared" si="116"/>
        <v>80667.301720317977</v>
      </c>
      <c r="Y1191" s="35">
        <f t="shared" si="117"/>
        <v>33780.408081639187</v>
      </c>
      <c r="Z1191" s="35">
        <f t="shared" si="118"/>
        <v>0</v>
      </c>
      <c r="AA1191" s="35">
        <f t="shared" si="119"/>
        <v>1</v>
      </c>
      <c r="AB1191" s="35">
        <f t="shared" si="120"/>
        <v>0</v>
      </c>
    </row>
    <row r="1192" spans="1:28">
      <c r="A1192" s="35">
        <v>1181</v>
      </c>
      <c r="B1192" s="35">
        <v>4.326103236622726E-4</v>
      </c>
      <c r="C1192" s="232">
        <v>50.7</v>
      </c>
      <c r="D1192" s="35">
        <v>5.0621187564372043</v>
      </c>
      <c r="E1192" s="232">
        <v>32.22</v>
      </c>
      <c r="F1192" s="35">
        <v>5.051549061589145</v>
      </c>
      <c r="G1192" s="232">
        <v>9213.43</v>
      </c>
      <c r="H1192" s="35">
        <v>9.2170215419012251</v>
      </c>
      <c r="I1192" s="232">
        <v>10782.45</v>
      </c>
      <c r="J1192" s="35">
        <v>8.361884331403278</v>
      </c>
      <c r="K1192" s="232">
        <v>11550.15</v>
      </c>
      <c r="L1192" s="35">
        <v>8.7770188722316735</v>
      </c>
      <c r="M1192" s="232">
        <v>37530.97</v>
      </c>
      <c r="N1192" s="35">
        <v>7.6531471830835569</v>
      </c>
      <c r="P1192" s="232">
        <v>-18.489999999999998</v>
      </c>
      <c r="Q1192" s="35">
        <v>1.0569694848059363E-2</v>
      </c>
      <c r="R1192" s="232">
        <v>1569.02</v>
      </c>
      <c r="S1192" s="35">
        <v>0.85513721049794711</v>
      </c>
      <c r="T1192" s="232">
        <v>25980.82</v>
      </c>
      <c r="U1192" s="35">
        <v>1.1238716891481166</v>
      </c>
      <c r="W1192" s="35">
        <f t="shared" si="115"/>
        <v>546.97474240296822</v>
      </c>
      <c r="X1192" s="35">
        <f t="shared" si="116"/>
        <v>41187.840524897358</v>
      </c>
      <c r="Y1192" s="35">
        <f t="shared" si="117"/>
        <v>30212.764457405829</v>
      </c>
      <c r="Z1192" s="35">
        <f t="shared" si="118"/>
        <v>0</v>
      </c>
      <c r="AA1192" s="35">
        <f t="shared" si="119"/>
        <v>1</v>
      </c>
      <c r="AB1192" s="35">
        <f t="shared" si="120"/>
        <v>0</v>
      </c>
    </row>
    <row r="1193" spans="1:28">
      <c r="A1193" s="35">
        <v>1182</v>
      </c>
      <c r="B1193" s="35">
        <v>4.1125573307764293E-4</v>
      </c>
      <c r="C1193" s="232">
        <v>57.51</v>
      </c>
      <c r="D1193" s="35">
        <v>5.0600313729736053</v>
      </c>
      <c r="E1193" s="232">
        <v>32.65</v>
      </c>
      <c r="F1193" s="35">
        <v>5.0490652296883409</v>
      </c>
      <c r="G1193" s="232">
        <v>10737.85</v>
      </c>
      <c r="H1193" s="35">
        <v>9.2038505993131583</v>
      </c>
      <c r="I1193" s="232">
        <v>11864.54</v>
      </c>
      <c r="J1193" s="35">
        <v>8.2071489070708932</v>
      </c>
      <c r="K1193" s="232">
        <v>12621.49</v>
      </c>
      <c r="L1193" s="35">
        <v>8.4265544031526058</v>
      </c>
      <c r="M1193" s="232">
        <v>38563.57</v>
      </c>
      <c r="N1193" s="35">
        <v>7.3338227562448131</v>
      </c>
      <c r="P1193" s="232">
        <v>-24.86</v>
      </c>
      <c r="Q1193" s="35">
        <v>1.0966143285264351E-2</v>
      </c>
      <c r="R1193" s="232">
        <v>1126.69</v>
      </c>
      <c r="S1193" s="35">
        <v>0.99670169224226512</v>
      </c>
      <c r="T1193" s="232">
        <v>25942.080000000002</v>
      </c>
      <c r="U1193" s="35">
        <v>1.0927316469077928</v>
      </c>
      <c r="W1193" s="35">
        <f t="shared" si="115"/>
        <v>573.16716426321761</v>
      </c>
      <c r="X1193" s="35">
        <f t="shared" si="116"/>
        <v>48708.394612113254</v>
      </c>
      <c r="Y1193" s="35">
        <f t="shared" si="117"/>
        <v>28694.502345389636</v>
      </c>
      <c r="Z1193" s="35">
        <f t="shared" si="118"/>
        <v>0</v>
      </c>
      <c r="AA1193" s="35">
        <f t="shared" si="119"/>
        <v>1</v>
      </c>
      <c r="AB1193" s="35">
        <f t="shared" si="120"/>
        <v>0</v>
      </c>
    </row>
    <row r="1194" spans="1:28">
      <c r="A1194" s="35">
        <v>1183</v>
      </c>
      <c r="B1194" s="35">
        <v>4.6788035484357504E-4</v>
      </c>
      <c r="C1194" s="232">
        <v>64.38</v>
      </c>
      <c r="D1194" s="35">
        <v>5.062073900789728</v>
      </c>
      <c r="E1194" s="232">
        <v>41.03</v>
      </c>
      <c r="F1194" s="35">
        <v>5.0519386344560102</v>
      </c>
      <c r="G1194" s="232">
        <v>10652.61</v>
      </c>
      <c r="H1194" s="35">
        <v>8.8144869537119064</v>
      </c>
      <c r="I1194" s="232">
        <v>11625.82</v>
      </c>
      <c r="J1194" s="35">
        <v>7.403432246486525</v>
      </c>
      <c r="K1194" s="232">
        <v>12504.36</v>
      </c>
      <c r="L1194" s="35">
        <v>8.5236244595287918</v>
      </c>
      <c r="M1194" s="232">
        <v>38434.9</v>
      </c>
      <c r="N1194" s="35">
        <v>7.5296202243824144</v>
      </c>
      <c r="P1194" s="232">
        <v>-23.35</v>
      </c>
      <c r="Q1194" s="35">
        <v>1.0135266333717752E-2</v>
      </c>
      <c r="R1194" s="232">
        <v>973.21</v>
      </c>
      <c r="S1194" s="35">
        <v>1.4110547072253814</v>
      </c>
      <c r="T1194" s="232">
        <v>25930.54</v>
      </c>
      <c r="U1194" s="35">
        <v>0.99400423514637737</v>
      </c>
      <c r="W1194" s="35">
        <f t="shared" si="115"/>
        <v>530.11331668588764</v>
      </c>
      <c r="X1194" s="35">
        <f t="shared" si="116"/>
        <v>69579.525361269058</v>
      </c>
      <c r="Y1194" s="35">
        <f t="shared" si="117"/>
        <v>23769.671757318865</v>
      </c>
      <c r="Z1194" s="35">
        <f t="shared" si="118"/>
        <v>0</v>
      </c>
      <c r="AA1194" s="35">
        <f t="shared" si="119"/>
        <v>1</v>
      </c>
      <c r="AB1194" s="35">
        <f t="shared" si="120"/>
        <v>0</v>
      </c>
    </row>
    <row r="1195" spans="1:28">
      <c r="A1195" s="35">
        <v>1184</v>
      </c>
      <c r="B1195" s="35">
        <v>4.7378500268724366E-4</v>
      </c>
      <c r="C1195" s="232">
        <v>114.4</v>
      </c>
      <c r="D1195" s="35">
        <v>5.0624271155373197</v>
      </c>
      <c r="E1195" s="232">
        <v>64.13</v>
      </c>
      <c r="F1195" s="35">
        <v>5.0508714130010501</v>
      </c>
      <c r="G1195" s="232">
        <v>18208.419999999998</v>
      </c>
      <c r="H1195" s="35">
        <v>8.573600521059852</v>
      </c>
      <c r="I1195" s="232">
        <v>16193.59</v>
      </c>
      <c r="J1195" s="35">
        <v>6.936002943462876</v>
      </c>
      <c r="K1195" s="232">
        <v>29135.42</v>
      </c>
      <c r="L1195" s="35">
        <v>8.9426897686508511</v>
      </c>
      <c r="M1195" s="232">
        <v>55896.36</v>
      </c>
      <c r="N1195" s="35">
        <v>7.9448914953176191</v>
      </c>
      <c r="P1195" s="232">
        <v>-50.28</v>
      </c>
      <c r="Q1195" s="35">
        <v>1.1555702536269585E-2</v>
      </c>
      <c r="R1195" s="232">
        <v>-2014.83</v>
      </c>
      <c r="S1195" s="35">
        <v>1.637597577596976</v>
      </c>
      <c r="T1195" s="232">
        <v>26760.94</v>
      </c>
      <c r="U1195" s="35">
        <v>0.99779827333323201</v>
      </c>
      <c r="W1195" s="35">
        <f t="shared" si="115"/>
        <v>628.0651268134792</v>
      </c>
      <c r="X1195" s="35">
        <f t="shared" si="116"/>
        <v>83894.708879848797</v>
      </c>
      <c r="Y1195" s="35">
        <f t="shared" si="117"/>
        <v>23128.973666661605</v>
      </c>
      <c r="Z1195" s="35">
        <f t="shared" si="118"/>
        <v>0</v>
      </c>
      <c r="AA1195" s="35">
        <f t="shared" si="119"/>
        <v>1</v>
      </c>
      <c r="AB1195" s="35">
        <f t="shared" si="120"/>
        <v>0</v>
      </c>
    </row>
    <row r="1196" spans="1:28">
      <c r="A1196" s="35">
        <v>1185</v>
      </c>
      <c r="B1196" s="35">
        <v>4.9770467702725529E-4</v>
      </c>
      <c r="C1196" s="232">
        <v>70.03</v>
      </c>
      <c r="D1196" s="35">
        <v>5.0633450961983026</v>
      </c>
      <c r="E1196" s="232">
        <v>38.17</v>
      </c>
      <c r="F1196" s="35">
        <v>5.0504467416357883</v>
      </c>
      <c r="G1196" s="232">
        <v>10835.01</v>
      </c>
      <c r="H1196" s="35">
        <v>8.7054683334591338</v>
      </c>
      <c r="I1196" s="232">
        <v>10806.54</v>
      </c>
      <c r="J1196" s="35">
        <v>6.6505628354024253</v>
      </c>
      <c r="K1196" s="232">
        <v>13695.52</v>
      </c>
      <c r="L1196" s="35">
        <v>8.5979703226419506</v>
      </c>
      <c r="M1196" s="232">
        <v>39745.85</v>
      </c>
      <c r="N1196" s="35">
        <v>7.4992447458058225</v>
      </c>
      <c r="P1196" s="232">
        <v>-31.87</v>
      </c>
      <c r="Q1196" s="35">
        <v>1.2898354562514314E-2</v>
      </c>
      <c r="R1196" s="232">
        <v>-28.47</v>
      </c>
      <c r="S1196" s="35">
        <v>2.0549054980567085</v>
      </c>
      <c r="T1196" s="232">
        <v>26050.33</v>
      </c>
      <c r="U1196" s="35">
        <v>1.0987255768361281</v>
      </c>
      <c r="W1196" s="35">
        <f t="shared" si="115"/>
        <v>676.78772812571572</v>
      </c>
      <c r="X1196" s="35">
        <f t="shared" si="116"/>
        <v>102773.74490283543</v>
      </c>
      <c r="Y1196" s="35">
        <f t="shared" si="117"/>
        <v>28885.948841806407</v>
      </c>
      <c r="Z1196" s="35">
        <f t="shared" si="118"/>
        <v>0</v>
      </c>
      <c r="AA1196" s="35">
        <f t="shared" si="119"/>
        <v>1</v>
      </c>
      <c r="AB1196" s="35">
        <f t="shared" si="120"/>
        <v>0</v>
      </c>
    </row>
    <row r="1197" spans="1:28">
      <c r="A1197" s="35">
        <v>1186</v>
      </c>
      <c r="B1197" s="35">
        <v>5.9924217545292979E-4</v>
      </c>
      <c r="C1197" s="232">
        <v>87.98</v>
      </c>
      <c r="D1197" s="35">
        <v>5.068422421617969</v>
      </c>
      <c r="E1197" s="232">
        <v>52.96</v>
      </c>
      <c r="F1197" s="35">
        <v>5.0550114220489881</v>
      </c>
      <c r="G1197" s="232">
        <v>10913.82</v>
      </c>
      <c r="H1197" s="35">
        <v>8.5268904191516679</v>
      </c>
      <c r="I1197" s="232">
        <v>11437.72</v>
      </c>
      <c r="J1197" s="35">
        <v>7.1910993220301602</v>
      </c>
      <c r="K1197" s="232">
        <v>14862.58</v>
      </c>
      <c r="L1197" s="35">
        <v>8.7090636331889719</v>
      </c>
      <c r="M1197" s="232">
        <v>40878.519999999997</v>
      </c>
      <c r="N1197" s="35">
        <v>7.6203169498367398</v>
      </c>
      <c r="P1197" s="232">
        <v>-35.020000000000003</v>
      </c>
      <c r="Q1197" s="35">
        <v>1.3410999568980841E-2</v>
      </c>
      <c r="R1197" s="232">
        <v>523.9</v>
      </c>
      <c r="S1197" s="35">
        <v>1.3357910971215077</v>
      </c>
      <c r="T1197" s="232">
        <v>26015.94</v>
      </c>
      <c r="U1197" s="35">
        <v>1.0887466833522321</v>
      </c>
      <c r="W1197" s="35">
        <f t="shared" si="115"/>
        <v>705.56997844904208</v>
      </c>
      <c r="X1197" s="35">
        <f t="shared" si="116"/>
        <v>66265.654856075387</v>
      </c>
      <c r="Y1197" s="35">
        <f t="shared" si="117"/>
        <v>28421.394167611605</v>
      </c>
      <c r="Z1197" s="35">
        <f t="shared" si="118"/>
        <v>0</v>
      </c>
      <c r="AA1197" s="35">
        <f t="shared" si="119"/>
        <v>1</v>
      </c>
      <c r="AB1197" s="35">
        <f t="shared" si="120"/>
        <v>0</v>
      </c>
    </row>
    <row r="1198" spans="1:28">
      <c r="A1198" s="35">
        <v>1187</v>
      </c>
      <c r="B1198" s="35">
        <v>6.9299324487992475E-4</v>
      </c>
      <c r="C1198" s="232">
        <v>108.81</v>
      </c>
      <c r="D1198" s="35">
        <v>5.0758993514608299</v>
      </c>
      <c r="E1198" s="232">
        <v>74.95</v>
      </c>
      <c r="F1198" s="35">
        <v>5.0627983357509372</v>
      </c>
      <c r="G1198" s="232">
        <v>11597.07</v>
      </c>
      <c r="H1198" s="35">
        <v>9.021804047426059</v>
      </c>
      <c r="I1198" s="232">
        <v>12034.12</v>
      </c>
      <c r="J1198" s="35">
        <v>7.4282826825605044</v>
      </c>
      <c r="K1198" s="232">
        <v>13345.41</v>
      </c>
      <c r="L1198" s="35">
        <v>8.5946244269633745</v>
      </c>
      <c r="M1198" s="232">
        <v>39357.22</v>
      </c>
      <c r="N1198" s="35">
        <v>7.4467234675133565</v>
      </c>
      <c r="P1198" s="232">
        <v>-33.869999999999997</v>
      </c>
      <c r="Q1198" s="35">
        <v>1.3101015709892749E-2</v>
      </c>
      <c r="R1198" s="232">
        <v>437.05</v>
      </c>
      <c r="S1198" s="35">
        <v>1.5935213648655546</v>
      </c>
      <c r="T1198" s="232">
        <v>26011.81</v>
      </c>
      <c r="U1198" s="35">
        <v>1.147900959450018</v>
      </c>
      <c r="W1198" s="35">
        <f t="shared" si="115"/>
        <v>688.92078549463747</v>
      </c>
      <c r="X1198" s="35">
        <f t="shared" si="116"/>
        <v>79239.018243277722</v>
      </c>
      <c r="Y1198" s="35">
        <f t="shared" si="117"/>
        <v>31383.237972500898</v>
      </c>
      <c r="Z1198" s="35">
        <f t="shared" si="118"/>
        <v>0</v>
      </c>
      <c r="AA1198" s="35">
        <f t="shared" si="119"/>
        <v>1</v>
      </c>
      <c r="AB1198" s="35">
        <f t="shared" si="120"/>
        <v>0</v>
      </c>
    </row>
    <row r="1199" spans="1:28">
      <c r="A1199" s="35">
        <v>1188</v>
      </c>
      <c r="B1199" s="35">
        <v>5.2917097721361106E-4</v>
      </c>
      <c r="C1199" s="232">
        <v>74.209999999999994</v>
      </c>
      <c r="D1199" s="35">
        <v>5.0662090430193745</v>
      </c>
      <c r="E1199" s="232">
        <v>44.59</v>
      </c>
      <c r="F1199" s="35">
        <v>5.0535191178148757</v>
      </c>
      <c r="G1199" s="232">
        <v>10659.11</v>
      </c>
      <c r="H1199" s="35">
        <v>8.7353356232139383</v>
      </c>
      <c r="I1199" s="232">
        <v>11992.51</v>
      </c>
      <c r="J1199" s="35">
        <v>7.7036799384018027</v>
      </c>
      <c r="K1199" s="232">
        <v>13095.79</v>
      </c>
      <c r="L1199" s="35">
        <v>8.840763269633598</v>
      </c>
      <c r="M1199" s="232">
        <v>39178.06</v>
      </c>
      <c r="N1199" s="35">
        <v>7.7501012524002642</v>
      </c>
      <c r="P1199" s="232">
        <v>-29.63</v>
      </c>
      <c r="Q1199" s="35">
        <v>1.2689925204498742E-2</v>
      </c>
      <c r="R1199" s="232">
        <v>1333.4</v>
      </c>
      <c r="S1199" s="35">
        <v>1.0316556848121357</v>
      </c>
      <c r="T1199" s="232">
        <v>26082.27</v>
      </c>
      <c r="U1199" s="35">
        <v>1.0906620172333339</v>
      </c>
      <c r="W1199" s="35">
        <f t="shared" si="115"/>
        <v>664.12626022493714</v>
      </c>
      <c r="X1199" s="35">
        <f t="shared" si="116"/>
        <v>50249.384240606778</v>
      </c>
      <c r="Y1199" s="35">
        <f t="shared" si="117"/>
        <v>28450.830861666695</v>
      </c>
      <c r="Z1199" s="35">
        <f t="shared" si="118"/>
        <v>0</v>
      </c>
      <c r="AA1199" s="35">
        <f t="shared" si="119"/>
        <v>1</v>
      </c>
      <c r="AB1199" s="35">
        <f t="shared" si="120"/>
        <v>0</v>
      </c>
    </row>
    <row r="1200" spans="1:28">
      <c r="A1200" s="35">
        <v>1189</v>
      </c>
      <c r="B1200" s="35">
        <v>3.6203684376987611E-4</v>
      </c>
      <c r="C1200" s="232">
        <v>52.6</v>
      </c>
      <c r="D1200" s="35">
        <v>5.0552492701553033</v>
      </c>
      <c r="E1200" s="232">
        <v>31.69</v>
      </c>
      <c r="F1200" s="35">
        <v>5.047152942391719</v>
      </c>
      <c r="G1200" s="232">
        <v>12341</v>
      </c>
      <c r="H1200" s="35">
        <v>8.2808220633779506</v>
      </c>
      <c r="I1200" s="232">
        <v>14519.39</v>
      </c>
      <c r="J1200" s="35">
        <v>6.8083598693354022</v>
      </c>
      <c r="K1200" s="232">
        <v>12690.11</v>
      </c>
      <c r="L1200" s="35">
        <v>8.4685494317242931</v>
      </c>
      <c r="M1200" s="232">
        <v>38712.480000000003</v>
      </c>
      <c r="N1200" s="35">
        <v>7.3781661483301626</v>
      </c>
      <c r="P1200" s="232">
        <v>-20.91</v>
      </c>
      <c r="Q1200" s="35">
        <v>8.0963277635843767E-3</v>
      </c>
      <c r="R1200" s="232">
        <v>2178.38</v>
      </c>
      <c r="S1200" s="35">
        <v>1.4724621940425484</v>
      </c>
      <c r="T1200" s="232">
        <v>26022.37</v>
      </c>
      <c r="U1200" s="35">
        <v>1.0903832833941305</v>
      </c>
      <c r="W1200" s="35">
        <f t="shared" si="115"/>
        <v>425.72638817921887</v>
      </c>
      <c r="X1200" s="35">
        <f t="shared" si="116"/>
        <v>71444.729702127413</v>
      </c>
      <c r="Y1200" s="35">
        <f t="shared" si="117"/>
        <v>28496.794169706529</v>
      </c>
      <c r="Z1200" s="35">
        <f t="shared" si="118"/>
        <v>0</v>
      </c>
      <c r="AA1200" s="35">
        <f t="shared" si="119"/>
        <v>1</v>
      </c>
      <c r="AB1200" s="35">
        <f t="shared" si="120"/>
        <v>0</v>
      </c>
    </row>
    <row r="1201" spans="1:28">
      <c r="A1201" s="35">
        <v>1190</v>
      </c>
      <c r="B1201" s="35">
        <v>6.3520400387584441E-4</v>
      </c>
      <c r="C1201" s="232">
        <v>96.28</v>
      </c>
      <c r="D1201" s="35">
        <v>5.0689925925541521</v>
      </c>
      <c r="E1201" s="232">
        <v>54.29</v>
      </c>
      <c r="F1201" s="35">
        <v>5.0542575058538448</v>
      </c>
      <c r="G1201" s="232">
        <v>11767.44</v>
      </c>
      <c r="H1201" s="35">
        <v>8.4029268027483859</v>
      </c>
      <c r="I1201" s="232">
        <v>12865.36</v>
      </c>
      <c r="J1201" s="35">
        <v>7.4407634087880234</v>
      </c>
      <c r="K1201" s="232">
        <v>16190.33</v>
      </c>
      <c r="L1201" s="35">
        <v>8.4431709896683156</v>
      </c>
      <c r="M1201" s="232">
        <v>42365.03</v>
      </c>
      <c r="N1201" s="35">
        <v>7.3948930384986324</v>
      </c>
      <c r="P1201" s="232">
        <v>-41.99</v>
      </c>
      <c r="Q1201" s="35">
        <v>1.473508670030732E-2</v>
      </c>
      <c r="R1201" s="232">
        <v>1097.93</v>
      </c>
      <c r="S1201" s="35">
        <v>0.96216339396036243</v>
      </c>
      <c r="T1201" s="232">
        <v>26174.7</v>
      </c>
      <c r="U1201" s="35">
        <v>1.0482779511696831</v>
      </c>
      <c r="W1201" s="35">
        <f t="shared" si="115"/>
        <v>778.744335015366</v>
      </c>
      <c r="X1201" s="35">
        <f t="shared" si="116"/>
        <v>47010.239698018122</v>
      </c>
      <c r="Y1201" s="35">
        <f t="shared" si="117"/>
        <v>26239.197558484153</v>
      </c>
      <c r="Z1201" s="35">
        <f t="shared" si="118"/>
        <v>0</v>
      </c>
      <c r="AA1201" s="35">
        <f t="shared" si="119"/>
        <v>1</v>
      </c>
      <c r="AB1201" s="35">
        <f t="shared" si="120"/>
        <v>0</v>
      </c>
    </row>
    <row r="1202" spans="1:28">
      <c r="A1202" s="35">
        <v>1191</v>
      </c>
      <c r="B1202" s="35">
        <v>3.5907548202667903E-4</v>
      </c>
      <c r="C1202" s="232">
        <v>47.7</v>
      </c>
      <c r="D1202" s="35">
        <v>5.055610795467639</v>
      </c>
      <c r="E1202" s="232">
        <v>31.6</v>
      </c>
      <c r="F1202" s="35">
        <v>5.0482834691299923</v>
      </c>
      <c r="G1202" s="232">
        <v>10452.75</v>
      </c>
      <c r="H1202" s="35">
        <v>8.3410160593198874</v>
      </c>
      <c r="I1202" s="232">
        <v>12317.39</v>
      </c>
      <c r="J1202" s="35">
        <v>7.8114663421503066</v>
      </c>
      <c r="K1202" s="232">
        <v>12933.99</v>
      </c>
      <c r="L1202" s="35">
        <v>8.5365592977832492</v>
      </c>
      <c r="M1202" s="232">
        <v>38948.82</v>
      </c>
      <c r="N1202" s="35">
        <v>7.4355469811140438</v>
      </c>
      <c r="P1202" s="232">
        <v>-16.100000000000001</v>
      </c>
      <c r="Q1202" s="35">
        <v>7.3273263376467668E-3</v>
      </c>
      <c r="R1202" s="232">
        <v>1864.64</v>
      </c>
      <c r="S1202" s="35">
        <v>0.52954971716958088</v>
      </c>
      <c r="T1202" s="232">
        <v>26014.83</v>
      </c>
      <c r="U1202" s="35">
        <v>1.1010123166692054</v>
      </c>
      <c r="W1202" s="35">
        <f t="shared" si="115"/>
        <v>382.46631688233833</v>
      </c>
      <c r="X1202" s="35">
        <f t="shared" si="116"/>
        <v>24612.845858479046</v>
      </c>
      <c r="Y1202" s="35">
        <f t="shared" si="117"/>
        <v>29035.785833460272</v>
      </c>
      <c r="Z1202" s="35">
        <f t="shared" si="118"/>
        <v>0</v>
      </c>
      <c r="AA1202" s="35">
        <f t="shared" si="119"/>
        <v>0</v>
      </c>
      <c r="AB1202" s="35">
        <f t="shared" si="120"/>
        <v>1</v>
      </c>
    </row>
    <row r="1203" spans="1:28">
      <c r="A1203" s="35">
        <v>1192</v>
      </c>
      <c r="B1203" s="35">
        <v>4.4746635463233098E-4</v>
      </c>
      <c r="C1203" s="232">
        <v>63.42</v>
      </c>
      <c r="D1203" s="35">
        <v>5.0633191469701355</v>
      </c>
      <c r="E1203" s="232">
        <v>42.06</v>
      </c>
      <c r="F1203" s="35">
        <v>5.0533000676357682</v>
      </c>
      <c r="G1203" s="232">
        <v>11764.63</v>
      </c>
      <c r="H1203" s="35">
        <v>9.2449897156477334</v>
      </c>
      <c r="I1203" s="232">
        <v>13754.3</v>
      </c>
      <c r="J1203" s="35">
        <v>7.8596841681590686</v>
      </c>
      <c r="K1203" s="232">
        <v>12550.25</v>
      </c>
      <c r="L1203" s="35">
        <v>8.86153211082034</v>
      </c>
      <c r="M1203" s="232">
        <v>38527.07</v>
      </c>
      <c r="N1203" s="35">
        <v>7.8146167777558464</v>
      </c>
      <c r="P1203" s="232">
        <v>-21.35</v>
      </c>
      <c r="Q1203" s="35">
        <v>1.0019079334367298E-2</v>
      </c>
      <c r="R1203" s="232">
        <v>1989.66</v>
      </c>
      <c r="S1203" s="35">
        <v>1.3853055474886649</v>
      </c>
      <c r="T1203" s="232">
        <v>25976.81</v>
      </c>
      <c r="U1203" s="35">
        <v>1.0469153330644936</v>
      </c>
      <c r="W1203" s="35">
        <f t="shared" si="115"/>
        <v>522.3039667183649</v>
      </c>
      <c r="X1203" s="35">
        <f t="shared" si="116"/>
        <v>67275.617374433234</v>
      </c>
      <c r="Y1203" s="35">
        <f t="shared" si="117"/>
        <v>26368.956653224679</v>
      </c>
      <c r="Z1203" s="35">
        <f t="shared" si="118"/>
        <v>0</v>
      </c>
      <c r="AA1203" s="35">
        <f t="shared" si="119"/>
        <v>1</v>
      </c>
      <c r="AB1203" s="35">
        <f t="shared" si="120"/>
        <v>0</v>
      </c>
    </row>
    <row r="1204" spans="1:28">
      <c r="A1204" s="35">
        <v>1193</v>
      </c>
      <c r="B1204" s="35">
        <v>6.3184114780678868E-4</v>
      </c>
      <c r="C1204" s="232">
        <v>82.59</v>
      </c>
      <c r="D1204" s="35">
        <v>5.0674654383192239</v>
      </c>
      <c r="E1204" s="232">
        <v>49.88</v>
      </c>
      <c r="F1204" s="35">
        <v>5.0544526423202969</v>
      </c>
      <c r="G1204" s="232">
        <v>10095.15</v>
      </c>
      <c r="H1204" s="35">
        <v>8.0813225215970714</v>
      </c>
      <c r="I1204" s="232">
        <v>11627.95</v>
      </c>
      <c r="J1204" s="35">
        <v>6.4924451656886886</v>
      </c>
      <c r="K1204" s="232">
        <v>9978.2199999999993</v>
      </c>
      <c r="L1204" s="35">
        <v>8.4131297865254755</v>
      </c>
      <c r="M1204" s="232">
        <v>35811.730000000003</v>
      </c>
      <c r="N1204" s="35">
        <v>7.2327344747045599</v>
      </c>
      <c r="P1204" s="232">
        <v>-32.71</v>
      </c>
      <c r="Q1204" s="35">
        <v>1.3012795998927018E-2</v>
      </c>
      <c r="R1204" s="232">
        <v>1532.8</v>
      </c>
      <c r="S1204" s="35">
        <v>1.5888773559083829</v>
      </c>
      <c r="T1204" s="232">
        <v>25833.5</v>
      </c>
      <c r="U1204" s="35">
        <v>1.1803953118209156</v>
      </c>
      <c r="W1204" s="35">
        <f t="shared" si="115"/>
        <v>683.34979994635091</v>
      </c>
      <c r="X1204" s="35">
        <f t="shared" si="116"/>
        <v>77911.067795419134</v>
      </c>
      <c r="Y1204" s="35">
        <f t="shared" si="117"/>
        <v>33186.265591045783</v>
      </c>
      <c r="Z1204" s="35">
        <f t="shared" si="118"/>
        <v>0</v>
      </c>
      <c r="AA1204" s="35">
        <f t="shared" si="119"/>
        <v>1</v>
      </c>
      <c r="AB1204" s="35">
        <f t="shared" si="120"/>
        <v>0</v>
      </c>
    </row>
    <row r="1205" spans="1:28">
      <c r="A1205" s="35">
        <v>1194</v>
      </c>
      <c r="B1205" s="35">
        <v>3.384495568855559E-4</v>
      </c>
      <c r="C1205" s="232">
        <v>44.39</v>
      </c>
      <c r="D1205" s="35">
        <v>5.0544474361981173</v>
      </c>
      <c r="E1205" s="232">
        <v>29.87</v>
      </c>
      <c r="F1205" s="35">
        <v>5.0476787924060744</v>
      </c>
      <c r="G1205" s="232">
        <v>9727.09</v>
      </c>
      <c r="H1205" s="35">
        <v>8.2697108781772286</v>
      </c>
      <c r="I1205" s="232">
        <v>11047.73</v>
      </c>
      <c r="J1205" s="35">
        <v>7.3109410882339798</v>
      </c>
      <c r="K1205" s="232">
        <v>11956.14</v>
      </c>
      <c r="L1205" s="35">
        <v>8.5923698404569269</v>
      </c>
      <c r="M1205" s="232">
        <v>37737.29</v>
      </c>
      <c r="N1205" s="35">
        <v>7.5325919818616942</v>
      </c>
      <c r="P1205" s="232">
        <v>-14.52</v>
      </c>
      <c r="Q1205" s="35">
        <v>6.7686437920428943E-3</v>
      </c>
      <c r="R1205" s="232">
        <v>1320.64</v>
      </c>
      <c r="S1205" s="35">
        <v>0.9587697899432488</v>
      </c>
      <c r="T1205" s="232">
        <v>25781.15</v>
      </c>
      <c r="U1205" s="35">
        <v>1.0597778585952327</v>
      </c>
      <c r="W1205" s="35">
        <f t="shared" si="115"/>
        <v>352.9521896021447</v>
      </c>
      <c r="X1205" s="35">
        <f t="shared" si="116"/>
        <v>46617.849497162439</v>
      </c>
      <c r="Y1205" s="35">
        <f t="shared" si="117"/>
        <v>27207.742929761633</v>
      </c>
      <c r="Z1205" s="35">
        <f t="shared" si="118"/>
        <v>0</v>
      </c>
      <c r="AA1205" s="35">
        <f t="shared" si="119"/>
        <v>1</v>
      </c>
      <c r="AB1205" s="35">
        <f t="shared" si="120"/>
        <v>0</v>
      </c>
    </row>
    <row r="1206" spans="1:28">
      <c r="A1206" s="35">
        <v>1195</v>
      </c>
      <c r="B1206" s="35">
        <v>3.691729482591881E-4</v>
      </c>
      <c r="C1206" s="232">
        <v>53.87</v>
      </c>
      <c r="D1206" s="35">
        <v>5.0574499559337038</v>
      </c>
      <c r="E1206" s="232">
        <v>34.31</v>
      </c>
      <c r="F1206" s="35">
        <v>5.0490306822489552</v>
      </c>
      <c r="G1206" s="232">
        <v>12010.8</v>
      </c>
      <c r="H1206" s="35">
        <v>8.9697517905160034</v>
      </c>
      <c r="I1206" s="232">
        <v>13995.44</v>
      </c>
      <c r="J1206" s="35">
        <v>7.9086977921625179</v>
      </c>
      <c r="K1206" s="232">
        <v>12365.51</v>
      </c>
      <c r="L1206" s="35">
        <v>8.4445705791810912</v>
      </c>
      <c r="M1206" s="232">
        <v>38237.49</v>
      </c>
      <c r="N1206" s="35">
        <v>7.3345101027044253</v>
      </c>
      <c r="P1206" s="232">
        <v>-19.559999999999999</v>
      </c>
      <c r="Q1206" s="35">
        <v>8.4192736847485961E-3</v>
      </c>
      <c r="R1206" s="232">
        <v>1984.63</v>
      </c>
      <c r="S1206" s="35">
        <v>1.0610539983534855</v>
      </c>
      <c r="T1206" s="232">
        <v>25871.99</v>
      </c>
      <c r="U1206" s="35">
        <v>1.1100604764766659</v>
      </c>
      <c r="W1206" s="35">
        <f t="shared" si="115"/>
        <v>440.52368423742979</v>
      </c>
      <c r="X1206" s="35">
        <f t="shared" si="116"/>
        <v>51068.069917674278</v>
      </c>
      <c r="Y1206" s="35">
        <f t="shared" si="117"/>
        <v>29631.033823833295</v>
      </c>
      <c r="Z1206" s="35">
        <f t="shared" si="118"/>
        <v>0</v>
      </c>
      <c r="AA1206" s="35">
        <f t="shared" si="119"/>
        <v>1</v>
      </c>
      <c r="AB1206" s="35">
        <f t="shared" si="120"/>
        <v>0</v>
      </c>
    </row>
    <row r="1207" spans="1:28">
      <c r="A1207" s="35">
        <v>1196</v>
      </c>
      <c r="B1207" s="35">
        <v>5.8159670808144437E-4</v>
      </c>
      <c r="C1207" s="232">
        <v>98.03</v>
      </c>
      <c r="D1207" s="35">
        <v>5.0681545558007359</v>
      </c>
      <c r="E1207" s="232">
        <v>57.08</v>
      </c>
      <c r="F1207" s="35">
        <v>5.054392770099688</v>
      </c>
      <c r="G1207" s="232">
        <v>12027</v>
      </c>
      <c r="H1207" s="35">
        <v>8.3054740932081561</v>
      </c>
      <c r="I1207" s="232">
        <v>12290.54</v>
      </c>
      <c r="J1207" s="35">
        <v>7.0825544068635642</v>
      </c>
      <c r="K1207" s="232">
        <v>18462.490000000002</v>
      </c>
      <c r="L1207" s="35">
        <v>9.312851200679189</v>
      </c>
      <c r="M1207" s="232">
        <v>44786.85</v>
      </c>
      <c r="N1207" s="35">
        <v>8.2161755223259032</v>
      </c>
      <c r="P1207" s="232">
        <v>-40.96</v>
      </c>
      <c r="Q1207" s="35">
        <v>1.3761785701047913E-2</v>
      </c>
      <c r="R1207" s="232">
        <v>263.54000000000002</v>
      </c>
      <c r="S1207" s="35">
        <v>1.2229196863445919</v>
      </c>
      <c r="T1207" s="232">
        <v>26324.35</v>
      </c>
      <c r="U1207" s="35">
        <v>1.0966756783532858</v>
      </c>
      <c r="W1207" s="35">
        <f t="shared" si="115"/>
        <v>729.0492850523957</v>
      </c>
      <c r="X1207" s="35">
        <f t="shared" si="116"/>
        <v>60882.444317229594</v>
      </c>
      <c r="Y1207" s="35">
        <f t="shared" si="117"/>
        <v>28509.43391766429</v>
      </c>
      <c r="Z1207" s="35">
        <f t="shared" si="118"/>
        <v>0</v>
      </c>
      <c r="AA1207" s="35">
        <f t="shared" si="119"/>
        <v>1</v>
      </c>
      <c r="AB1207" s="35">
        <f t="shared" si="120"/>
        <v>0</v>
      </c>
    </row>
    <row r="1208" spans="1:28">
      <c r="A1208" s="35">
        <v>1197</v>
      </c>
      <c r="B1208" s="35">
        <v>3.8519610104265225E-4</v>
      </c>
      <c r="C1208" s="232">
        <v>67.709999999999994</v>
      </c>
      <c r="D1208" s="35">
        <v>5.0603489284790362</v>
      </c>
      <c r="E1208" s="232">
        <v>41.58</v>
      </c>
      <c r="F1208" s="35">
        <v>5.050479899055083</v>
      </c>
      <c r="G1208" s="232">
        <v>13866.14</v>
      </c>
      <c r="H1208" s="35">
        <v>9.534661309012419</v>
      </c>
      <c r="I1208" s="232">
        <v>15042.53</v>
      </c>
      <c r="J1208" s="35">
        <v>8.6354945741789031</v>
      </c>
      <c r="K1208" s="232">
        <v>17471.16</v>
      </c>
      <c r="L1208" s="35">
        <v>8.7532193166881598</v>
      </c>
      <c r="M1208" s="232">
        <v>43737.97</v>
      </c>
      <c r="N1208" s="35">
        <v>7.6858798419654475</v>
      </c>
      <c r="P1208" s="232">
        <v>-26.13</v>
      </c>
      <c r="Q1208" s="35">
        <v>9.8690294239531795E-3</v>
      </c>
      <c r="R1208" s="232">
        <v>1176.3900000000001</v>
      </c>
      <c r="S1208" s="35">
        <v>0.89916673483351595</v>
      </c>
      <c r="T1208" s="232">
        <v>26266.81</v>
      </c>
      <c r="U1208" s="35">
        <v>1.0673394747227123</v>
      </c>
      <c r="W1208" s="35">
        <f t="shared" si="115"/>
        <v>519.58147119765897</v>
      </c>
      <c r="X1208" s="35">
        <f t="shared" si="116"/>
        <v>43781.946741675798</v>
      </c>
      <c r="Y1208" s="35">
        <f t="shared" si="117"/>
        <v>27100.163736135615</v>
      </c>
      <c r="Z1208" s="35">
        <f t="shared" si="118"/>
        <v>0</v>
      </c>
      <c r="AA1208" s="35">
        <f t="shared" si="119"/>
        <v>1</v>
      </c>
      <c r="AB1208" s="35">
        <f t="shared" si="120"/>
        <v>0</v>
      </c>
    </row>
    <row r="1209" spans="1:28">
      <c r="A1209" s="35">
        <v>1198</v>
      </c>
      <c r="B1209" s="35">
        <v>4.0061021152131877E-4</v>
      </c>
      <c r="C1209" s="232">
        <v>68.38</v>
      </c>
      <c r="D1209" s="35">
        <v>5.0569369489421891</v>
      </c>
      <c r="E1209" s="232">
        <v>41.72</v>
      </c>
      <c r="F1209" s="35">
        <v>5.0485023303229477</v>
      </c>
      <c r="G1209" s="232">
        <v>12846.4</v>
      </c>
      <c r="H1209" s="35">
        <v>8.2698191283694236</v>
      </c>
      <c r="I1209" s="232">
        <v>13627.54</v>
      </c>
      <c r="J1209" s="35">
        <v>7.1638017774690406</v>
      </c>
      <c r="K1209" s="232">
        <v>16379.49</v>
      </c>
      <c r="L1209" s="35">
        <v>8.3547653467183061</v>
      </c>
      <c r="M1209" s="232">
        <v>42602.44</v>
      </c>
      <c r="N1209" s="35">
        <v>7.2441453448713071</v>
      </c>
      <c r="P1209" s="232">
        <v>-26.67</v>
      </c>
      <c r="Q1209" s="35">
        <v>8.4346186192414407E-3</v>
      </c>
      <c r="R1209" s="232">
        <v>781.13</v>
      </c>
      <c r="S1209" s="35">
        <v>1.106017350900383</v>
      </c>
      <c r="T1209" s="232">
        <v>26222.94</v>
      </c>
      <c r="U1209" s="35">
        <v>1.1106200018469989</v>
      </c>
      <c r="W1209" s="35">
        <f t="shared" si="115"/>
        <v>448.40093096207204</v>
      </c>
      <c r="X1209" s="35">
        <f t="shared" si="116"/>
        <v>54519.737545019154</v>
      </c>
      <c r="Y1209" s="35">
        <f t="shared" si="117"/>
        <v>29308.060092349948</v>
      </c>
      <c r="Z1209" s="35">
        <f t="shared" si="118"/>
        <v>0</v>
      </c>
      <c r="AA1209" s="35">
        <f t="shared" si="119"/>
        <v>1</v>
      </c>
      <c r="AB1209" s="35">
        <f t="shared" si="120"/>
        <v>0</v>
      </c>
    </row>
    <row r="1210" spans="1:28">
      <c r="A1210" s="35">
        <v>1199</v>
      </c>
      <c r="B1210" s="35">
        <v>4.5931067965332417E-4</v>
      </c>
      <c r="C1210" s="232">
        <v>71.92</v>
      </c>
      <c r="D1210" s="35">
        <v>5.0609555029415789</v>
      </c>
      <c r="E1210" s="232">
        <v>44.87</v>
      </c>
      <c r="F1210" s="35">
        <v>5.051118857683802</v>
      </c>
      <c r="G1210" s="232">
        <v>11911.36</v>
      </c>
      <c r="H1210" s="35">
        <v>8.6978512500687426</v>
      </c>
      <c r="I1210" s="232">
        <v>13334.28</v>
      </c>
      <c r="J1210" s="35">
        <v>8.044708555301515</v>
      </c>
      <c r="K1210" s="232">
        <v>14923.86</v>
      </c>
      <c r="L1210" s="35">
        <v>8.1885921277382892</v>
      </c>
      <c r="M1210" s="232">
        <v>41020.33</v>
      </c>
      <c r="N1210" s="35">
        <v>7.12949687952253</v>
      </c>
      <c r="P1210" s="232">
        <v>-27.05</v>
      </c>
      <c r="Q1210" s="35">
        <v>9.8366452577769437E-3</v>
      </c>
      <c r="R1210" s="232">
        <v>1422.92</v>
      </c>
      <c r="S1210" s="35">
        <v>0.65314269476722764</v>
      </c>
      <c r="T1210" s="232">
        <v>26096.47</v>
      </c>
      <c r="U1210" s="35">
        <v>1.0590952482157592</v>
      </c>
      <c r="W1210" s="35">
        <f t="shared" si="115"/>
        <v>518.88226288884721</v>
      </c>
      <c r="X1210" s="35">
        <f t="shared" si="116"/>
        <v>31234.214738361385</v>
      </c>
      <c r="Y1210" s="35">
        <f t="shared" si="117"/>
        <v>26858.292410787959</v>
      </c>
      <c r="Z1210" s="35">
        <f t="shared" si="118"/>
        <v>0</v>
      </c>
      <c r="AA1210" s="35">
        <f t="shared" si="119"/>
        <v>1</v>
      </c>
      <c r="AB1210" s="35">
        <f t="shared" si="120"/>
        <v>0</v>
      </c>
    </row>
    <row r="1211" spans="1:28">
      <c r="A1211" s="35">
        <v>1200</v>
      </c>
      <c r="B1211" s="35">
        <v>4.6509421988394362E-4</v>
      </c>
      <c r="C1211" s="232">
        <v>85.18</v>
      </c>
      <c r="D1211" s="35">
        <v>5.0596525136979285</v>
      </c>
      <c r="E1211" s="232">
        <v>51.25</v>
      </c>
      <c r="F1211" s="35">
        <v>5.0500602393192056</v>
      </c>
      <c r="G1211" s="232">
        <v>13813.74</v>
      </c>
      <c r="H1211" s="35">
        <v>8.2439818228995634</v>
      </c>
      <c r="I1211" s="232">
        <v>14969.23</v>
      </c>
      <c r="J1211" s="35">
        <v>7.6753822558369675</v>
      </c>
      <c r="K1211" s="232">
        <v>20443.41</v>
      </c>
      <c r="L1211" s="35">
        <v>8.2216697781040597</v>
      </c>
      <c r="M1211" s="232">
        <v>46887.91</v>
      </c>
      <c r="N1211" s="35">
        <v>7.1385615393968624</v>
      </c>
      <c r="P1211" s="232">
        <v>-33.93</v>
      </c>
      <c r="Q1211" s="35">
        <v>9.5922743787228981E-3</v>
      </c>
      <c r="R1211" s="232">
        <v>1155.48</v>
      </c>
      <c r="S1211" s="35">
        <v>0.56859956706259585</v>
      </c>
      <c r="T1211" s="232">
        <v>26444.5</v>
      </c>
      <c r="U1211" s="35">
        <v>1.0831082387071973</v>
      </c>
      <c r="W1211" s="35">
        <f t="shared" si="115"/>
        <v>513.54371893614484</v>
      </c>
      <c r="X1211" s="35">
        <f t="shared" si="116"/>
        <v>27274.498353129791</v>
      </c>
      <c r="Y1211" s="35">
        <f t="shared" si="117"/>
        <v>27710.911935359865</v>
      </c>
      <c r="Z1211" s="35">
        <f t="shared" si="118"/>
        <v>0</v>
      </c>
      <c r="AA1211" s="35">
        <f t="shared" si="119"/>
        <v>0</v>
      </c>
      <c r="AB1211" s="35">
        <f t="shared" si="120"/>
        <v>1</v>
      </c>
    </row>
    <row r="1212" spans="1:28">
      <c r="A1212" s="35">
        <v>1201</v>
      </c>
      <c r="B1212" s="35">
        <v>5.0214849394503158E-4</v>
      </c>
      <c r="C1212" s="232">
        <v>92.33</v>
      </c>
      <c r="D1212" s="35">
        <v>5.065718094860773</v>
      </c>
      <c r="E1212" s="232">
        <v>59.54</v>
      </c>
      <c r="F1212" s="35">
        <v>5.0547432252213236</v>
      </c>
      <c r="G1212" s="232">
        <v>13429.74</v>
      </c>
      <c r="H1212" s="35">
        <v>9.0151108983277641</v>
      </c>
      <c r="I1212" s="232">
        <v>14289.57</v>
      </c>
      <c r="J1212" s="35">
        <v>8.2519769763739426</v>
      </c>
      <c r="K1212" s="232">
        <v>18612.79</v>
      </c>
      <c r="L1212" s="35">
        <v>8.7804438809088783</v>
      </c>
      <c r="M1212" s="232">
        <v>44828.93</v>
      </c>
      <c r="N1212" s="35">
        <v>7.6068004310184021</v>
      </c>
      <c r="P1212" s="232">
        <v>-32.79</v>
      </c>
      <c r="Q1212" s="35">
        <v>1.0974869639449381E-2</v>
      </c>
      <c r="R1212" s="232">
        <v>859.83</v>
      </c>
      <c r="S1212" s="35">
        <v>0.76313392195382157</v>
      </c>
      <c r="T1212" s="232">
        <v>26216.14</v>
      </c>
      <c r="U1212" s="35">
        <v>1.1736434498904762</v>
      </c>
      <c r="W1212" s="35">
        <f t="shared" si="115"/>
        <v>581.53348197246896</v>
      </c>
      <c r="X1212" s="35">
        <f t="shared" si="116"/>
        <v>37296.866097691076</v>
      </c>
      <c r="Y1212" s="35">
        <f t="shared" si="117"/>
        <v>32466.03249452381</v>
      </c>
      <c r="Z1212" s="35">
        <f t="shared" si="118"/>
        <v>0</v>
      </c>
      <c r="AA1212" s="35">
        <f t="shared" si="119"/>
        <v>1</v>
      </c>
      <c r="AB1212" s="35">
        <f t="shared" si="120"/>
        <v>0</v>
      </c>
    </row>
    <row r="1213" spans="1:28">
      <c r="A1213" s="35">
        <v>1202</v>
      </c>
      <c r="B1213" s="35">
        <v>3.4709389694700975E-4</v>
      </c>
      <c r="C1213" s="232">
        <v>47.71</v>
      </c>
      <c r="D1213" s="35">
        <v>5.0547648056996053</v>
      </c>
      <c r="E1213" s="232">
        <v>31.37</v>
      </c>
      <c r="F1213" s="35">
        <v>5.0477034283396467</v>
      </c>
      <c r="G1213" s="232">
        <v>11636.78</v>
      </c>
      <c r="H1213" s="35">
        <v>8.0506421377476673</v>
      </c>
      <c r="I1213" s="232">
        <v>14044.31</v>
      </c>
      <c r="J1213" s="35">
        <v>6.7814070010174268</v>
      </c>
      <c r="K1213" s="232">
        <v>10769.7</v>
      </c>
      <c r="L1213" s="35">
        <v>8.7093659590072381</v>
      </c>
      <c r="M1213" s="232">
        <v>36683.85</v>
      </c>
      <c r="N1213" s="35">
        <v>7.5044763629172122</v>
      </c>
      <c r="P1213" s="232">
        <v>-16.34</v>
      </c>
      <c r="Q1213" s="35">
        <v>7.0613773599585983E-3</v>
      </c>
      <c r="R1213" s="232">
        <v>2407.5300000000002</v>
      </c>
      <c r="S1213" s="35">
        <v>1.2692351367302406</v>
      </c>
      <c r="T1213" s="232">
        <v>25914.15</v>
      </c>
      <c r="U1213" s="35">
        <v>1.2048895960900259</v>
      </c>
      <c r="W1213" s="35">
        <f t="shared" si="115"/>
        <v>369.40886799792992</v>
      </c>
      <c r="X1213" s="35">
        <f t="shared" si="116"/>
        <v>61054.226836512033</v>
      </c>
      <c r="Y1213" s="35">
        <f t="shared" si="117"/>
        <v>34330.329804501293</v>
      </c>
      <c r="Z1213" s="35">
        <f t="shared" si="118"/>
        <v>0</v>
      </c>
      <c r="AA1213" s="35">
        <f t="shared" si="119"/>
        <v>1</v>
      </c>
      <c r="AB1213" s="35">
        <f t="shared" si="120"/>
        <v>0</v>
      </c>
    </row>
    <row r="1214" spans="1:28">
      <c r="A1214" s="35">
        <v>1203</v>
      </c>
      <c r="B1214" s="35">
        <v>4.5462282125829923E-4</v>
      </c>
      <c r="C1214" s="232">
        <v>70.44</v>
      </c>
      <c r="D1214" s="35">
        <v>5.0614325991521634</v>
      </c>
      <c r="E1214" s="232">
        <v>40.14</v>
      </c>
      <c r="F1214" s="35">
        <v>5.0500954453603608</v>
      </c>
      <c r="G1214" s="232">
        <v>11674.83</v>
      </c>
      <c r="H1214" s="35">
        <v>8.7730361360958558</v>
      </c>
      <c r="I1214" s="232">
        <v>12559.58</v>
      </c>
      <c r="J1214" s="35">
        <v>7.6786935983906144</v>
      </c>
      <c r="K1214" s="232">
        <v>14584.05</v>
      </c>
      <c r="L1214" s="35">
        <v>8.7473865791578405</v>
      </c>
      <c r="M1214" s="232">
        <v>40637.51</v>
      </c>
      <c r="N1214" s="35">
        <v>7.7545327734110234</v>
      </c>
      <c r="P1214" s="232">
        <v>-30.3</v>
      </c>
      <c r="Q1214" s="35">
        <v>1.1337153791802557E-2</v>
      </c>
      <c r="R1214" s="232">
        <v>884.75</v>
      </c>
      <c r="S1214" s="35">
        <v>1.0943425377052414</v>
      </c>
      <c r="T1214" s="232">
        <v>26053.46</v>
      </c>
      <c r="U1214" s="35">
        <v>0.99285380574681703</v>
      </c>
      <c r="W1214" s="35">
        <f t="shared" si="115"/>
        <v>597.1576895901278</v>
      </c>
      <c r="X1214" s="35">
        <f t="shared" si="116"/>
        <v>53832.376885262071</v>
      </c>
      <c r="Y1214" s="35">
        <f t="shared" si="117"/>
        <v>23589.230287340855</v>
      </c>
      <c r="Z1214" s="35">
        <f t="shared" si="118"/>
        <v>0</v>
      </c>
      <c r="AA1214" s="35">
        <f t="shared" si="119"/>
        <v>1</v>
      </c>
      <c r="AB1214" s="35">
        <f t="shared" si="120"/>
        <v>0</v>
      </c>
    </row>
    <row r="1215" spans="1:28">
      <c r="A1215" s="35">
        <v>1204</v>
      </c>
      <c r="B1215" s="35">
        <v>4.5985008324678223E-4</v>
      </c>
      <c r="C1215" s="232">
        <v>69.790000000000006</v>
      </c>
      <c r="D1215" s="35">
        <v>5.0613879726066839</v>
      </c>
      <c r="E1215" s="232">
        <v>38.92</v>
      </c>
      <c r="F1215" s="35">
        <v>5.0497767259706183</v>
      </c>
      <c r="G1215" s="232">
        <v>12252.46</v>
      </c>
      <c r="H1215" s="35">
        <v>8.6055707162318953</v>
      </c>
      <c r="I1215" s="232">
        <v>13041.19</v>
      </c>
      <c r="J1215" s="35">
        <v>6.7359930695346559</v>
      </c>
      <c r="K1215" s="232">
        <v>15368.43</v>
      </c>
      <c r="L1215" s="35">
        <v>8.6883193860386587</v>
      </c>
      <c r="M1215" s="232">
        <v>41572.410000000003</v>
      </c>
      <c r="N1215" s="35">
        <v>7.6159546236981539</v>
      </c>
      <c r="P1215" s="232">
        <v>-30.87</v>
      </c>
      <c r="Q1215" s="35">
        <v>1.1611246636065609E-2</v>
      </c>
      <c r="R1215" s="232">
        <v>788.73</v>
      </c>
      <c r="S1215" s="35">
        <v>1.8695776466972394</v>
      </c>
      <c r="T1215" s="232">
        <v>26203.98</v>
      </c>
      <c r="U1215" s="35">
        <v>1.0723647623405048</v>
      </c>
      <c r="W1215" s="35">
        <f t="shared" si="115"/>
        <v>611.43233180328048</v>
      </c>
      <c r="X1215" s="35">
        <f t="shared" si="116"/>
        <v>92690.152334861967</v>
      </c>
      <c r="Y1215" s="35">
        <f t="shared" si="117"/>
        <v>27414.258117025242</v>
      </c>
      <c r="Z1215" s="35">
        <f t="shared" si="118"/>
        <v>0</v>
      </c>
      <c r="AA1215" s="35">
        <f t="shared" si="119"/>
        <v>1</v>
      </c>
      <c r="AB1215" s="35">
        <f t="shared" si="120"/>
        <v>0</v>
      </c>
    </row>
    <row r="1216" spans="1:28">
      <c r="A1216" s="35">
        <v>1205</v>
      </c>
      <c r="B1216" s="35">
        <v>3.8521024759150896E-4</v>
      </c>
      <c r="C1216" s="232">
        <v>58.39</v>
      </c>
      <c r="D1216" s="35">
        <v>5.0575401896743086</v>
      </c>
      <c r="E1216" s="232">
        <v>34.21</v>
      </c>
      <c r="F1216" s="35">
        <v>5.0481847184535713</v>
      </c>
      <c r="G1216" s="232">
        <v>11485.57</v>
      </c>
      <c r="H1216" s="35">
        <v>8.5284494884922086</v>
      </c>
      <c r="I1216" s="232">
        <v>11469.37</v>
      </c>
      <c r="J1216" s="35">
        <v>6.7730286439339329</v>
      </c>
      <c r="K1216" s="232">
        <v>15799.12</v>
      </c>
      <c r="L1216" s="35">
        <v>8.8093808313355737</v>
      </c>
      <c r="M1216" s="232">
        <v>41816.17</v>
      </c>
      <c r="N1216" s="35">
        <v>7.7461748731841551</v>
      </c>
      <c r="P1216" s="232">
        <v>-24.18</v>
      </c>
      <c r="Q1216" s="35">
        <v>9.3554712207373214E-3</v>
      </c>
      <c r="R1216" s="232">
        <v>-16.2</v>
      </c>
      <c r="S1216" s="35">
        <v>1.7554208445582757</v>
      </c>
      <c r="T1216" s="232">
        <v>26017.06</v>
      </c>
      <c r="U1216" s="35">
        <v>1.0632059581514186</v>
      </c>
      <c r="W1216" s="35">
        <f t="shared" si="115"/>
        <v>491.95356103686606</v>
      </c>
      <c r="X1216" s="35">
        <f t="shared" si="116"/>
        <v>87787.242227913783</v>
      </c>
      <c r="Y1216" s="35">
        <f t="shared" si="117"/>
        <v>27143.237907570929</v>
      </c>
      <c r="Z1216" s="35">
        <f t="shared" si="118"/>
        <v>0</v>
      </c>
      <c r="AA1216" s="35">
        <f t="shared" si="119"/>
        <v>1</v>
      </c>
      <c r="AB1216" s="35">
        <f t="shared" si="120"/>
        <v>0</v>
      </c>
    </row>
    <row r="1217" spans="1:28">
      <c r="A1217" s="35">
        <v>1206</v>
      </c>
      <c r="B1217" s="35">
        <v>3.6540723104511961E-4</v>
      </c>
      <c r="C1217" s="232">
        <v>69.180000000000007</v>
      </c>
      <c r="D1217" s="35">
        <v>5.0565315768732102</v>
      </c>
      <c r="E1217" s="232">
        <v>42.81</v>
      </c>
      <c r="F1217" s="35">
        <v>5.0484517708845473</v>
      </c>
      <c r="G1217" s="232">
        <v>14210.33</v>
      </c>
      <c r="H1217" s="35">
        <v>8.7066916676041721</v>
      </c>
      <c r="I1217" s="232">
        <v>14190.23</v>
      </c>
      <c r="J1217" s="35">
        <v>7.5698165950045428</v>
      </c>
      <c r="K1217" s="232">
        <v>20085.68</v>
      </c>
      <c r="L1217" s="35">
        <v>8.4455949466986624</v>
      </c>
      <c r="M1217" s="232">
        <v>46207.92</v>
      </c>
      <c r="N1217" s="35">
        <v>7.4293479283037724</v>
      </c>
      <c r="P1217" s="232">
        <v>-26.37</v>
      </c>
      <c r="Q1217" s="35">
        <v>8.0798059886628693E-3</v>
      </c>
      <c r="R1217" s="232">
        <v>-20.100000000000001</v>
      </c>
      <c r="S1217" s="35">
        <v>1.1368750725996293</v>
      </c>
      <c r="T1217" s="232">
        <v>26122.240000000002</v>
      </c>
      <c r="U1217" s="35">
        <v>1.01624701839489</v>
      </c>
      <c r="W1217" s="35">
        <f t="shared" si="115"/>
        <v>430.3602994331435</v>
      </c>
      <c r="X1217" s="35">
        <f t="shared" si="116"/>
        <v>56863.853629981466</v>
      </c>
      <c r="Y1217" s="35">
        <f t="shared" si="117"/>
        <v>24690.110919744493</v>
      </c>
      <c r="Z1217" s="35">
        <f t="shared" si="118"/>
        <v>0</v>
      </c>
      <c r="AA1217" s="35">
        <f t="shared" si="119"/>
        <v>1</v>
      </c>
      <c r="AB1217" s="35">
        <f t="shared" si="120"/>
        <v>0</v>
      </c>
    </row>
    <row r="1218" spans="1:28">
      <c r="A1218" s="35">
        <v>1207</v>
      </c>
      <c r="B1218" s="35">
        <v>4.1581357089246558E-4</v>
      </c>
      <c r="C1218" s="232">
        <v>39.99</v>
      </c>
      <c r="D1218" s="35">
        <v>5.0601068142201981</v>
      </c>
      <c r="E1218" s="232">
        <v>23.89</v>
      </c>
      <c r="F1218" s="35">
        <v>5.049143121872663</v>
      </c>
      <c r="G1218" s="232">
        <v>7560.86</v>
      </c>
      <c r="H1218" s="35">
        <v>8.8921815351389597</v>
      </c>
      <c r="I1218" s="232">
        <v>9154.26</v>
      </c>
      <c r="J1218" s="35">
        <v>7.9216261416912293</v>
      </c>
      <c r="K1218" s="232">
        <v>9519.26</v>
      </c>
      <c r="L1218" s="35">
        <v>8.6264938984011152</v>
      </c>
      <c r="M1218" s="232">
        <v>35230.65</v>
      </c>
      <c r="N1218" s="35">
        <v>7.4483529820876333</v>
      </c>
      <c r="P1218" s="232">
        <v>-16.100000000000001</v>
      </c>
      <c r="Q1218" s="35">
        <v>1.0963692347535137E-2</v>
      </c>
      <c r="R1218" s="232">
        <v>1593.39</v>
      </c>
      <c r="S1218" s="35">
        <v>0.97055539344773045</v>
      </c>
      <c r="T1218" s="232">
        <v>25711.4</v>
      </c>
      <c r="U1218" s="35">
        <v>1.1781409163134819</v>
      </c>
      <c r="W1218" s="35">
        <f t="shared" si="115"/>
        <v>564.28461737675684</v>
      </c>
      <c r="X1218" s="35">
        <f t="shared" si="116"/>
        <v>46934.379672386523</v>
      </c>
      <c r="Y1218" s="35">
        <f t="shared" si="117"/>
        <v>33195.645815674099</v>
      </c>
      <c r="Z1218" s="35">
        <f t="shared" si="118"/>
        <v>0</v>
      </c>
      <c r="AA1218" s="35">
        <f t="shared" si="119"/>
        <v>1</v>
      </c>
      <c r="AB1218" s="35">
        <f t="shared" si="120"/>
        <v>0</v>
      </c>
    </row>
    <row r="1219" spans="1:28">
      <c r="A1219" s="35">
        <v>1208</v>
      </c>
      <c r="B1219" s="35">
        <v>4.7784989916144216E-4</v>
      </c>
      <c r="C1219" s="232">
        <v>60.61</v>
      </c>
      <c r="D1219" s="35">
        <v>5.0625342331227152</v>
      </c>
      <c r="E1219" s="232">
        <v>42.71</v>
      </c>
      <c r="F1219" s="35">
        <v>5.0537773295683843</v>
      </c>
      <c r="G1219" s="232">
        <v>9425.2199999999993</v>
      </c>
      <c r="H1219" s="35">
        <v>8.5880934746941566</v>
      </c>
      <c r="I1219" s="232">
        <v>11141.51</v>
      </c>
      <c r="J1219" s="35">
        <v>8.0842022767073818</v>
      </c>
      <c r="K1219" s="232">
        <v>12454.14</v>
      </c>
      <c r="L1219" s="35">
        <v>8.5238769603470121</v>
      </c>
      <c r="M1219" s="232">
        <v>38380.239999999998</v>
      </c>
      <c r="N1219" s="35">
        <v>7.4055494993700597</v>
      </c>
      <c r="P1219" s="232">
        <v>-17.899999999999999</v>
      </c>
      <c r="Q1219" s="35">
        <v>8.7569035543308971E-3</v>
      </c>
      <c r="R1219" s="232">
        <v>1716.29</v>
      </c>
      <c r="S1219" s="35">
        <v>0.50389119798677484</v>
      </c>
      <c r="T1219" s="232">
        <v>25926.11</v>
      </c>
      <c r="U1219" s="35">
        <v>1.1183274609769525</v>
      </c>
      <c r="W1219" s="35">
        <f t="shared" si="115"/>
        <v>455.74517771654484</v>
      </c>
      <c r="X1219" s="35">
        <f t="shared" si="116"/>
        <v>23478.269899338742</v>
      </c>
      <c r="Y1219" s="35">
        <f t="shared" si="117"/>
        <v>29990.263048847621</v>
      </c>
      <c r="Z1219" s="35">
        <f t="shared" si="118"/>
        <v>0</v>
      </c>
      <c r="AA1219" s="35">
        <f t="shared" si="119"/>
        <v>0</v>
      </c>
      <c r="AB1219" s="35">
        <f t="shared" si="120"/>
        <v>1</v>
      </c>
    </row>
    <row r="1220" spans="1:28">
      <c r="A1220" s="35">
        <v>1209</v>
      </c>
      <c r="B1220" s="35">
        <v>4.3041190546640401E-4</v>
      </c>
      <c r="C1220" s="232">
        <v>96.52</v>
      </c>
      <c r="D1220" s="35">
        <v>5.0611592066369377</v>
      </c>
      <c r="E1220" s="232">
        <v>53.19</v>
      </c>
      <c r="F1220" s="35">
        <v>5.0498436877600552</v>
      </c>
      <c r="G1220" s="232">
        <v>17467.72</v>
      </c>
      <c r="H1220" s="35">
        <v>8.9398446920153969</v>
      </c>
      <c r="I1220" s="232">
        <v>17551.41</v>
      </c>
      <c r="J1220" s="35">
        <v>7.9059892139536112</v>
      </c>
      <c r="K1220" s="232">
        <v>26168.78</v>
      </c>
      <c r="L1220" s="35">
        <v>8.8040687269415692</v>
      </c>
      <c r="M1220" s="232">
        <v>52934.48</v>
      </c>
      <c r="N1220" s="35">
        <v>7.6419507762507859</v>
      </c>
      <c r="P1220" s="232">
        <v>-43.33</v>
      </c>
      <c r="Q1220" s="35">
        <v>1.1315518876882535E-2</v>
      </c>
      <c r="R1220" s="232">
        <v>83.69</v>
      </c>
      <c r="S1220" s="35">
        <v>1.0338554780617857</v>
      </c>
      <c r="T1220" s="232">
        <v>26765.7</v>
      </c>
      <c r="U1220" s="35">
        <v>1.1621179506907833</v>
      </c>
      <c r="W1220" s="35">
        <f t="shared" si="115"/>
        <v>609.10594384412684</v>
      </c>
      <c r="X1220" s="35">
        <f t="shared" si="116"/>
        <v>51609.083903089282</v>
      </c>
      <c r="Y1220" s="35">
        <f t="shared" si="117"/>
        <v>31340.197534539166</v>
      </c>
      <c r="Z1220" s="35">
        <f t="shared" si="118"/>
        <v>0</v>
      </c>
      <c r="AA1220" s="35">
        <f t="shared" si="119"/>
        <v>1</v>
      </c>
      <c r="AB1220" s="35">
        <f t="shared" si="120"/>
        <v>0</v>
      </c>
    </row>
    <row r="1221" spans="1:28">
      <c r="A1221" s="35">
        <v>1210</v>
      </c>
      <c r="B1221" s="35">
        <v>5.3413979819172397E-4</v>
      </c>
      <c r="C1221" s="232">
        <v>96.09</v>
      </c>
      <c r="D1221" s="35">
        <v>5.0656815914469195</v>
      </c>
      <c r="E1221" s="232">
        <v>60.8</v>
      </c>
      <c r="F1221" s="35">
        <v>5.0544258841371619</v>
      </c>
      <c r="G1221" s="232">
        <v>13351.83</v>
      </c>
      <c r="H1221" s="35">
        <v>8.6800403560588286</v>
      </c>
      <c r="I1221" s="232">
        <v>15021.65</v>
      </c>
      <c r="J1221" s="35">
        <v>8.2975000777597803</v>
      </c>
      <c r="K1221" s="232">
        <v>17497.71</v>
      </c>
      <c r="L1221" s="35">
        <v>8.6989811560410839</v>
      </c>
      <c r="M1221" s="232">
        <v>43619.24</v>
      </c>
      <c r="N1221" s="35">
        <v>7.6333465812909296</v>
      </c>
      <c r="P1221" s="232">
        <v>-35.29</v>
      </c>
      <c r="Q1221" s="35">
        <v>1.1255707309757668E-2</v>
      </c>
      <c r="R1221" s="232">
        <v>1669.83</v>
      </c>
      <c r="S1221" s="35">
        <v>0.38254027829904835</v>
      </c>
      <c r="T1221" s="232">
        <v>26121.53</v>
      </c>
      <c r="U1221" s="35">
        <v>1.0656345747501543</v>
      </c>
      <c r="W1221" s="35">
        <f t="shared" si="115"/>
        <v>598.07536548788335</v>
      </c>
      <c r="X1221" s="35">
        <f t="shared" si="116"/>
        <v>17457.183914952417</v>
      </c>
      <c r="Y1221" s="35">
        <f t="shared" si="117"/>
        <v>27160.198737507715</v>
      </c>
      <c r="Z1221" s="35">
        <f t="shared" si="118"/>
        <v>0</v>
      </c>
      <c r="AA1221" s="35">
        <f t="shared" si="119"/>
        <v>0</v>
      </c>
      <c r="AB1221" s="35">
        <f t="shared" si="120"/>
        <v>1</v>
      </c>
    </row>
    <row r="1222" spans="1:28">
      <c r="A1222" s="35">
        <v>1211</v>
      </c>
      <c r="B1222" s="35">
        <v>5.6147723330113308E-4</v>
      </c>
      <c r="C1222" s="232">
        <v>104.29</v>
      </c>
      <c r="D1222" s="35">
        <v>5.0632159274911306</v>
      </c>
      <c r="E1222" s="232">
        <v>58.41</v>
      </c>
      <c r="F1222" s="35">
        <v>5.0511982898513619</v>
      </c>
      <c r="G1222" s="232">
        <v>14081.06</v>
      </c>
      <c r="H1222" s="35">
        <v>8.0621551507629725</v>
      </c>
      <c r="I1222" s="232">
        <v>14633.64</v>
      </c>
      <c r="J1222" s="35">
        <v>7.1397557291377325</v>
      </c>
      <c r="K1222" s="232">
        <v>20563.11</v>
      </c>
      <c r="L1222" s="35">
        <v>8.1368467377551266</v>
      </c>
      <c r="M1222" s="232">
        <v>46993.45</v>
      </c>
      <c r="N1222" s="35">
        <v>7.0901737147426793</v>
      </c>
      <c r="P1222" s="232">
        <v>-45.88</v>
      </c>
      <c r="Q1222" s="35">
        <v>1.2017637639768708E-2</v>
      </c>
      <c r="R1222" s="232">
        <v>552.59</v>
      </c>
      <c r="S1222" s="35">
        <v>0.92239942162524002</v>
      </c>
      <c r="T1222" s="232">
        <v>26430.34</v>
      </c>
      <c r="U1222" s="35">
        <v>1.0466730230124472</v>
      </c>
      <c r="W1222" s="35">
        <f t="shared" si="115"/>
        <v>646.76188198843545</v>
      </c>
      <c r="X1222" s="35">
        <f t="shared" si="116"/>
        <v>45567.381081262007</v>
      </c>
      <c r="Y1222" s="35">
        <f t="shared" si="117"/>
        <v>25903.311150622361</v>
      </c>
      <c r="Z1222" s="35">
        <f t="shared" si="118"/>
        <v>0</v>
      </c>
      <c r="AA1222" s="35">
        <f t="shared" si="119"/>
        <v>1</v>
      </c>
      <c r="AB1222" s="35">
        <f t="shared" si="120"/>
        <v>0</v>
      </c>
    </row>
    <row r="1223" spans="1:28">
      <c r="A1223" s="35">
        <v>1212</v>
      </c>
      <c r="B1223" s="35">
        <v>3.4580033430169608E-4</v>
      </c>
      <c r="C1223" s="232">
        <v>38.24</v>
      </c>
      <c r="D1223" s="35">
        <v>5.0574374840785472</v>
      </c>
      <c r="E1223" s="232">
        <v>25.08</v>
      </c>
      <c r="F1223" s="35">
        <v>5.0488554391828622</v>
      </c>
      <c r="G1223" s="232">
        <v>9649.82</v>
      </c>
      <c r="H1223" s="35">
        <v>9.2575953673417484</v>
      </c>
      <c r="I1223" s="232">
        <v>12475.99</v>
      </c>
      <c r="J1223" s="35">
        <v>7.856999366201423</v>
      </c>
      <c r="K1223" s="232">
        <v>8217.23</v>
      </c>
      <c r="L1223" s="35">
        <v>8.798004601056217</v>
      </c>
      <c r="M1223" s="232">
        <v>33975.83</v>
      </c>
      <c r="N1223" s="35">
        <v>7.6561404286315362</v>
      </c>
      <c r="P1223" s="232">
        <v>-13.15</v>
      </c>
      <c r="Q1223" s="35">
        <v>8.582044895685037E-3</v>
      </c>
      <c r="R1223" s="232">
        <v>2826.17</v>
      </c>
      <c r="S1223" s="35">
        <v>1.4005960011403253</v>
      </c>
      <c r="T1223" s="232">
        <v>25758.6</v>
      </c>
      <c r="U1223" s="35">
        <v>1.1418641724246807</v>
      </c>
      <c r="W1223" s="35">
        <f t="shared" si="115"/>
        <v>442.25224478425184</v>
      </c>
      <c r="X1223" s="35">
        <f t="shared" si="116"/>
        <v>67203.630057016271</v>
      </c>
      <c r="Y1223" s="35">
        <f t="shared" si="117"/>
        <v>31334.608621234038</v>
      </c>
      <c r="Z1223" s="35">
        <f t="shared" si="118"/>
        <v>0</v>
      </c>
      <c r="AA1223" s="35">
        <f t="shared" si="119"/>
        <v>1</v>
      </c>
      <c r="AB1223" s="35">
        <f t="shared" si="120"/>
        <v>0</v>
      </c>
    </row>
    <row r="1224" spans="1:28">
      <c r="A1224" s="35">
        <v>1213</v>
      </c>
      <c r="B1224" s="35">
        <v>4.6624886446477998E-4</v>
      </c>
      <c r="C1224" s="232">
        <v>62.19</v>
      </c>
      <c r="D1224" s="35">
        <v>5.060040082946049</v>
      </c>
      <c r="E1224" s="232">
        <v>38.22</v>
      </c>
      <c r="F1224" s="35">
        <v>5.050212412930863</v>
      </c>
      <c r="G1224" s="232">
        <v>10940.04</v>
      </c>
      <c r="H1224" s="35">
        <v>8.3242773872719393</v>
      </c>
      <c r="I1224" s="232">
        <v>12613.35</v>
      </c>
      <c r="J1224" s="35">
        <v>6.7984488729644568</v>
      </c>
      <c r="K1224" s="232">
        <v>12029.45</v>
      </c>
      <c r="L1224" s="35">
        <v>8.2765406757278299</v>
      </c>
      <c r="M1224" s="232">
        <v>37929.5</v>
      </c>
      <c r="N1224" s="35">
        <v>7.2615159382361938</v>
      </c>
      <c r="P1224" s="232">
        <v>-23.97</v>
      </c>
      <c r="Q1224" s="35">
        <v>9.8276700151860297E-3</v>
      </c>
      <c r="R1224" s="232">
        <v>1673.31</v>
      </c>
      <c r="S1224" s="35">
        <v>1.5258285143074826</v>
      </c>
      <c r="T1224" s="232">
        <v>25900.05</v>
      </c>
      <c r="U1224" s="35">
        <v>1.0150247374916361</v>
      </c>
      <c r="W1224" s="35">
        <f t="shared" si="115"/>
        <v>515.35350075930148</v>
      </c>
      <c r="X1224" s="35">
        <f t="shared" si="116"/>
        <v>74618.115715374137</v>
      </c>
      <c r="Y1224" s="35">
        <f t="shared" si="117"/>
        <v>24851.18687458181</v>
      </c>
      <c r="Z1224" s="35">
        <f t="shared" si="118"/>
        <v>0</v>
      </c>
      <c r="AA1224" s="35">
        <f t="shared" si="119"/>
        <v>1</v>
      </c>
      <c r="AB1224" s="35">
        <f t="shared" si="120"/>
        <v>0</v>
      </c>
    </row>
    <row r="1225" spans="1:28">
      <c r="A1225" s="35">
        <v>1214</v>
      </c>
      <c r="B1225" s="35">
        <v>5.9261281698075319E-4</v>
      </c>
      <c r="C1225" s="232">
        <v>67.3</v>
      </c>
      <c r="D1225" s="35">
        <v>5.0658459443653374</v>
      </c>
      <c r="E1225" s="232">
        <v>45.44</v>
      </c>
      <c r="F1225" s="35">
        <v>5.055254410029173</v>
      </c>
      <c r="G1225" s="232">
        <v>8260.3700000000008</v>
      </c>
      <c r="H1225" s="35">
        <v>7.9103496046219277</v>
      </c>
      <c r="I1225" s="232">
        <v>10501.69</v>
      </c>
      <c r="J1225" s="35">
        <v>7.9276272767205906</v>
      </c>
      <c r="K1225" s="232">
        <v>11066.4</v>
      </c>
      <c r="L1225" s="35">
        <v>8.5281501077706636</v>
      </c>
      <c r="M1225" s="232">
        <v>36979.120000000003</v>
      </c>
      <c r="N1225" s="35">
        <v>7.3551065716750754</v>
      </c>
      <c r="P1225" s="232">
        <v>-21.86</v>
      </c>
      <c r="Q1225" s="35">
        <v>1.0591534336164443E-2</v>
      </c>
      <c r="R1225" s="232">
        <v>2241.3200000000002</v>
      </c>
      <c r="S1225" s="35">
        <v>-1.7277672098662933E-2</v>
      </c>
      <c r="T1225" s="232">
        <v>25912.73</v>
      </c>
      <c r="U1225" s="35">
        <v>1.1730435360955882</v>
      </c>
      <c r="W1225" s="35">
        <f t="shared" si="115"/>
        <v>551.43671680822217</v>
      </c>
      <c r="X1225" s="35">
        <f t="shared" si="116"/>
        <v>-3105.2036049331468</v>
      </c>
      <c r="Y1225" s="35">
        <f t="shared" si="117"/>
        <v>32739.446804779411</v>
      </c>
      <c r="Z1225" s="35">
        <f t="shared" si="118"/>
        <v>0</v>
      </c>
      <c r="AA1225" s="35">
        <f t="shared" si="119"/>
        <v>0</v>
      </c>
      <c r="AB1225" s="35">
        <f t="shared" si="120"/>
        <v>1</v>
      </c>
    </row>
    <row r="1226" spans="1:28">
      <c r="A1226" s="35">
        <v>1215</v>
      </c>
      <c r="B1226" s="35">
        <v>4.5435147030548073E-4</v>
      </c>
      <c r="C1226" s="232">
        <v>74.47</v>
      </c>
      <c r="D1226" s="35">
        <v>5.0611514367640948</v>
      </c>
      <c r="E1226" s="232">
        <v>46.87</v>
      </c>
      <c r="F1226" s="35">
        <v>5.0513982467869676</v>
      </c>
      <c r="G1226" s="232">
        <v>12560.42</v>
      </c>
      <c r="H1226" s="35">
        <v>8.6219529118719205</v>
      </c>
      <c r="I1226" s="232">
        <v>12376.18</v>
      </c>
      <c r="J1226" s="35">
        <v>6.8190420792321866</v>
      </c>
      <c r="K1226" s="232">
        <v>16669.16</v>
      </c>
      <c r="L1226" s="35">
        <v>8.6585777138549922</v>
      </c>
      <c r="M1226" s="232">
        <v>42732.57</v>
      </c>
      <c r="N1226" s="35">
        <v>7.581277005356081</v>
      </c>
      <c r="P1226" s="232">
        <v>-27.6</v>
      </c>
      <c r="Q1226" s="35">
        <v>9.7531899771272634E-3</v>
      </c>
      <c r="R1226" s="232">
        <v>-184.24</v>
      </c>
      <c r="S1226" s="35">
        <v>1.8029108326397338</v>
      </c>
      <c r="T1226" s="232">
        <v>26063.41</v>
      </c>
      <c r="U1226" s="35">
        <v>1.0773007084989112</v>
      </c>
      <c r="W1226" s="35">
        <f t="shared" si="115"/>
        <v>515.25949885636317</v>
      </c>
      <c r="X1226" s="35">
        <f t="shared" si="116"/>
        <v>90329.781631986698</v>
      </c>
      <c r="Y1226" s="35">
        <f t="shared" si="117"/>
        <v>27801.625424945563</v>
      </c>
      <c r="Z1226" s="35">
        <f t="shared" si="118"/>
        <v>0</v>
      </c>
      <c r="AA1226" s="35">
        <f t="shared" si="119"/>
        <v>1</v>
      </c>
      <c r="AB1226" s="35">
        <f t="shared" si="120"/>
        <v>0</v>
      </c>
    </row>
    <row r="1227" spans="1:28">
      <c r="A1227" s="35">
        <v>1216</v>
      </c>
      <c r="B1227" s="35">
        <v>3.7730090813740101E-4</v>
      </c>
      <c r="C1227" s="232">
        <v>63.56</v>
      </c>
      <c r="D1227" s="35">
        <v>5.0576348718340904</v>
      </c>
      <c r="E1227" s="232">
        <v>35.96</v>
      </c>
      <c r="F1227" s="35">
        <v>5.0479373943964836</v>
      </c>
      <c r="G1227" s="232">
        <v>12553.74</v>
      </c>
      <c r="H1227" s="35">
        <v>8.764948372566062</v>
      </c>
      <c r="I1227" s="232">
        <v>13007.16</v>
      </c>
      <c r="J1227" s="35">
        <v>7.8122439162654524</v>
      </c>
      <c r="K1227" s="232">
        <v>19093.84</v>
      </c>
      <c r="L1227" s="35">
        <v>8.9274014685868277</v>
      </c>
      <c r="M1227" s="232">
        <v>45383.94</v>
      </c>
      <c r="N1227" s="35">
        <v>7.9613924593906091</v>
      </c>
      <c r="P1227" s="232">
        <v>-27.6</v>
      </c>
      <c r="Q1227" s="35">
        <v>9.6974774376068495E-3</v>
      </c>
      <c r="R1227" s="232">
        <v>453.41</v>
      </c>
      <c r="S1227" s="35">
        <v>0.95270445630060951</v>
      </c>
      <c r="T1227" s="232">
        <v>26290.1</v>
      </c>
      <c r="U1227" s="35">
        <v>0.96600900919621857</v>
      </c>
      <c r="W1227" s="35">
        <f t="shared" si="115"/>
        <v>512.47387188034247</v>
      </c>
      <c r="X1227" s="35">
        <f t="shared" si="116"/>
        <v>47181.812815030469</v>
      </c>
      <c r="Y1227" s="35">
        <f t="shared" si="117"/>
        <v>22010.350459810928</v>
      </c>
      <c r="Z1227" s="35">
        <f t="shared" si="118"/>
        <v>0</v>
      </c>
      <c r="AA1227" s="35">
        <f t="shared" si="119"/>
        <v>1</v>
      </c>
      <c r="AB1227" s="35">
        <f t="shared" si="120"/>
        <v>0</v>
      </c>
    </row>
    <row r="1228" spans="1:28">
      <c r="A1228" s="35">
        <v>1217</v>
      </c>
      <c r="B1228" s="35">
        <v>3.4854394117254657E-4</v>
      </c>
      <c r="C1228" s="232">
        <v>51.63</v>
      </c>
      <c r="D1228" s="35">
        <v>5.0547821099387065</v>
      </c>
      <c r="E1228" s="232">
        <v>32.21</v>
      </c>
      <c r="F1228" s="35">
        <v>5.0472457882046777</v>
      </c>
      <c r="G1228" s="232">
        <v>10976.92</v>
      </c>
      <c r="H1228" s="35">
        <v>8.2667068635153029</v>
      </c>
      <c r="I1228" s="232">
        <v>10999.59</v>
      </c>
      <c r="J1228" s="35">
        <v>6.8847337804395217</v>
      </c>
      <c r="K1228" s="232">
        <v>16675.55</v>
      </c>
      <c r="L1228" s="35">
        <v>8.4264158873955814</v>
      </c>
      <c r="M1228" s="232">
        <v>42778.64</v>
      </c>
      <c r="N1228" s="35">
        <v>7.2276965919094076</v>
      </c>
      <c r="P1228" s="232">
        <v>-19.41</v>
      </c>
      <c r="Q1228" s="35">
        <v>7.5363217340287392E-3</v>
      </c>
      <c r="R1228" s="232">
        <v>22.67</v>
      </c>
      <c r="S1228" s="35">
        <v>1.3819730830757813</v>
      </c>
      <c r="T1228" s="232">
        <v>26103.08</v>
      </c>
      <c r="U1228" s="35">
        <v>1.1987192954861738</v>
      </c>
      <c r="W1228" s="35">
        <f t="shared" ref="W1228:W1291" si="121">$X$2*Q1228-P1228</f>
        <v>396.226086701437</v>
      </c>
      <c r="X1228" s="35">
        <f t="shared" ref="X1228:X1291" si="122">$X$2*S1228-R1228</f>
        <v>69075.984153789061</v>
      </c>
      <c r="Y1228" s="35">
        <f t="shared" ref="Y1228:Y1291" si="123">$X$2*U1228-T1228</f>
        <v>33832.884774308688</v>
      </c>
      <c r="Z1228" s="35">
        <f t="shared" ref="Z1228:Z1291" si="124">IF(W1228=MAX($W1228:$Y1228), 1, 0)</f>
        <v>0</v>
      </c>
      <c r="AA1228" s="35">
        <f t="shared" ref="AA1228:AA1291" si="125">IF(X1228=MAX($W1228:$Y1228), 1, 0)</f>
        <v>1</v>
      </c>
      <c r="AB1228" s="35">
        <f t="shared" ref="AB1228:AB1291" si="126">IF(Y1228=MAX($W1228:$Y1228), 1, 0)</f>
        <v>0</v>
      </c>
    </row>
    <row r="1229" spans="1:28">
      <c r="A1229" s="35">
        <v>1218</v>
      </c>
      <c r="B1229" s="35">
        <v>5.1373526917253276E-4</v>
      </c>
      <c r="C1229" s="232">
        <v>83.05</v>
      </c>
      <c r="D1229" s="35">
        <v>5.0633395776478283</v>
      </c>
      <c r="E1229" s="232">
        <v>45.81</v>
      </c>
      <c r="F1229" s="35">
        <v>5.0508206291452478</v>
      </c>
      <c r="G1229" s="232">
        <v>12149.29</v>
      </c>
      <c r="H1229" s="35">
        <v>8.5833545325843481</v>
      </c>
      <c r="I1229" s="232">
        <v>11551.5</v>
      </c>
      <c r="J1229" s="35">
        <v>7.0313973003677352</v>
      </c>
      <c r="K1229" s="232">
        <v>17878.3</v>
      </c>
      <c r="L1229" s="35">
        <v>8.4161486604925013</v>
      </c>
      <c r="M1229" s="232">
        <v>44094.59</v>
      </c>
      <c r="N1229" s="35">
        <v>7.3572793061622814</v>
      </c>
      <c r="P1229" s="232">
        <v>-37.24</v>
      </c>
      <c r="Q1229" s="35">
        <v>1.2518948502580507E-2</v>
      </c>
      <c r="R1229" s="232">
        <v>-597.79</v>
      </c>
      <c r="S1229" s="35">
        <v>1.5519572322166129</v>
      </c>
      <c r="T1229" s="232">
        <v>26216.29</v>
      </c>
      <c r="U1229" s="35">
        <v>1.0588693543302199</v>
      </c>
      <c r="W1229" s="35">
        <f t="shared" si="121"/>
        <v>663.18742512902531</v>
      </c>
      <c r="X1229" s="35">
        <f t="shared" si="122"/>
        <v>78195.651610830639</v>
      </c>
      <c r="Y1229" s="35">
        <f t="shared" si="123"/>
        <v>26727.177716510996</v>
      </c>
      <c r="Z1229" s="35">
        <f t="shared" si="124"/>
        <v>0</v>
      </c>
      <c r="AA1229" s="35">
        <f t="shared" si="125"/>
        <v>1</v>
      </c>
      <c r="AB1229" s="35">
        <f t="shared" si="126"/>
        <v>0</v>
      </c>
    </row>
    <row r="1230" spans="1:28">
      <c r="A1230" s="35">
        <v>1219</v>
      </c>
      <c r="B1230" s="35">
        <v>5.0232056443733075E-4</v>
      </c>
      <c r="C1230" s="232">
        <v>78.5</v>
      </c>
      <c r="D1230" s="35">
        <v>5.0653341010579771</v>
      </c>
      <c r="E1230" s="232">
        <v>42.42</v>
      </c>
      <c r="F1230" s="35">
        <v>5.0514546543379222</v>
      </c>
      <c r="G1230" s="232">
        <v>11934.34</v>
      </c>
      <c r="H1230" s="35">
        <v>9.0847467060046903</v>
      </c>
      <c r="I1230" s="232">
        <v>12592.77</v>
      </c>
      <c r="J1230" s="35">
        <v>7.9204904726458061</v>
      </c>
      <c r="K1230" s="232">
        <v>15906.82</v>
      </c>
      <c r="L1230" s="35">
        <v>8.8157391620396819</v>
      </c>
      <c r="M1230" s="232">
        <v>42045.02</v>
      </c>
      <c r="N1230" s="35">
        <v>7.7710072386262539</v>
      </c>
      <c r="P1230" s="232">
        <v>-36.08</v>
      </c>
      <c r="Q1230" s="35">
        <v>1.3879446720054922E-2</v>
      </c>
      <c r="R1230" s="232">
        <v>658.43</v>
      </c>
      <c r="S1230" s="35">
        <v>1.1642562333588842</v>
      </c>
      <c r="T1230" s="232">
        <v>26138.21</v>
      </c>
      <c r="U1230" s="35">
        <v>1.044731923413428</v>
      </c>
      <c r="W1230" s="35">
        <f t="shared" si="121"/>
        <v>730.05233600274619</v>
      </c>
      <c r="X1230" s="35">
        <f t="shared" si="122"/>
        <v>57554.38166794421</v>
      </c>
      <c r="Y1230" s="35">
        <f t="shared" si="123"/>
        <v>26098.386170671401</v>
      </c>
      <c r="Z1230" s="35">
        <f t="shared" si="124"/>
        <v>0</v>
      </c>
      <c r="AA1230" s="35">
        <f t="shared" si="125"/>
        <v>1</v>
      </c>
      <c r="AB1230" s="35">
        <f t="shared" si="126"/>
        <v>0</v>
      </c>
    </row>
    <row r="1231" spans="1:28">
      <c r="A1231" s="35">
        <v>1220</v>
      </c>
      <c r="B1231" s="35">
        <v>5.1901603064796742E-4</v>
      </c>
      <c r="C1231" s="232">
        <v>83.92</v>
      </c>
      <c r="D1231" s="35">
        <v>5.0644983644858295</v>
      </c>
      <c r="E1231" s="232">
        <v>52.5</v>
      </c>
      <c r="F1231" s="35">
        <v>5.0533875020357275</v>
      </c>
      <c r="G1231" s="232">
        <v>12159.3</v>
      </c>
      <c r="H1231" s="35">
        <v>8.6442295041878623</v>
      </c>
      <c r="I1231" s="232">
        <v>13088.69</v>
      </c>
      <c r="J1231" s="35">
        <v>7.1217468543807891</v>
      </c>
      <c r="K1231" s="232">
        <v>12863.01</v>
      </c>
      <c r="L1231" s="35">
        <v>8.5128229123102308</v>
      </c>
      <c r="M1231" s="232">
        <v>38843.35</v>
      </c>
      <c r="N1231" s="35">
        <v>7.4180323430063044</v>
      </c>
      <c r="P1231" s="232">
        <v>-31.42</v>
      </c>
      <c r="Q1231" s="35">
        <v>1.1110862450101955E-2</v>
      </c>
      <c r="R1231" s="232">
        <v>929.39</v>
      </c>
      <c r="S1231" s="35">
        <v>1.5224826498070732</v>
      </c>
      <c r="T1231" s="232">
        <v>25980.35</v>
      </c>
      <c r="U1231" s="35">
        <v>1.0947905693039264</v>
      </c>
      <c r="W1231" s="35">
        <f t="shared" si="121"/>
        <v>586.96312250509766</v>
      </c>
      <c r="X1231" s="35">
        <f t="shared" si="122"/>
        <v>75194.742490353659</v>
      </c>
      <c r="Y1231" s="35">
        <f t="shared" si="123"/>
        <v>28759.178465196317</v>
      </c>
      <c r="Z1231" s="35">
        <f t="shared" si="124"/>
        <v>0</v>
      </c>
      <c r="AA1231" s="35">
        <f t="shared" si="125"/>
        <v>1</v>
      </c>
      <c r="AB1231" s="35">
        <f t="shared" si="126"/>
        <v>0</v>
      </c>
    </row>
    <row r="1232" spans="1:28">
      <c r="A1232" s="35">
        <v>1221</v>
      </c>
      <c r="B1232" s="35">
        <v>5.7080056765113074E-4</v>
      </c>
      <c r="C1232" s="232">
        <v>89.5</v>
      </c>
      <c r="D1232" s="35">
        <v>5.0682410742689852</v>
      </c>
      <c r="E1232" s="232">
        <v>52.27</v>
      </c>
      <c r="F1232" s="35">
        <v>5.0543840735771424</v>
      </c>
      <c r="G1232" s="232">
        <v>11788.21</v>
      </c>
      <c r="H1232" s="35">
        <v>8.8740896616470888</v>
      </c>
      <c r="I1232" s="232">
        <v>13482.46</v>
      </c>
      <c r="J1232" s="35">
        <v>8.4886873737472008</v>
      </c>
      <c r="K1232" s="232">
        <v>15950.65</v>
      </c>
      <c r="L1232" s="35">
        <v>8.6724922240074349</v>
      </c>
      <c r="M1232" s="232">
        <v>42104.480000000003</v>
      </c>
      <c r="N1232" s="35">
        <v>7.594076384414385</v>
      </c>
      <c r="P1232" s="232">
        <v>-37.24</v>
      </c>
      <c r="Q1232" s="35">
        <v>1.3857000691842813E-2</v>
      </c>
      <c r="R1232" s="232">
        <v>1694.25</v>
      </c>
      <c r="S1232" s="35">
        <v>0.38540228789988795</v>
      </c>
      <c r="T1232" s="232">
        <v>26153.83</v>
      </c>
      <c r="U1232" s="35">
        <v>1.0784158395930499</v>
      </c>
      <c r="W1232" s="35">
        <f t="shared" si="121"/>
        <v>730.09003459214068</v>
      </c>
      <c r="X1232" s="35">
        <f t="shared" si="122"/>
        <v>17575.864394994398</v>
      </c>
      <c r="Y1232" s="35">
        <f t="shared" si="123"/>
        <v>27766.961979652493</v>
      </c>
      <c r="Z1232" s="35">
        <f t="shared" si="124"/>
        <v>0</v>
      </c>
      <c r="AA1232" s="35">
        <f t="shared" si="125"/>
        <v>0</v>
      </c>
      <c r="AB1232" s="35">
        <f t="shared" si="126"/>
        <v>1</v>
      </c>
    </row>
    <row r="1233" spans="1:28">
      <c r="A1233" s="35">
        <v>1222</v>
      </c>
      <c r="B1233" s="35">
        <v>3.9618182240938756E-4</v>
      </c>
      <c r="C1233" s="232">
        <v>47.41</v>
      </c>
      <c r="D1233" s="35">
        <v>5.0593520989703809</v>
      </c>
      <c r="E1233" s="232">
        <v>31.52</v>
      </c>
      <c r="F1233" s="35">
        <v>5.0505122468359831</v>
      </c>
      <c r="G1233" s="232">
        <v>9170.19</v>
      </c>
      <c r="H1233" s="35">
        <v>9.0032474195894974</v>
      </c>
      <c r="I1233" s="232">
        <v>10534.7</v>
      </c>
      <c r="J1233" s="35">
        <v>7.8369356795289917</v>
      </c>
      <c r="K1233" s="232">
        <v>10557.82</v>
      </c>
      <c r="L1233" s="35">
        <v>8.6067416976181512</v>
      </c>
      <c r="M1233" s="232">
        <v>36347.019999999997</v>
      </c>
      <c r="N1233" s="35">
        <v>7.5691802535848058</v>
      </c>
      <c r="P1233" s="232">
        <v>-15.9</v>
      </c>
      <c r="Q1233" s="35">
        <v>8.8398521343977521E-3</v>
      </c>
      <c r="R1233" s="232">
        <v>1364.5</v>
      </c>
      <c r="S1233" s="35">
        <v>1.1663117400605056</v>
      </c>
      <c r="T1233" s="232">
        <v>25789.200000000001</v>
      </c>
      <c r="U1233" s="35">
        <v>1.0375614440333454</v>
      </c>
      <c r="W1233" s="35">
        <f t="shared" si="121"/>
        <v>457.89260671988757</v>
      </c>
      <c r="X1233" s="35">
        <f t="shared" si="122"/>
        <v>56951.087003025285</v>
      </c>
      <c r="Y1233" s="35">
        <f t="shared" si="123"/>
        <v>26088.872201667265</v>
      </c>
      <c r="Z1233" s="35">
        <f t="shared" si="124"/>
        <v>0</v>
      </c>
      <c r="AA1233" s="35">
        <f t="shared" si="125"/>
        <v>1</v>
      </c>
      <c r="AB1233" s="35">
        <f t="shared" si="126"/>
        <v>0</v>
      </c>
    </row>
    <row r="1234" spans="1:28">
      <c r="A1234" s="35">
        <v>1223</v>
      </c>
      <c r="B1234" s="35">
        <v>4.4416351557377711E-4</v>
      </c>
      <c r="C1234" s="232">
        <v>57.75</v>
      </c>
      <c r="D1234" s="35">
        <v>5.0595265131550171</v>
      </c>
      <c r="E1234" s="232">
        <v>33.130000000000003</v>
      </c>
      <c r="F1234" s="35">
        <v>5.0489451965993313</v>
      </c>
      <c r="G1234" s="232">
        <v>10082.719999999999</v>
      </c>
      <c r="H1234" s="35">
        <v>8.4365928949979452</v>
      </c>
      <c r="I1234" s="232">
        <v>11200.83</v>
      </c>
      <c r="J1234" s="35">
        <v>7.1620876406851126</v>
      </c>
      <c r="K1234" s="232">
        <v>12393.74</v>
      </c>
      <c r="L1234" s="35">
        <v>8.4655441802055122</v>
      </c>
      <c r="M1234" s="232">
        <v>38381.26</v>
      </c>
      <c r="N1234" s="35">
        <v>7.414453326812704</v>
      </c>
      <c r="P1234" s="232">
        <v>-24.62</v>
      </c>
      <c r="Q1234" s="35">
        <v>1.0581316555685838E-2</v>
      </c>
      <c r="R1234" s="232">
        <v>1118.1099999999999</v>
      </c>
      <c r="S1234" s="35">
        <v>1.2745052543128326</v>
      </c>
      <c r="T1234" s="232">
        <v>25987.52</v>
      </c>
      <c r="U1234" s="35">
        <v>1.0510908533928083</v>
      </c>
      <c r="W1234" s="35">
        <f t="shared" si="121"/>
        <v>553.68582778429186</v>
      </c>
      <c r="X1234" s="35">
        <f t="shared" si="122"/>
        <v>62607.152715641627</v>
      </c>
      <c r="Y1234" s="35">
        <f t="shared" si="123"/>
        <v>26567.022669640417</v>
      </c>
      <c r="Z1234" s="35">
        <f t="shared" si="124"/>
        <v>0</v>
      </c>
      <c r="AA1234" s="35">
        <f t="shared" si="125"/>
        <v>1</v>
      </c>
      <c r="AB1234" s="35">
        <f t="shared" si="126"/>
        <v>0</v>
      </c>
    </row>
    <row r="1235" spans="1:28">
      <c r="A1235" s="35">
        <v>1224</v>
      </c>
      <c r="B1235" s="35">
        <v>2.6929544329175223E-4</v>
      </c>
      <c r="C1235" s="232">
        <v>37.89</v>
      </c>
      <c r="D1235" s="35">
        <v>5.0530540668589952</v>
      </c>
      <c r="E1235" s="232">
        <v>25.83</v>
      </c>
      <c r="F1235" s="35">
        <v>5.0467779311403591</v>
      </c>
      <c r="G1235" s="232">
        <v>10503.76</v>
      </c>
      <c r="H1235" s="35">
        <v>9.3282265031076683</v>
      </c>
      <c r="I1235" s="232">
        <v>10320.76</v>
      </c>
      <c r="J1235" s="35">
        <v>7.5665117335336349</v>
      </c>
      <c r="K1235" s="232">
        <v>13378.34</v>
      </c>
      <c r="L1235" s="35">
        <v>8.5609358040224546</v>
      </c>
      <c r="M1235" s="232">
        <v>39256.400000000001</v>
      </c>
      <c r="N1235" s="35">
        <v>7.5257901731701837</v>
      </c>
      <c r="P1235" s="232">
        <v>-12.05</v>
      </c>
      <c r="Q1235" s="35">
        <v>6.2761357186360556E-3</v>
      </c>
      <c r="R1235" s="232">
        <v>-183.01</v>
      </c>
      <c r="S1235" s="35">
        <v>1.7617147695740334</v>
      </c>
      <c r="T1235" s="232">
        <v>25878.06</v>
      </c>
      <c r="U1235" s="35">
        <v>1.0351456308522708</v>
      </c>
      <c r="W1235" s="35">
        <f t="shared" si="121"/>
        <v>325.85678593180279</v>
      </c>
      <c r="X1235" s="35">
        <f t="shared" si="122"/>
        <v>88268.748478701658</v>
      </c>
      <c r="Y1235" s="35">
        <f t="shared" si="123"/>
        <v>25879.221542613541</v>
      </c>
      <c r="Z1235" s="35">
        <f t="shared" si="124"/>
        <v>0</v>
      </c>
      <c r="AA1235" s="35">
        <f t="shared" si="125"/>
        <v>1</v>
      </c>
      <c r="AB1235" s="35">
        <f t="shared" si="126"/>
        <v>0</v>
      </c>
    </row>
    <row r="1236" spans="1:28">
      <c r="A1236" s="35">
        <v>1225</v>
      </c>
      <c r="B1236" s="35">
        <v>4.7595316601667381E-4</v>
      </c>
      <c r="C1236" s="232">
        <v>56.35</v>
      </c>
      <c r="D1236" s="35">
        <v>5.0623634866342746</v>
      </c>
      <c r="E1236" s="232">
        <v>38</v>
      </c>
      <c r="F1236" s="35">
        <v>5.0528169532405212</v>
      </c>
      <c r="G1236" s="232">
        <v>8997.2900000000009</v>
      </c>
      <c r="H1236" s="35">
        <v>8.4414222190350046</v>
      </c>
      <c r="I1236" s="232">
        <v>10711.16</v>
      </c>
      <c r="J1236" s="35">
        <v>7.5839240280605766</v>
      </c>
      <c r="K1236" s="232">
        <v>10436.19</v>
      </c>
      <c r="L1236" s="35">
        <v>8.7506758038503722</v>
      </c>
      <c r="M1236" s="232">
        <v>36368.43</v>
      </c>
      <c r="N1236" s="35">
        <v>7.6167346361586956</v>
      </c>
      <c r="P1236" s="232">
        <v>-18.350000000000001</v>
      </c>
      <c r="Q1236" s="35">
        <v>9.5465333937534425E-3</v>
      </c>
      <c r="R1236" s="232">
        <v>1713.87</v>
      </c>
      <c r="S1236" s="35">
        <v>0.85749819097442792</v>
      </c>
      <c r="T1236" s="232">
        <v>25932.25</v>
      </c>
      <c r="U1236" s="35">
        <v>1.1339411676916766</v>
      </c>
      <c r="W1236" s="35">
        <f t="shared" si="121"/>
        <v>495.67666968767213</v>
      </c>
      <c r="X1236" s="35">
        <f t="shared" si="122"/>
        <v>41161.03954872139</v>
      </c>
      <c r="Y1236" s="35">
        <f t="shared" si="123"/>
        <v>30764.808384583834</v>
      </c>
      <c r="Z1236" s="35">
        <f t="shared" si="124"/>
        <v>0</v>
      </c>
      <c r="AA1236" s="35">
        <f t="shared" si="125"/>
        <v>1</v>
      </c>
      <c r="AB1236" s="35">
        <f t="shared" si="126"/>
        <v>0</v>
      </c>
    </row>
    <row r="1237" spans="1:28">
      <c r="A1237" s="35">
        <v>1226</v>
      </c>
      <c r="B1237" s="35">
        <v>6.1736726115246832E-4</v>
      </c>
      <c r="C1237" s="232">
        <v>83.87</v>
      </c>
      <c r="D1237" s="35">
        <v>5.0721072726508174</v>
      </c>
      <c r="E1237" s="232">
        <v>53.92</v>
      </c>
      <c r="F1237" s="35">
        <v>5.0584054554981721</v>
      </c>
      <c r="G1237" s="232">
        <v>10515.98</v>
      </c>
      <c r="H1237" s="35">
        <v>9.284718733830351</v>
      </c>
      <c r="I1237" s="232">
        <v>12019.39</v>
      </c>
      <c r="J1237" s="35">
        <v>8.5396018890496652</v>
      </c>
      <c r="K1237" s="232">
        <v>13086.4</v>
      </c>
      <c r="L1237" s="35">
        <v>8.4132663139793902</v>
      </c>
      <c r="M1237" s="232">
        <v>39133.82</v>
      </c>
      <c r="N1237" s="35">
        <v>7.2960672337008425</v>
      </c>
      <c r="P1237" s="232">
        <v>-29.95</v>
      </c>
      <c r="Q1237" s="35">
        <v>1.370181715264529E-2</v>
      </c>
      <c r="R1237" s="232">
        <v>1503.41</v>
      </c>
      <c r="S1237" s="35">
        <v>0.74511684478068574</v>
      </c>
      <c r="T1237" s="232">
        <v>26047.42</v>
      </c>
      <c r="U1237" s="35">
        <v>1.1171990802785476</v>
      </c>
      <c r="W1237" s="35">
        <f t="shared" si="121"/>
        <v>715.04085763226453</v>
      </c>
      <c r="X1237" s="35">
        <f t="shared" si="122"/>
        <v>35752.432239034286</v>
      </c>
      <c r="Y1237" s="35">
        <f t="shared" si="123"/>
        <v>29812.534013927383</v>
      </c>
      <c r="Z1237" s="35">
        <f t="shared" si="124"/>
        <v>0</v>
      </c>
      <c r="AA1237" s="35">
        <f t="shared" si="125"/>
        <v>1</v>
      </c>
      <c r="AB1237" s="35">
        <f t="shared" si="126"/>
        <v>0</v>
      </c>
    </row>
    <row r="1238" spans="1:28">
      <c r="A1238" s="35">
        <v>1227</v>
      </c>
      <c r="B1238" s="35">
        <v>4.7743319978421628E-4</v>
      </c>
      <c r="C1238" s="232">
        <v>68.59</v>
      </c>
      <c r="D1238" s="35">
        <v>5.0603633990488808</v>
      </c>
      <c r="E1238" s="232">
        <v>41.03</v>
      </c>
      <c r="F1238" s="35">
        <v>5.0501462147597049</v>
      </c>
      <c r="G1238" s="232">
        <v>11273.75</v>
      </c>
      <c r="H1238" s="35">
        <v>8.1391005633208007</v>
      </c>
      <c r="I1238" s="232">
        <v>12157.3</v>
      </c>
      <c r="J1238" s="35">
        <v>6.6601586252312632</v>
      </c>
      <c r="K1238" s="232">
        <v>14722.68</v>
      </c>
      <c r="L1238" s="35">
        <v>8.4155596907707739</v>
      </c>
      <c r="M1238" s="232">
        <v>40871.49</v>
      </c>
      <c r="N1238" s="35">
        <v>7.3547763363244432</v>
      </c>
      <c r="P1238" s="232">
        <v>-27.56</v>
      </c>
      <c r="Q1238" s="35">
        <v>1.021718428917584E-2</v>
      </c>
      <c r="R1238" s="232">
        <v>883.56</v>
      </c>
      <c r="S1238" s="35">
        <v>1.4789419380895374</v>
      </c>
      <c r="T1238" s="232">
        <v>26148.81</v>
      </c>
      <c r="U1238" s="35">
        <v>1.0607833544463308</v>
      </c>
      <c r="W1238" s="35">
        <f t="shared" si="121"/>
        <v>538.419214458792</v>
      </c>
      <c r="X1238" s="35">
        <f t="shared" si="122"/>
        <v>73063.536904476874</v>
      </c>
      <c r="Y1238" s="35">
        <f t="shared" si="123"/>
        <v>26890.357722316538</v>
      </c>
      <c r="Z1238" s="35">
        <f t="shared" si="124"/>
        <v>0</v>
      </c>
      <c r="AA1238" s="35">
        <f t="shared" si="125"/>
        <v>1</v>
      </c>
      <c r="AB1238" s="35">
        <f t="shared" si="126"/>
        <v>0</v>
      </c>
    </row>
    <row r="1239" spans="1:28">
      <c r="A1239" s="35">
        <v>1228</v>
      </c>
      <c r="B1239" s="35">
        <v>4.1699833344937989E-4</v>
      </c>
      <c r="C1239" s="232">
        <v>47.43</v>
      </c>
      <c r="D1239" s="35">
        <v>5.0617538140204337</v>
      </c>
      <c r="E1239" s="232">
        <v>30.86</v>
      </c>
      <c r="F1239" s="35">
        <v>5.0515869028953571</v>
      </c>
      <c r="G1239" s="232">
        <v>9210.98</v>
      </c>
      <c r="H1239" s="35">
        <v>9.2492948296481519</v>
      </c>
      <c r="I1239" s="232">
        <v>11353.05</v>
      </c>
      <c r="J1239" s="35">
        <v>7.6791778352373372</v>
      </c>
      <c r="K1239" s="232">
        <v>8451.5300000000007</v>
      </c>
      <c r="L1239" s="35">
        <v>8.9431917331338919</v>
      </c>
      <c r="M1239" s="232">
        <v>34279.49</v>
      </c>
      <c r="N1239" s="35">
        <v>7.8405809920343685</v>
      </c>
      <c r="P1239" s="232">
        <v>-16.57</v>
      </c>
      <c r="Q1239" s="35">
        <v>1.0166911125076616E-2</v>
      </c>
      <c r="R1239" s="232">
        <v>2142.0700000000002</v>
      </c>
      <c r="S1239" s="35">
        <v>1.5701169944108146</v>
      </c>
      <c r="T1239" s="232">
        <v>25827.95</v>
      </c>
      <c r="U1239" s="35">
        <v>1.1026107410995234</v>
      </c>
      <c r="W1239" s="35">
        <f t="shared" si="121"/>
        <v>524.9155562538308</v>
      </c>
      <c r="X1239" s="35">
        <f t="shared" si="122"/>
        <v>76363.779720540726</v>
      </c>
      <c r="Y1239" s="35">
        <f t="shared" si="123"/>
        <v>29302.587054976171</v>
      </c>
      <c r="Z1239" s="35">
        <f t="shared" si="124"/>
        <v>0</v>
      </c>
      <c r="AA1239" s="35">
        <f t="shared" si="125"/>
        <v>1</v>
      </c>
      <c r="AB1239" s="35">
        <f t="shared" si="126"/>
        <v>0</v>
      </c>
    </row>
    <row r="1240" spans="1:28">
      <c r="A1240" s="35">
        <v>1229</v>
      </c>
      <c r="B1240" s="35">
        <v>6.0694172880348951E-4</v>
      </c>
      <c r="C1240" s="232">
        <v>89.02</v>
      </c>
      <c r="D1240" s="35">
        <v>5.0658828039645662</v>
      </c>
      <c r="E1240" s="232">
        <v>52.61</v>
      </c>
      <c r="F1240" s="35">
        <v>5.0532942883372041</v>
      </c>
      <c r="G1240" s="232">
        <v>11434.7</v>
      </c>
      <c r="H1240" s="35">
        <v>8.0782652922998572</v>
      </c>
      <c r="I1240" s="232">
        <v>12709.83</v>
      </c>
      <c r="J1240" s="35">
        <v>7.305217284115983</v>
      </c>
      <c r="K1240" s="232">
        <v>16771.490000000002</v>
      </c>
      <c r="L1240" s="35">
        <v>8.2908312018677677</v>
      </c>
      <c r="M1240" s="232">
        <v>43035.86</v>
      </c>
      <c r="N1240" s="35">
        <v>7.1985637947676517</v>
      </c>
      <c r="P1240" s="232">
        <v>-36.409999999999997</v>
      </c>
      <c r="Q1240" s="35">
        <v>1.2588515627362185E-2</v>
      </c>
      <c r="R1240" s="232">
        <v>1275.1300000000001</v>
      </c>
      <c r="S1240" s="35">
        <v>0.7730480081838742</v>
      </c>
      <c r="T1240" s="232">
        <v>26264.38</v>
      </c>
      <c r="U1240" s="35">
        <v>1.0922674071001159</v>
      </c>
      <c r="W1240" s="35">
        <f t="shared" si="121"/>
        <v>665.83578136810922</v>
      </c>
      <c r="X1240" s="35">
        <f t="shared" si="122"/>
        <v>37377.270409193712</v>
      </c>
      <c r="Y1240" s="35">
        <f t="shared" si="123"/>
        <v>28348.990355005797</v>
      </c>
      <c r="Z1240" s="35">
        <f t="shared" si="124"/>
        <v>0</v>
      </c>
      <c r="AA1240" s="35">
        <f t="shared" si="125"/>
        <v>1</v>
      </c>
      <c r="AB1240" s="35">
        <f t="shared" si="126"/>
        <v>0</v>
      </c>
    </row>
    <row r="1241" spans="1:28">
      <c r="A1241" s="35">
        <v>1230</v>
      </c>
      <c r="B1241" s="35">
        <v>3.8775662675451917E-4</v>
      </c>
      <c r="C1241" s="232">
        <v>72.430000000000007</v>
      </c>
      <c r="D1241" s="35">
        <v>5.0563687868155052</v>
      </c>
      <c r="E1241" s="232">
        <v>40.96</v>
      </c>
      <c r="F1241" s="35">
        <v>5.0474188174541874</v>
      </c>
      <c r="G1241" s="232">
        <v>15593.42</v>
      </c>
      <c r="H1241" s="35">
        <v>8.3394402025969701</v>
      </c>
      <c r="I1241" s="232">
        <v>17329.18</v>
      </c>
      <c r="J1241" s="35">
        <v>7.4331386245719768</v>
      </c>
      <c r="K1241" s="232">
        <v>18341.88</v>
      </c>
      <c r="L1241" s="35">
        <v>8.3301277026857328</v>
      </c>
      <c r="M1241" s="232">
        <v>44678.94</v>
      </c>
      <c r="N1241" s="35">
        <v>7.2859977494341264</v>
      </c>
      <c r="P1241" s="232">
        <v>-31.48</v>
      </c>
      <c r="Q1241" s="35">
        <v>8.9499693613177556E-3</v>
      </c>
      <c r="R1241" s="232">
        <v>1735.77</v>
      </c>
      <c r="S1241" s="35">
        <v>0.90630157802499323</v>
      </c>
      <c r="T1241" s="232">
        <v>26337.06</v>
      </c>
      <c r="U1241" s="35">
        <v>1.0441299532516064</v>
      </c>
      <c r="W1241" s="35">
        <f t="shared" si="121"/>
        <v>478.9784680658878</v>
      </c>
      <c r="X1241" s="35">
        <f t="shared" si="122"/>
        <v>43579.308901249664</v>
      </c>
      <c r="Y1241" s="35">
        <f t="shared" si="123"/>
        <v>25869.437662580316</v>
      </c>
      <c r="Z1241" s="35">
        <f t="shared" si="124"/>
        <v>0</v>
      </c>
      <c r="AA1241" s="35">
        <f t="shared" si="125"/>
        <v>1</v>
      </c>
      <c r="AB1241" s="35">
        <f t="shared" si="126"/>
        <v>0</v>
      </c>
    </row>
    <row r="1242" spans="1:28">
      <c r="A1242" s="35">
        <v>1231</v>
      </c>
      <c r="B1242" s="35">
        <v>4.9145841613773555E-4</v>
      </c>
      <c r="C1242" s="232">
        <v>68.67</v>
      </c>
      <c r="D1242" s="35">
        <v>5.0646333255620606</v>
      </c>
      <c r="E1242" s="232">
        <v>38.049999999999997</v>
      </c>
      <c r="F1242" s="35">
        <v>5.0512989166456839</v>
      </c>
      <c r="G1242" s="232">
        <v>10669.52</v>
      </c>
      <c r="H1242" s="35">
        <v>9.0294726700018586</v>
      </c>
      <c r="I1242" s="232">
        <v>11180.53</v>
      </c>
      <c r="J1242" s="35">
        <v>7.611840729240904</v>
      </c>
      <c r="K1242" s="232">
        <v>14006.22</v>
      </c>
      <c r="L1242" s="35">
        <v>8.9549862548505548</v>
      </c>
      <c r="M1242" s="232">
        <v>39920</v>
      </c>
      <c r="N1242" s="35">
        <v>7.8991463869139391</v>
      </c>
      <c r="P1242" s="232">
        <v>-30.61</v>
      </c>
      <c r="Q1242" s="35">
        <v>1.3334408916376717E-2</v>
      </c>
      <c r="R1242" s="232">
        <v>511.01</v>
      </c>
      <c r="S1242" s="35">
        <v>1.4176319407609546</v>
      </c>
      <c r="T1242" s="232">
        <v>25913.78</v>
      </c>
      <c r="U1242" s="35">
        <v>1.0558398679366157</v>
      </c>
      <c r="W1242" s="35">
        <f t="shared" si="121"/>
        <v>697.33044581883587</v>
      </c>
      <c r="X1242" s="35">
        <f t="shared" si="122"/>
        <v>70370.587038047728</v>
      </c>
      <c r="Y1242" s="35">
        <f t="shared" si="123"/>
        <v>26878.213396830783</v>
      </c>
      <c r="Z1242" s="35">
        <f t="shared" si="124"/>
        <v>0</v>
      </c>
      <c r="AA1242" s="35">
        <f t="shared" si="125"/>
        <v>1</v>
      </c>
      <c r="AB1242" s="35">
        <f t="shared" si="126"/>
        <v>0</v>
      </c>
    </row>
    <row r="1243" spans="1:28">
      <c r="A1243" s="35">
        <v>1232</v>
      </c>
      <c r="B1243" s="35">
        <v>4.6348297765907986E-4</v>
      </c>
      <c r="C1243" s="232">
        <v>73.61</v>
      </c>
      <c r="D1243" s="35">
        <v>5.060085578490062</v>
      </c>
      <c r="E1243" s="232">
        <v>50.3</v>
      </c>
      <c r="F1243" s="35">
        <v>5.0519636669106793</v>
      </c>
      <c r="G1243" s="232">
        <v>11442.28</v>
      </c>
      <c r="H1243" s="35">
        <v>8.3241191610791319</v>
      </c>
      <c r="I1243" s="232">
        <v>11258.13</v>
      </c>
      <c r="J1243" s="35">
        <v>6.9154735857998997</v>
      </c>
      <c r="K1243" s="232">
        <v>15858.71</v>
      </c>
      <c r="L1243" s="35">
        <v>8.3278464074105276</v>
      </c>
      <c r="M1243" s="232">
        <v>42026.59</v>
      </c>
      <c r="N1243" s="35">
        <v>7.3453776452315145</v>
      </c>
      <c r="P1243" s="232">
        <v>-23.31</v>
      </c>
      <c r="Q1243" s="35">
        <v>8.1219115793826901E-3</v>
      </c>
      <c r="R1243" s="232">
        <v>-184.15</v>
      </c>
      <c r="S1243" s="35">
        <v>1.4086455752792322</v>
      </c>
      <c r="T1243" s="232">
        <v>26167.89</v>
      </c>
      <c r="U1243" s="35">
        <v>0.98246876217901313</v>
      </c>
      <c r="W1243" s="35">
        <f t="shared" si="121"/>
        <v>429.40557896913452</v>
      </c>
      <c r="X1243" s="35">
        <f t="shared" si="122"/>
        <v>70616.428763961609</v>
      </c>
      <c r="Y1243" s="35">
        <f t="shared" si="123"/>
        <v>22955.548108950657</v>
      </c>
      <c r="Z1243" s="35">
        <f t="shared" si="124"/>
        <v>0</v>
      </c>
      <c r="AA1243" s="35">
        <f t="shared" si="125"/>
        <v>1</v>
      </c>
      <c r="AB1243" s="35">
        <f t="shared" si="126"/>
        <v>0</v>
      </c>
    </row>
    <row r="1244" spans="1:28">
      <c r="A1244" s="35">
        <v>1233</v>
      </c>
      <c r="B1244" s="35">
        <v>4.6532973574331393E-4</v>
      </c>
      <c r="C1244" s="232">
        <v>66.92</v>
      </c>
      <c r="D1244" s="35">
        <v>5.0620183023769627</v>
      </c>
      <c r="E1244" s="232">
        <v>41.23</v>
      </c>
      <c r="F1244" s="35">
        <v>5.0514489350559018</v>
      </c>
      <c r="G1244" s="232">
        <v>11526.09</v>
      </c>
      <c r="H1244" s="35">
        <v>8.8740919788259305</v>
      </c>
      <c r="I1244" s="232">
        <v>13674.9</v>
      </c>
      <c r="J1244" s="35">
        <v>8.7367562509965282</v>
      </c>
      <c r="K1244" s="232">
        <v>12967.79</v>
      </c>
      <c r="L1244" s="35">
        <v>8.3196983623463421</v>
      </c>
      <c r="M1244" s="232">
        <v>38956.639999999999</v>
      </c>
      <c r="N1244" s="35">
        <v>7.1946170986484406</v>
      </c>
      <c r="P1244" s="232">
        <v>-25.69</v>
      </c>
      <c r="Q1244" s="35">
        <v>1.0569367321060952E-2</v>
      </c>
      <c r="R1244" s="232">
        <v>2148.81</v>
      </c>
      <c r="S1244" s="35">
        <v>0.13733572782940229</v>
      </c>
      <c r="T1244" s="232">
        <v>25988.85</v>
      </c>
      <c r="U1244" s="35">
        <v>1.1250812636979015</v>
      </c>
      <c r="W1244" s="35">
        <f t="shared" si="121"/>
        <v>554.15836605304764</v>
      </c>
      <c r="X1244" s="35">
        <f t="shared" si="122"/>
        <v>4717.9763914701143</v>
      </c>
      <c r="Y1244" s="35">
        <f t="shared" si="123"/>
        <v>30265.213184895074</v>
      </c>
      <c r="Z1244" s="35">
        <f t="shared" si="124"/>
        <v>0</v>
      </c>
      <c r="AA1244" s="35">
        <f t="shared" si="125"/>
        <v>0</v>
      </c>
      <c r="AB1244" s="35">
        <f t="shared" si="126"/>
        <v>1</v>
      </c>
    </row>
    <row r="1245" spans="1:28">
      <c r="A1245" s="35">
        <v>1234</v>
      </c>
      <c r="B1245" s="35">
        <v>4.9698674810172427E-4</v>
      </c>
      <c r="C1245" s="232">
        <v>72.930000000000007</v>
      </c>
      <c r="D1245" s="35">
        <v>5.064673911543391</v>
      </c>
      <c r="E1245" s="232">
        <v>48.17</v>
      </c>
      <c r="F1245" s="35">
        <v>5.0542451162622859</v>
      </c>
      <c r="G1245" s="232">
        <v>10855.51</v>
      </c>
      <c r="H1245" s="35">
        <v>8.7988158548960449</v>
      </c>
      <c r="I1245" s="232">
        <v>11355.17</v>
      </c>
      <c r="J1245" s="35">
        <v>7.5739164816021489</v>
      </c>
      <c r="K1245" s="232">
        <v>15675.93</v>
      </c>
      <c r="L1245" s="35">
        <v>8.7739516163923312</v>
      </c>
      <c r="M1245" s="232">
        <v>41768.230000000003</v>
      </c>
      <c r="N1245" s="35">
        <v>7.6889859995634282</v>
      </c>
      <c r="P1245" s="232">
        <v>-24.77</v>
      </c>
      <c r="Q1245" s="35">
        <v>1.0428795281105074E-2</v>
      </c>
      <c r="R1245" s="232">
        <v>499.66</v>
      </c>
      <c r="S1245" s="35">
        <v>1.224899373293896</v>
      </c>
      <c r="T1245" s="232">
        <v>26092.3</v>
      </c>
      <c r="U1245" s="35">
        <v>1.084965616828903</v>
      </c>
      <c r="W1245" s="35">
        <f t="shared" si="121"/>
        <v>546.20976405525369</v>
      </c>
      <c r="X1245" s="35">
        <f t="shared" si="122"/>
        <v>60745.308664694792</v>
      </c>
      <c r="Y1245" s="35">
        <f t="shared" si="123"/>
        <v>28155.980841445151</v>
      </c>
      <c r="Z1245" s="35">
        <f t="shared" si="124"/>
        <v>0</v>
      </c>
      <c r="AA1245" s="35">
        <f t="shared" si="125"/>
        <v>1</v>
      </c>
      <c r="AB1245" s="35">
        <f t="shared" si="126"/>
        <v>0</v>
      </c>
    </row>
    <row r="1246" spans="1:28">
      <c r="A1246" s="35">
        <v>1235</v>
      </c>
      <c r="B1246" s="35">
        <v>4.5519443038544161E-4</v>
      </c>
      <c r="C1246" s="232">
        <v>61.46</v>
      </c>
      <c r="D1246" s="35">
        <v>5.0598601892463932</v>
      </c>
      <c r="E1246" s="232">
        <v>36.76</v>
      </c>
      <c r="F1246" s="35">
        <v>5.0497353781133745</v>
      </c>
      <c r="G1246" s="232">
        <v>10453.549999999999</v>
      </c>
      <c r="H1246" s="35">
        <v>8.238011416674377</v>
      </c>
      <c r="I1246" s="232">
        <v>11919.16</v>
      </c>
      <c r="J1246" s="35">
        <v>7.3387764298149358</v>
      </c>
      <c r="K1246" s="232">
        <v>13176.15</v>
      </c>
      <c r="L1246" s="35">
        <v>8.5466788288498492</v>
      </c>
      <c r="M1246" s="232">
        <v>39128.089999999997</v>
      </c>
      <c r="N1246" s="35">
        <v>7.5257021164617219</v>
      </c>
      <c r="P1246" s="232">
        <v>-24.7</v>
      </c>
      <c r="Q1246" s="35">
        <v>1.0124811133018774E-2</v>
      </c>
      <c r="R1246" s="232">
        <v>1465.61</v>
      </c>
      <c r="S1246" s="35">
        <v>0.89923498685944114</v>
      </c>
      <c r="T1246" s="232">
        <v>25951.94</v>
      </c>
      <c r="U1246" s="35">
        <v>1.0209767123881273</v>
      </c>
      <c r="W1246" s="35">
        <f t="shared" si="121"/>
        <v>530.94055665093867</v>
      </c>
      <c r="X1246" s="35">
        <f t="shared" si="122"/>
        <v>43496.139342972056</v>
      </c>
      <c r="Y1246" s="35">
        <f t="shared" si="123"/>
        <v>25096.895619406361</v>
      </c>
      <c r="Z1246" s="35">
        <f t="shared" si="124"/>
        <v>0</v>
      </c>
      <c r="AA1246" s="35">
        <f t="shared" si="125"/>
        <v>1</v>
      </c>
      <c r="AB1246" s="35">
        <f t="shared" si="126"/>
        <v>0</v>
      </c>
    </row>
    <row r="1247" spans="1:28">
      <c r="A1247" s="35">
        <v>1236</v>
      </c>
      <c r="B1247" s="35">
        <v>4.6823596697431746E-4</v>
      </c>
      <c r="C1247" s="232">
        <v>69.069999999999993</v>
      </c>
      <c r="D1247" s="35">
        <v>5.062729635317849</v>
      </c>
      <c r="E1247" s="232">
        <v>41.94</v>
      </c>
      <c r="F1247" s="35">
        <v>5.0516670350831907</v>
      </c>
      <c r="G1247" s="232">
        <v>11756.24</v>
      </c>
      <c r="H1247" s="35">
        <v>8.7359634315065549</v>
      </c>
      <c r="I1247" s="232">
        <v>12470.25</v>
      </c>
      <c r="J1247" s="35">
        <v>7.0371356854882734</v>
      </c>
      <c r="K1247" s="232">
        <v>15363.44</v>
      </c>
      <c r="L1247" s="35">
        <v>8.8271044160734089</v>
      </c>
      <c r="M1247" s="232">
        <v>41441.71</v>
      </c>
      <c r="N1247" s="35">
        <v>7.666027377458505</v>
      </c>
      <c r="P1247" s="232">
        <v>-27.14</v>
      </c>
      <c r="Q1247" s="35">
        <v>1.1062600234658326E-2</v>
      </c>
      <c r="R1247" s="232">
        <v>714.01</v>
      </c>
      <c r="S1247" s="35">
        <v>1.6988277460182815</v>
      </c>
      <c r="T1247" s="232">
        <v>26078.27</v>
      </c>
      <c r="U1247" s="35">
        <v>1.1610770386149039</v>
      </c>
      <c r="W1247" s="35">
        <f t="shared" si="121"/>
        <v>580.27001173291626</v>
      </c>
      <c r="X1247" s="35">
        <f t="shared" si="122"/>
        <v>84227.377300914071</v>
      </c>
      <c r="Y1247" s="35">
        <f t="shared" si="123"/>
        <v>31975.581930745193</v>
      </c>
      <c r="Z1247" s="35">
        <f t="shared" si="124"/>
        <v>0</v>
      </c>
      <c r="AA1247" s="35">
        <f t="shared" si="125"/>
        <v>1</v>
      </c>
      <c r="AB1247" s="35">
        <f t="shared" si="126"/>
        <v>0</v>
      </c>
    </row>
    <row r="1248" spans="1:28">
      <c r="A1248" s="35">
        <v>1237</v>
      </c>
      <c r="B1248" s="35">
        <v>2.8987474215055978E-4</v>
      </c>
      <c r="C1248" s="232">
        <v>58.04</v>
      </c>
      <c r="D1248" s="35">
        <v>5.0542217464265127</v>
      </c>
      <c r="E1248" s="232">
        <v>34.479999999999997</v>
      </c>
      <c r="F1248" s="35">
        <v>5.0465763843415505</v>
      </c>
      <c r="G1248" s="232">
        <v>15330.25</v>
      </c>
      <c r="H1248" s="35">
        <v>9.2595126077393033</v>
      </c>
      <c r="I1248" s="232">
        <v>14009.38</v>
      </c>
      <c r="J1248" s="35">
        <v>7.6181879174301539</v>
      </c>
      <c r="K1248" s="232">
        <v>22859.040000000001</v>
      </c>
      <c r="L1248" s="35">
        <v>8.8140752249832399</v>
      </c>
      <c r="M1248" s="232">
        <v>49278.96</v>
      </c>
      <c r="N1248" s="35">
        <v>7.752559598354769</v>
      </c>
      <c r="P1248" s="232">
        <v>-23.56</v>
      </c>
      <c r="Q1248" s="35">
        <v>7.6453620849621373E-3</v>
      </c>
      <c r="R1248" s="232">
        <v>-1320.87</v>
      </c>
      <c r="S1248" s="35">
        <v>1.6413246903091494</v>
      </c>
      <c r="T1248" s="232">
        <v>26419.919999999998</v>
      </c>
      <c r="U1248" s="35">
        <v>1.0615156266284709</v>
      </c>
      <c r="W1248" s="35">
        <f t="shared" si="121"/>
        <v>405.82810424810685</v>
      </c>
      <c r="X1248" s="35">
        <f t="shared" si="122"/>
        <v>83387.104515457468</v>
      </c>
      <c r="Y1248" s="35">
        <f t="shared" si="123"/>
        <v>26655.861331423548</v>
      </c>
      <c r="Z1248" s="35">
        <f t="shared" si="124"/>
        <v>0</v>
      </c>
      <c r="AA1248" s="35">
        <f t="shared" si="125"/>
        <v>1</v>
      </c>
      <c r="AB1248" s="35">
        <f t="shared" si="126"/>
        <v>0</v>
      </c>
    </row>
    <row r="1249" spans="1:28">
      <c r="A1249" s="35">
        <v>1238</v>
      </c>
      <c r="B1249" s="35">
        <v>3.0421424655102414E-4</v>
      </c>
      <c r="C1249" s="232">
        <v>43.72</v>
      </c>
      <c r="D1249" s="35">
        <v>5.0529212375513017</v>
      </c>
      <c r="E1249" s="232">
        <v>26.7</v>
      </c>
      <c r="F1249" s="35">
        <v>5.0458246805163309</v>
      </c>
      <c r="G1249" s="232">
        <v>11693.1</v>
      </c>
      <c r="H1249" s="35">
        <v>8.5547466424684799</v>
      </c>
      <c r="I1249" s="232">
        <v>14133.11</v>
      </c>
      <c r="J1249" s="35">
        <v>9.1085893970316594</v>
      </c>
      <c r="K1249" s="232">
        <v>12668.07</v>
      </c>
      <c r="L1249" s="35">
        <v>8.3346916479528961</v>
      </c>
      <c r="M1249" s="232">
        <v>38657.730000000003</v>
      </c>
      <c r="N1249" s="35">
        <v>7.2339450244805272</v>
      </c>
      <c r="P1249" s="232">
        <v>-17.02</v>
      </c>
      <c r="Q1249" s="35">
        <v>7.0965570349708074E-3</v>
      </c>
      <c r="R1249" s="232">
        <v>2440.0100000000002</v>
      </c>
      <c r="S1249" s="35">
        <v>-0.55384275456317944</v>
      </c>
      <c r="T1249" s="232">
        <v>25989.66</v>
      </c>
      <c r="U1249" s="35">
        <v>1.1007466234723688</v>
      </c>
      <c r="W1249" s="35">
        <f t="shared" si="121"/>
        <v>371.84785174854034</v>
      </c>
      <c r="X1249" s="35">
        <f t="shared" si="122"/>
        <v>-30132.147728158969</v>
      </c>
      <c r="Y1249" s="35">
        <f t="shared" si="123"/>
        <v>29047.671173618441</v>
      </c>
      <c r="Z1249" s="35">
        <f t="shared" si="124"/>
        <v>0</v>
      </c>
      <c r="AA1249" s="35">
        <f t="shared" si="125"/>
        <v>0</v>
      </c>
      <c r="AB1249" s="35">
        <f t="shared" si="126"/>
        <v>1</v>
      </c>
    </row>
    <row r="1250" spans="1:28">
      <c r="A1250" s="35">
        <v>1239</v>
      </c>
      <c r="B1250" s="35">
        <v>4.8989144406086371E-4</v>
      </c>
      <c r="C1250" s="232">
        <v>86.42</v>
      </c>
      <c r="D1250" s="35">
        <v>5.0645223546186013</v>
      </c>
      <c r="E1250" s="232">
        <v>56.54</v>
      </c>
      <c r="F1250" s="35">
        <v>5.0541974731994079</v>
      </c>
      <c r="G1250" s="232">
        <v>13644.81</v>
      </c>
      <c r="H1250" s="35">
        <v>8.96057644770449</v>
      </c>
      <c r="I1250" s="232">
        <v>14447.8</v>
      </c>
      <c r="J1250" s="35">
        <v>7.9405925120178544</v>
      </c>
      <c r="K1250" s="232">
        <v>18789.62</v>
      </c>
      <c r="L1250" s="35">
        <v>8.6907470273624359</v>
      </c>
      <c r="M1250" s="232">
        <v>45151.03</v>
      </c>
      <c r="N1250" s="35">
        <v>7.5679045202681161</v>
      </c>
      <c r="P1250" s="232">
        <v>-29.88</v>
      </c>
      <c r="Q1250" s="35">
        <v>1.032488141919341E-2</v>
      </c>
      <c r="R1250" s="232">
        <v>802.99</v>
      </c>
      <c r="S1250" s="35">
        <v>1.0199839356866356</v>
      </c>
      <c r="T1250" s="232">
        <v>26361.41</v>
      </c>
      <c r="U1250" s="35">
        <v>1.1228425070943198</v>
      </c>
      <c r="W1250" s="35">
        <f t="shared" si="121"/>
        <v>546.12407095967046</v>
      </c>
      <c r="X1250" s="35">
        <f t="shared" si="122"/>
        <v>50196.206784331778</v>
      </c>
      <c r="Y1250" s="35">
        <f t="shared" si="123"/>
        <v>29780.715354715987</v>
      </c>
      <c r="Z1250" s="35">
        <f t="shared" si="124"/>
        <v>0</v>
      </c>
      <c r="AA1250" s="35">
        <f t="shared" si="125"/>
        <v>1</v>
      </c>
      <c r="AB1250" s="35">
        <f t="shared" si="126"/>
        <v>0</v>
      </c>
    </row>
    <row r="1251" spans="1:28">
      <c r="A1251" s="35">
        <v>1240</v>
      </c>
      <c r="B1251" s="35">
        <v>4.0873827833811782E-4</v>
      </c>
      <c r="C1251" s="232">
        <v>46.46</v>
      </c>
      <c r="D1251" s="35">
        <v>5.0562359187180297</v>
      </c>
      <c r="E1251" s="232">
        <v>31.33</v>
      </c>
      <c r="F1251" s="35">
        <v>5.0488255133337416</v>
      </c>
      <c r="G1251" s="232">
        <v>9175.6299999999992</v>
      </c>
      <c r="H1251" s="35">
        <v>7.9116973510052606</v>
      </c>
      <c r="I1251" s="232">
        <v>11269.33</v>
      </c>
      <c r="J1251" s="35">
        <v>6.964634684401954</v>
      </c>
      <c r="K1251" s="232">
        <v>8864.26</v>
      </c>
      <c r="L1251" s="35">
        <v>8.2540250821936745</v>
      </c>
      <c r="M1251" s="232">
        <v>34660.339999999997</v>
      </c>
      <c r="N1251" s="35">
        <v>7.2069341007694856</v>
      </c>
      <c r="P1251" s="232">
        <v>-15.14</v>
      </c>
      <c r="Q1251" s="35">
        <v>7.4104053842880546E-3</v>
      </c>
      <c r="R1251" s="232">
        <v>2093.69</v>
      </c>
      <c r="S1251" s="35">
        <v>0.94706266660330662</v>
      </c>
      <c r="T1251" s="232">
        <v>25796.080000000002</v>
      </c>
      <c r="U1251" s="35">
        <v>1.0470909814241889</v>
      </c>
      <c r="W1251" s="35">
        <f t="shared" si="121"/>
        <v>385.66026921440272</v>
      </c>
      <c r="X1251" s="35">
        <f t="shared" si="122"/>
        <v>45259.443330165326</v>
      </c>
      <c r="Y1251" s="35">
        <f t="shared" si="123"/>
        <v>26558.469071209445</v>
      </c>
      <c r="Z1251" s="35">
        <f t="shared" si="124"/>
        <v>0</v>
      </c>
      <c r="AA1251" s="35">
        <f t="shared" si="125"/>
        <v>1</v>
      </c>
      <c r="AB1251" s="35">
        <f t="shared" si="126"/>
        <v>0</v>
      </c>
    </row>
    <row r="1252" spans="1:28">
      <c r="A1252" s="35">
        <v>1241</v>
      </c>
      <c r="B1252" s="35">
        <v>3.8995709076772273E-4</v>
      </c>
      <c r="C1252" s="232">
        <v>52.5</v>
      </c>
      <c r="D1252" s="35">
        <v>5.0604147860455466</v>
      </c>
      <c r="E1252" s="232">
        <v>35.119999999999997</v>
      </c>
      <c r="F1252" s="35">
        <v>5.051397648019643</v>
      </c>
      <c r="G1252" s="232">
        <v>10270.31</v>
      </c>
      <c r="H1252" s="35">
        <v>9.274444162786617</v>
      </c>
      <c r="I1252" s="232">
        <v>10656.78</v>
      </c>
      <c r="J1252" s="35">
        <v>7.2092617153665266</v>
      </c>
      <c r="K1252" s="232">
        <v>12509.07</v>
      </c>
      <c r="L1252" s="35">
        <v>8.8934484860561476</v>
      </c>
      <c r="M1252" s="232">
        <v>38550.17</v>
      </c>
      <c r="N1252" s="35">
        <v>7.7608599910363694</v>
      </c>
      <c r="P1252" s="232">
        <v>-17.39</v>
      </c>
      <c r="Q1252" s="35">
        <v>9.0171380259036482E-3</v>
      </c>
      <c r="R1252" s="232">
        <v>386.48</v>
      </c>
      <c r="S1252" s="35">
        <v>2.0651824474200904</v>
      </c>
      <c r="T1252" s="232">
        <v>26041.1</v>
      </c>
      <c r="U1252" s="35">
        <v>1.1325884950197782</v>
      </c>
      <c r="W1252" s="35">
        <f t="shared" si="121"/>
        <v>468.2469012951824</v>
      </c>
      <c r="X1252" s="35">
        <f t="shared" si="122"/>
        <v>102872.64237100452</v>
      </c>
      <c r="Y1252" s="35">
        <f t="shared" si="123"/>
        <v>30588.324750988912</v>
      </c>
      <c r="Z1252" s="35">
        <f t="shared" si="124"/>
        <v>0</v>
      </c>
      <c r="AA1252" s="35">
        <f t="shared" si="125"/>
        <v>1</v>
      </c>
      <c r="AB1252" s="35">
        <f t="shared" si="126"/>
        <v>0</v>
      </c>
    </row>
    <row r="1253" spans="1:28">
      <c r="A1253" s="35">
        <v>1242</v>
      </c>
      <c r="B1253" s="35">
        <v>5.2611353386400328E-4</v>
      </c>
      <c r="C1253" s="232">
        <v>62.53</v>
      </c>
      <c r="D1253" s="35">
        <v>5.0653467923314626</v>
      </c>
      <c r="E1253" s="232">
        <v>42.29</v>
      </c>
      <c r="F1253" s="35">
        <v>5.0548628462104617</v>
      </c>
      <c r="G1253" s="232">
        <v>8878.98</v>
      </c>
      <c r="H1253" s="35">
        <v>8.7787274925024867</v>
      </c>
      <c r="I1253" s="232">
        <v>9529.83</v>
      </c>
      <c r="J1253" s="35">
        <v>7.4170125033746412</v>
      </c>
      <c r="K1253" s="232">
        <v>12290.9</v>
      </c>
      <c r="L1253" s="35">
        <v>8.4222387151071079</v>
      </c>
      <c r="M1253" s="232">
        <v>38275.46</v>
      </c>
      <c r="N1253" s="35">
        <v>7.2956482508309559</v>
      </c>
      <c r="P1253" s="232">
        <v>-20.239999999999998</v>
      </c>
      <c r="Q1253" s="35">
        <v>1.0483946121000898E-2</v>
      </c>
      <c r="R1253" s="232">
        <v>650.85</v>
      </c>
      <c r="S1253" s="35">
        <v>1.3617149891278455</v>
      </c>
      <c r="T1253" s="232">
        <v>25984.560000000001</v>
      </c>
      <c r="U1253" s="35">
        <v>1.1265904642761519</v>
      </c>
      <c r="W1253" s="35">
        <f t="shared" si="121"/>
        <v>544.43730605004487</v>
      </c>
      <c r="X1253" s="35">
        <f t="shared" si="122"/>
        <v>67434.899456392275</v>
      </c>
      <c r="Y1253" s="35">
        <f t="shared" si="123"/>
        <v>30344.963213807594</v>
      </c>
      <c r="Z1253" s="35">
        <f t="shared" si="124"/>
        <v>0</v>
      </c>
      <c r="AA1253" s="35">
        <f t="shared" si="125"/>
        <v>1</v>
      </c>
      <c r="AB1253" s="35">
        <f t="shared" si="126"/>
        <v>0</v>
      </c>
    </row>
    <row r="1254" spans="1:28">
      <c r="A1254" s="35">
        <v>1243</v>
      </c>
      <c r="B1254" s="35">
        <v>4.2522507876763802E-4</v>
      </c>
      <c r="C1254" s="232">
        <v>86.94</v>
      </c>
      <c r="D1254" s="35">
        <v>5.060760693638497</v>
      </c>
      <c r="E1254" s="232">
        <v>60.13</v>
      </c>
      <c r="F1254" s="35">
        <v>5.0527551023403179</v>
      </c>
      <c r="G1254" s="232">
        <v>15638.94</v>
      </c>
      <c r="H1254" s="35">
        <v>9.0104435587620859</v>
      </c>
      <c r="I1254" s="232">
        <v>14787.28</v>
      </c>
      <c r="J1254" s="35">
        <v>7.4202725331413077</v>
      </c>
      <c r="K1254" s="232">
        <v>21622.22</v>
      </c>
      <c r="L1254" s="35">
        <v>8.5877271638151296</v>
      </c>
      <c r="M1254" s="232">
        <v>48037.21</v>
      </c>
      <c r="N1254" s="35">
        <v>7.5178464536305176</v>
      </c>
      <c r="P1254" s="232">
        <v>-26.81</v>
      </c>
      <c r="Q1254" s="35">
        <v>8.0055912981791266E-3</v>
      </c>
      <c r="R1254" s="232">
        <v>-851.66</v>
      </c>
      <c r="S1254" s="35">
        <v>1.5901710256207782</v>
      </c>
      <c r="T1254" s="232">
        <v>26414.99</v>
      </c>
      <c r="U1254" s="35">
        <v>1.0698807101846119</v>
      </c>
      <c r="W1254" s="35">
        <f t="shared" si="121"/>
        <v>427.08956490895633</v>
      </c>
      <c r="X1254" s="35">
        <f t="shared" si="122"/>
        <v>80360.211281038908</v>
      </c>
      <c r="Y1254" s="35">
        <f t="shared" si="123"/>
        <v>27079.045509230597</v>
      </c>
      <c r="Z1254" s="35">
        <f t="shared" si="124"/>
        <v>0</v>
      </c>
      <c r="AA1254" s="35">
        <f t="shared" si="125"/>
        <v>1</v>
      </c>
      <c r="AB1254" s="35">
        <f t="shared" si="126"/>
        <v>0</v>
      </c>
    </row>
    <row r="1255" spans="1:28">
      <c r="A1255" s="35">
        <v>1244</v>
      </c>
      <c r="B1255" s="35">
        <v>3.5772743970272552E-4</v>
      </c>
      <c r="C1255" s="232">
        <v>48.98</v>
      </c>
      <c r="D1255" s="35">
        <v>5.0562911057393034</v>
      </c>
      <c r="E1255" s="232">
        <v>29.68</v>
      </c>
      <c r="F1255" s="35">
        <v>5.0476794108050997</v>
      </c>
      <c r="G1255" s="232">
        <v>10806.63</v>
      </c>
      <c r="H1255" s="35">
        <v>8.7578164822666871</v>
      </c>
      <c r="I1255" s="232">
        <v>11428.73</v>
      </c>
      <c r="J1255" s="35">
        <v>7.212815364806775</v>
      </c>
      <c r="K1255" s="232">
        <v>14340.87</v>
      </c>
      <c r="L1255" s="35">
        <v>8.421646489344484</v>
      </c>
      <c r="M1255" s="232">
        <v>40325.440000000002</v>
      </c>
      <c r="N1255" s="35">
        <v>7.2643549702224091</v>
      </c>
      <c r="P1255" s="232">
        <v>-19.3</v>
      </c>
      <c r="Q1255" s="35">
        <v>8.6116949342036619E-3</v>
      </c>
      <c r="R1255" s="232">
        <v>622.1</v>
      </c>
      <c r="S1255" s="35">
        <v>1.5450011174599121</v>
      </c>
      <c r="T1255" s="232">
        <v>25984.57</v>
      </c>
      <c r="U1255" s="35">
        <v>1.157291519122075</v>
      </c>
      <c r="W1255" s="35">
        <f t="shared" si="121"/>
        <v>449.88474671018309</v>
      </c>
      <c r="X1255" s="35">
        <f t="shared" si="122"/>
        <v>76627.955872995604</v>
      </c>
      <c r="Y1255" s="35">
        <f t="shared" si="123"/>
        <v>31880.005956103749</v>
      </c>
      <c r="Z1255" s="35">
        <f t="shared" si="124"/>
        <v>0</v>
      </c>
      <c r="AA1255" s="35">
        <f t="shared" si="125"/>
        <v>1</v>
      </c>
      <c r="AB1255" s="35">
        <f t="shared" si="126"/>
        <v>0</v>
      </c>
    </row>
    <row r="1256" spans="1:28">
      <c r="A1256" s="35">
        <v>1245</v>
      </c>
      <c r="B1256" s="35">
        <v>3.7927022140553287E-4</v>
      </c>
      <c r="C1256" s="232">
        <v>52.18</v>
      </c>
      <c r="D1256" s="35">
        <v>5.0588699474694945</v>
      </c>
      <c r="E1256" s="232">
        <v>34.71</v>
      </c>
      <c r="F1256" s="35">
        <v>5.0503843105122499</v>
      </c>
      <c r="G1256" s="232">
        <v>10601.09</v>
      </c>
      <c r="H1256" s="35">
        <v>9.0882342531113114</v>
      </c>
      <c r="I1256" s="232">
        <v>11949.26</v>
      </c>
      <c r="J1256" s="35">
        <v>8.0839550737866244</v>
      </c>
      <c r="K1256" s="232">
        <v>12758.11</v>
      </c>
      <c r="L1256" s="35">
        <v>8.6513694864135484</v>
      </c>
      <c r="M1256" s="232">
        <v>38646.379999999997</v>
      </c>
      <c r="N1256" s="35">
        <v>7.4606260061892931</v>
      </c>
      <c r="P1256" s="232">
        <v>-17.48</v>
      </c>
      <c r="Q1256" s="35">
        <v>8.48563695724458E-3</v>
      </c>
      <c r="R1256" s="232">
        <v>1348.18</v>
      </c>
      <c r="S1256" s="35">
        <v>1.004279179324687</v>
      </c>
      <c r="T1256" s="232">
        <v>25888.27</v>
      </c>
      <c r="U1256" s="35">
        <v>1.1907434802242554</v>
      </c>
      <c r="W1256" s="35">
        <f t="shared" si="121"/>
        <v>441.76184786222905</v>
      </c>
      <c r="X1256" s="35">
        <f t="shared" si="122"/>
        <v>48865.778966234349</v>
      </c>
      <c r="Y1256" s="35">
        <f t="shared" si="123"/>
        <v>33648.90401121277</v>
      </c>
      <c r="Z1256" s="35">
        <f t="shared" si="124"/>
        <v>0</v>
      </c>
      <c r="AA1256" s="35">
        <f t="shared" si="125"/>
        <v>1</v>
      </c>
      <c r="AB1256" s="35">
        <f t="shared" si="126"/>
        <v>0</v>
      </c>
    </row>
    <row r="1257" spans="1:28">
      <c r="A1257" s="35">
        <v>1246</v>
      </c>
      <c r="B1257" s="35">
        <v>3.1370174747055339E-4</v>
      </c>
      <c r="C1257" s="232">
        <v>39.92</v>
      </c>
      <c r="D1257" s="35">
        <v>5.0549325858254024</v>
      </c>
      <c r="E1257" s="232">
        <v>29.17</v>
      </c>
      <c r="F1257" s="35">
        <v>5.0487937622478141</v>
      </c>
      <c r="G1257" s="232">
        <v>9421.7999999999993</v>
      </c>
      <c r="H1257" s="35">
        <v>8.8039417728625793</v>
      </c>
      <c r="I1257" s="232">
        <v>9945.08</v>
      </c>
      <c r="J1257" s="35">
        <v>7.133424169381259</v>
      </c>
      <c r="K1257" s="232">
        <v>12230.96</v>
      </c>
      <c r="L1257" s="35">
        <v>8.8319242408041401</v>
      </c>
      <c r="M1257" s="232">
        <v>38125.71</v>
      </c>
      <c r="N1257" s="35">
        <v>7.7006338376394039</v>
      </c>
      <c r="P1257" s="232">
        <v>-10.75</v>
      </c>
      <c r="Q1257" s="35">
        <v>6.138823577588326E-3</v>
      </c>
      <c r="R1257" s="232">
        <v>523.28</v>
      </c>
      <c r="S1257" s="35">
        <v>1.6705176034813203</v>
      </c>
      <c r="T1257" s="232">
        <v>25894.75</v>
      </c>
      <c r="U1257" s="35">
        <v>1.1312904031647362</v>
      </c>
      <c r="W1257" s="35">
        <f t="shared" si="121"/>
        <v>317.69117887941627</v>
      </c>
      <c r="X1257" s="35">
        <f t="shared" si="122"/>
        <v>83002.600174066014</v>
      </c>
      <c r="Y1257" s="35">
        <f t="shared" si="123"/>
        <v>30669.77015823681</v>
      </c>
      <c r="Z1257" s="35">
        <f t="shared" si="124"/>
        <v>0</v>
      </c>
      <c r="AA1257" s="35">
        <f t="shared" si="125"/>
        <v>1</v>
      </c>
      <c r="AB1257" s="35">
        <f t="shared" si="126"/>
        <v>0</v>
      </c>
    </row>
    <row r="1258" spans="1:28">
      <c r="A1258" s="35">
        <v>1247</v>
      </c>
      <c r="B1258" s="35">
        <v>4.3944574926348557E-4</v>
      </c>
      <c r="C1258" s="232">
        <v>75.55</v>
      </c>
      <c r="D1258" s="35">
        <v>5.0594676939891476</v>
      </c>
      <c r="E1258" s="232">
        <v>45.27</v>
      </c>
      <c r="F1258" s="35">
        <v>5.0497868234187049</v>
      </c>
      <c r="G1258" s="232">
        <v>13459.71</v>
      </c>
      <c r="H1258" s="35">
        <v>8.3722907392614054</v>
      </c>
      <c r="I1258" s="232">
        <v>14773.75</v>
      </c>
      <c r="J1258" s="35">
        <v>7.6102140873084858</v>
      </c>
      <c r="K1258" s="232">
        <v>18156.61</v>
      </c>
      <c r="L1258" s="35">
        <v>8.4502049323479493</v>
      </c>
      <c r="M1258" s="232">
        <v>44413.64</v>
      </c>
      <c r="N1258" s="35">
        <v>7.3769324053430161</v>
      </c>
      <c r="P1258" s="232">
        <v>-30.28</v>
      </c>
      <c r="Q1258" s="35">
        <v>9.6808705704427567E-3</v>
      </c>
      <c r="R1258" s="232">
        <v>1314.03</v>
      </c>
      <c r="S1258" s="35">
        <v>0.76207665195291963</v>
      </c>
      <c r="T1258" s="232">
        <v>26257.03</v>
      </c>
      <c r="U1258" s="35">
        <v>1.0732725270049333</v>
      </c>
      <c r="W1258" s="35">
        <f t="shared" si="121"/>
        <v>514.32352852213785</v>
      </c>
      <c r="X1258" s="35">
        <f t="shared" si="122"/>
        <v>36789.802597645983</v>
      </c>
      <c r="Y1258" s="35">
        <f t="shared" si="123"/>
        <v>27406.596350246662</v>
      </c>
      <c r="Z1258" s="35">
        <f t="shared" si="124"/>
        <v>0</v>
      </c>
      <c r="AA1258" s="35">
        <f t="shared" si="125"/>
        <v>1</v>
      </c>
      <c r="AB1258" s="35">
        <f t="shared" si="126"/>
        <v>0</v>
      </c>
    </row>
    <row r="1259" spans="1:28">
      <c r="A1259" s="35">
        <v>1248</v>
      </c>
      <c r="B1259" s="35">
        <v>3.8294179364542795E-4</v>
      </c>
      <c r="C1259" s="232">
        <v>94.26</v>
      </c>
      <c r="D1259" s="35">
        <v>5.0598272562416318</v>
      </c>
      <c r="E1259" s="232">
        <v>51.63</v>
      </c>
      <c r="F1259" s="35">
        <v>5.0490678645980145</v>
      </c>
      <c r="G1259" s="232">
        <v>19604.87</v>
      </c>
      <c r="H1259" s="35">
        <v>9.464673434673081</v>
      </c>
      <c r="I1259" s="232">
        <v>21477.84</v>
      </c>
      <c r="J1259" s="35">
        <v>9.2107197886748331</v>
      </c>
      <c r="K1259" s="232">
        <v>24091.08</v>
      </c>
      <c r="L1259" s="35">
        <v>8.6428754704011439</v>
      </c>
      <c r="M1259" s="232">
        <v>50644.76</v>
      </c>
      <c r="N1259" s="35">
        <v>7.5008988142905393</v>
      </c>
      <c r="P1259" s="232">
        <v>-42.63</v>
      </c>
      <c r="Q1259" s="35">
        <v>1.0759391643617278E-2</v>
      </c>
      <c r="R1259" s="232">
        <v>1872.97</v>
      </c>
      <c r="S1259" s="35">
        <v>0.25395364599824788</v>
      </c>
      <c r="T1259" s="232">
        <v>26553.67</v>
      </c>
      <c r="U1259" s="35">
        <v>1.1419766561106046</v>
      </c>
      <c r="W1259" s="35">
        <f t="shared" si="121"/>
        <v>580.59958218086388</v>
      </c>
      <c r="X1259" s="35">
        <f t="shared" si="122"/>
        <v>10824.712299912395</v>
      </c>
      <c r="Y1259" s="35">
        <f t="shared" si="123"/>
        <v>30545.162805530235</v>
      </c>
      <c r="Z1259" s="35">
        <f t="shared" si="124"/>
        <v>0</v>
      </c>
      <c r="AA1259" s="35">
        <f t="shared" si="125"/>
        <v>0</v>
      </c>
      <c r="AB1259" s="35">
        <f t="shared" si="126"/>
        <v>1</v>
      </c>
    </row>
    <row r="1260" spans="1:28">
      <c r="A1260" s="35">
        <v>1249</v>
      </c>
      <c r="B1260" s="35">
        <v>4.7192961653608201E-4</v>
      </c>
      <c r="C1260" s="232">
        <v>60.58</v>
      </c>
      <c r="D1260" s="35">
        <v>5.0649377700103608</v>
      </c>
      <c r="E1260" s="232">
        <v>38.049999999999997</v>
      </c>
      <c r="F1260" s="35">
        <v>5.0532542282687922</v>
      </c>
      <c r="G1260" s="232">
        <v>10081.92</v>
      </c>
      <c r="H1260" s="35">
        <v>9.5034646836525543</v>
      </c>
      <c r="I1260" s="232">
        <v>11237.24</v>
      </c>
      <c r="J1260" s="35">
        <v>8.1985921882976331</v>
      </c>
      <c r="K1260" s="232">
        <v>11971.48</v>
      </c>
      <c r="L1260" s="35">
        <v>8.4003018496876241</v>
      </c>
      <c r="M1260" s="232">
        <v>37861.33</v>
      </c>
      <c r="N1260" s="35">
        <v>7.2284445109920972</v>
      </c>
      <c r="P1260" s="232">
        <v>-22.54</v>
      </c>
      <c r="Q1260" s="35">
        <v>1.1683541741568604E-2</v>
      </c>
      <c r="R1260" s="232">
        <v>1155.33</v>
      </c>
      <c r="S1260" s="35">
        <v>1.3048724953549211</v>
      </c>
      <c r="T1260" s="232">
        <v>25889.86</v>
      </c>
      <c r="U1260" s="35">
        <v>1.1718573386955269</v>
      </c>
      <c r="W1260" s="35">
        <f t="shared" si="121"/>
        <v>606.71708707843015</v>
      </c>
      <c r="X1260" s="35">
        <f t="shared" si="122"/>
        <v>64088.294767746054</v>
      </c>
      <c r="Y1260" s="35">
        <f t="shared" si="123"/>
        <v>32703.006934776342</v>
      </c>
      <c r="Z1260" s="35">
        <f t="shared" si="124"/>
        <v>0</v>
      </c>
      <c r="AA1260" s="35">
        <f t="shared" si="125"/>
        <v>1</v>
      </c>
      <c r="AB1260" s="35">
        <f t="shared" si="126"/>
        <v>0</v>
      </c>
    </row>
    <row r="1261" spans="1:28">
      <c r="A1261" s="35">
        <v>1250</v>
      </c>
      <c r="B1261" s="35">
        <v>4.4527892745847212E-4</v>
      </c>
      <c r="C1261" s="232">
        <v>62.37</v>
      </c>
      <c r="D1261" s="35">
        <v>5.0603637931569665</v>
      </c>
      <c r="E1261" s="232">
        <v>41.64</v>
      </c>
      <c r="F1261" s="35">
        <v>5.0515860757633417</v>
      </c>
      <c r="G1261" s="232">
        <v>10723.21</v>
      </c>
      <c r="H1261" s="35">
        <v>8.4477113024540813</v>
      </c>
      <c r="I1261" s="232">
        <v>11550.31</v>
      </c>
      <c r="J1261" s="35">
        <v>7.0670481557137066</v>
      </c>
      <c r="K1261" s="232">
        <v>14210.03</v>
      </c>
      <c r="L1261" s="35">
        <v>8.5293682800039203</v>
      </c>
      <c r="M1261" s="232">
        <v>40234.230000000003</v>
      </c>
      <c r="N1261" s="35">
        <v>7.3094251089323485</v>
      </c>
      <c r="P1261" s="232">
        <v>-20.73</v>
      </c>
      <c r="Q1261" s="35">
        <v>8.7777173936247621E-3</v>
      </c>
      <c r="R1261" s="232">
        <v>827.1</v>
      </c>
      <c r="S1261" s="35">
        <v>1.3806631467403747</v>
      </c>
      <c r="T1261" s="232">
        <v>26024.21</v>
      </c>
      <c r="U1261" s="35">
        <v>1.2199431710715718</v>
      </c>
      <c r="W1261" s="35">
        <f t="shared" si="121"/>
        <v>459.61586968123811</v>
      </c>
      <c r="X1261" s="35">
        <f t="shared" si="122"/>
        <v>68206.057337018734</v>
      </c>
      <c r="Y1261" s="35">
        <f t="shared" si="123"/>
        <v>34972.948553578593</v>
      </c>
      <c r="Z1261" s="35">
        <f t="shared" si="124"/>
        <v>0</v>
      </c>
      <c r="AA1261" s="35">
        <f t="shared" si="125"/>
        <v>1</v>
      </c>
      <c r="AB1261" s="35">
        <f t="shared" si="126"/>
        <v>0</v>
      </c>
    </row>
    <row r="1262" spans="1:28">
      <c r="A1262" s="35">
        <v>1251</v>
      </c>
      <c r="B1262" s="35">
        <v>5.261252739473532E-4</v>
      </c>
      <c r="C1262" s="232">
        <v>77.38</v>
      </c>
      <c r="D1262" s="35">
        <v>5.0641769428604668</v>
      </c>
      <c r="E1262" s="232">
        <v>44.36</v>
      </c>
      <c r="F1262" s="35">
        <v>5.0517283472432775</v>
      </c>
      <c r="G1262" s="232">
        <v>11521.19</v>
      </c>
      <c r="H1262" s="35">
        <v>8.7302303568962767</v>
      </c>
      <c r="I1262" s="232">
        <v>13126.18</v>
      </c>
      <c r="J1262" s="35">
        <v>8.1547420147158238</v>
      </c>
      <c r="K1262" s="232">
        <v>14542.21</v>
      </c>
      <c r="L1262" s="35">
        <v>8.2459688993358</v>
      </c>
      <c r="M1262" s="232">
        <v>40660.699999999997</v>
      </c>
      <c r="N1262" s="35">
        <v>7.155593478382885</v>
      </c>
      <c r="P1262" s="232">
        <v>-33.020000000000003</v>
      </c>
      <c r="Q1262" s="35">
        <v>1.2448595617189362E-2</v>
      </c>
      <c r="R1262" s="232">
        <v>1604.99</v>
      </c>
      <c r="S1262" s="35">
        <v>0.57548834218045286</v>
      </c>
      <c r="T1262" s="232">
        <v>26118.49</v>
      </c>
      <c r="U1262" s="35">
        <v>1.0903754209529151</v>
      </c>
      <c r="W1262" s="35">
        <f t="shared" si="121"/>
        <v>655.44978085946809</v>
      </c>
      <c r="X1262" s="35">
        <f t="shared" si="122"/>
        <v>27169.427109022643</v>
      </c>
      <c r="Y1262" s="35">
        <f t="shared" si="123"/>
        <v>28400.281047645749</v>
      </c>
      <c r="Z1262" s="35">
        <f t="shared" si="124"/>
        <v>0</v>
      </c>
      <c r="AA1262" s="35">
        <f t="shared" si="125"/>
        <v>0</v>
      </c>
      <c r="AB1262" s="35">
        <f t="shared" si="126"/>
        <v>1</v>
      </c>
    </row>
    <row r="1263" spans="1:28">
      <c r="A1263" s="35">
        <v>1252</v>
      </c>
      <c r="B1263" s="35">
        <v>5.207644001106182E-4</v>
      </c>
      <c r="C1263" s="232">
        <v>69.38</v>
      </c>
      <c r="D1263" s="35">
        <v>5.0645105672948976</v>
      </c>
      <c r="E1263" s="232">
        <v>42.11</v>
      </c>
      <c r="F1263" s="35">
        <v>5.0526538861197796</v>
      </c>
      <c r="G1263" s="232">
        <v>10170.14</v>
      </c>
      <c r="H1263" s="35">
        <v>8.6677017093211415</v>
      </c>
      <c r="I1263" s="232">
        <v>10848.44</v>
      </c>
      <c r="J1263" s="35">
        <v>6.4933853625179614</v>
      </c>
      <c r="K1263" s="232">
        <v>10888.05</v>
      </c>
      <c r="L1263" s="35">
        <v>8.5447622402211127</v>
      </c>
      <c r="M1263" s="232">
        <v>36684.35</v>
      </c>
      <c r="N1263" s="35">
        <v>7.5158626469364904</v>
      </c>
      <c r="P1263" s="232">
        <v>-27.27</v>
      </c>
      <c r="Q1263" s="35">
        <v>1.1856681175117956E-2</v>
      </c>
      <c r="R1263" s="232">
        <v>678.3</v>
      </c>
      <c r="S1263" s="35">
        <v>2.1743163468031801</v>
      </c>
      <c r="T1263" s="232">
        <v>25796.29</v>
      </c>
      <c r="U1263" s="35">
        <v>1.0288995932846223</v>
      </c>
      <c r="W1263" s="35">
        <f t="shared" si="121"/>
        <v>620.10405875589777</v>
      </c>
      <c r="X1263" s="35">
        <f t="shared" si="122"/>
        <v>108037.517340159</v>
      </c>
      <c r="Y1263" s="35">
        <f t="shared" si="123"/>
        <v>25648.689664231119</v>
      </c>
      <c r="Z1263" s="35">
        <f t="shared" si="124"/>
        <v>0</v>
      </c>
      <c r="AA1263" s="35">
        <f t="shared" si="125"/>
        <v>1</v>
      </c>
      <c r="AB1263" s="35">
        <f t="shared" si="126"/>
        <v>0</v>
      </c>
    </row>
    <row r="1264" spans="1:28">
      <c r="A1264" s="35">
        <v>1253</v>
      </c>
      <c r="B1264" s="35">
        <v>4.872487026075234E-4</v>
      </c>
      <c r="C1264" s="232">
        <v>73.34</v>
      </c>
      <c r="D1264" s="35">
        <v>5.0665301024442666</v>
      </c>
      <c r="E1264" s="232">
        <v>40.67</v>
      </c>
      <c r="F1264" s="35">
        <v>5.0523581986754298</v>
      </c>
      <c r="G1264" s="232">
        <v>11611.81</v>
      </c>
      <c r="H1264" s="35">
        <v>9.4705644682740502</v>
      </c>
      <c r="I1264" s="232">
        <v>11825.16</v>
      </c>
      <c r="J1264" s="35">
        <v>7.8593410235663956</v>
      </c>
      <c r="K1264" s="232">
        <v>15366.64</v>
      </c>
      <c r="L1264" s="35">
        <v>9.2844976400180315</v>
      </c>
      <c r="M1264" s="232">
        <v>41528.870000000003</v>
      </c>
      <c r="N1264" s="35">
        <v>8.2892572341864312</v>
      </c>
      <c r="P1264" s="232">
        <v>-32.67</v>
      </c>
      <c r="Q1264" s="35">
        <v>1.4171903768836813E-2</v>
      </c>
      <c r="R1264" s="232">
        <v>213.35</v>
      </c>
      <c r="S1264" s="35">
        <v>1.6112234447076546</v>
      </c>
      <c r="T1264" s="232">
        <v>26162.240000000002</v>
      </c>
      <c r="U1264" s="35">
        <v>0.99524040583160023</v>
      </c>
      <c r="W1264" s="35">
        <f t="shared" si="121"/>
        <v>741.26518844184068</v>
      </c>
      <c r="X1264" s="35">
        <f t="shared" si="122"/>
        <v>80347.822235382715</v>
      </c>
      <c r="Y1264" s="35">
        <f t="shared" si="123"/>
        <v>23599.780291580009</v>
      </c>
      <c r="Z1264" s="35">
        <f t="shared" si="124"/>
        <v>0</v>
      </c>
      <c r="AA1264" s="35">
        <f t="shared" si="125"/>
        <v>1</v>
      </c>
      <c r="AB1264" s="35">
        <f t="shared" si="126"/>
        <v>0</v>
      </c>
    </row>
    <row r="1265" spans="1:28">
      <c r="A1265" s="35">
        <v>1254</v>
      </c>
      <c r="B1265" s="35">
        <v>7.1587424334984551E-4</v>
      </c>
      <c r="C1265" s="232">
        <v>122.29</v>
      </c>
      <c r="D1265" s="35">
        <v>5.0753845644876545</v>
      </c>
      <c r="E1265" s="232">
        <v>77.739999999999995</v>
      </c>
      <c r="F1265" s="35">
        <v>5.0606108790589639</v>
      </c>
      <c r="G1265" s="232">
        <v>13383.38</v>
      </c>
      <c r="H1265" s="35">
        <v>8.7960016789996089</v>
      </c>
      <c r="I1265" s="232">
        <v>14892.81</v>
      </c>
      <c r="J1265" s="35">
        <v>8.1142637495047154</v>
      </c>
      <c r="K1265" s="232">
        <v>16880.54</v>
      </c>
      <c r="L1265" s="35">
        <v>8.6167231201966992</v>
      </c>
      <c r="M1265" s="232">
        <v>43057.35</v>
      </c>
      <c r="N1265" s="35">
        <v>7.5493457250422971</v>
      </c>
      <c r="P1265" s="232">
        <v>-44.55</v>
      </c>
      <c r="Q1265" s="35">
        <v>1.4773685428690619E-2</v>
      </c>
      <c r="R1265" s="232">
        <v>1509.43</v>
      </c>
      <c r="S1265" s="35">
        <v>0.68173792949489354</v>
      </c>
      <c r="T1265" s="232">
        <v>26176.81</v>
      </c>
      <c r="U1265" s="35">
        <v>1.0673773951544021</v>
      </c>
      <c r="W1265" s="35">
        <f t="shared" si="121"/>
        <v>783.23427143453091</v>
      </c>
      <c r="X1265" s="35">
        <f t="shared" si="122"/>
        <v>32577.466474744673</v>
      </c>
      <c r="Y1265" s="35">
        <f t="shared" si="123"/>
        <v>27192.059757720101</v>
      </c>
      <c r="Z1265" s="35">
        <f t="shared" si="124"/>
        <v>0</v>
      </c>
      <c r="AA1265" s="35">
        <f t="shared" si="125"/>
        <v>1</v>
      </c>
      <c r="AB1265" s="35">
        <f t="shared" si="126"/>
        <v>0</v>
      </c>
    </row>
    <row r="1266" spans="1:28">
      <c r="A1266" s="35">
        <v>1255</v>
      </c>
      <c r="B1266" s="35">
        <v>4.6331152731904357E-4</v>
      </c>
      <c r="C1266" s="232">
        <v>70.55</v>
      </c>
      <c r="D1266" s="35">
        <v>5.062804262656468</v>
      </c>
      <c r="E1266" s="232">
        <v>44.47</v>
      </c>
      <c r="F1266" s="35">
        <v>5.0523152819748303</v>
      </c>
      <c r="G1266" s="232">
        <v>12264.01</v>
      </c>
      <c r="H1266" s="35">
        <v>9.0487097323247383</v>
      </c>
      <c r="I1266" s="232">
        <v>14041.95</v>
      </c>
      <c r="J1266" s="35">
        <v>8.2028058869975649</v>
      </c>
      <c r="K1266" s="232">
        <v>13720.49</v>
      </c>
      <c r="L1266" s="35">
        <v>8.5403880114590383</v>
      </c>
      <c r="M1266" s="232">
        <v>39819.300000000003</v>
      </c>
      <c r="N1266" s="35">
        <v>7.4447026258488016</v>
      </c>
      <c r="P1266" s="232">
        <v>-26.07</v>
      </c>
      <c r="Q1266" s="35">
        <v>1.0488980681637727E-2</v>
      </c>
      <c r="R1266" s="232">
        <v>1777.94</v>
      </c>
      <c r="S1266" s="35">
        <v>0.84590384532717344</v>
      </c>
      <c r="T1266" s="232">
        <v>26098.81</v>
      </c>
      <c r="U1266" s="35">
        <v>1.0956853856102367</v>
      </c>
      <c r="W1266" s="35">
        <f t="shared" si="121"/>
        <v>550.51903408188639</v>
      </c>
      <c r="X1266" s="35">
        <f t="shared" si="122"/>
        <v>40517.252266358671</v>
      </c>
      <c r="Y1266" s="35">
        <f t="shared" si="123"/>
        <v>28685.459280511834</v>
      </c>
      <c r="Z1266" s="35">
        <f t="shared" si="124"/>
        <v>0</v>
      </c>
      <c r="AA1266" s="35">
        <f t="shared" si="125"/>
        <v>1</v>
      </c>
      <c r="AB1266" s="35">
        <f t="shared" si="126"/>
        <v>0</v>
      </c>
    </row>
    <row r="1267" spans="1:28">
      <c r="A1267" s="35">
        <v>1256</v>
      </c>
      <c r="B1267" s="35">
        <v>3.6745651854402749E-4</v>
      </c>
      <c r="C1267" s="232">
        <v>43.32</v>
      </c>
      <c r="D1267" s="35">
        <v>5.0571810682211478</v>
      </c>
      <c r="E1267" s="232">
        <v>26.47</v>
      </c>
      <c r="F1267" s="35">
        <v>5.0480607569683533</v>
      </c>
      <c r="G1267" s="232">
        <v>9076.7900000000009</v>
      </c>
      <c r="H1267" s="35">
        <v>8.7519227384302756</v>
      </c>
      <c r="I1267" s="232">
        <v>10337.700000000001</v>
      </c>
      <c r="J1267" s="35">
        <v>7.5914134655077854</v>
      </c>
      <c r="K1267" s="232">
        <v>11455.89</v>
      </c>
      <c r="L1267" s="35">
        <v>8.7205594565854465</v>
      </c>
      <c r="M1267" s="232">
        <v>37430.639999999999</v>
      </c>
      <c r="N1267" s="35">
        <v>7.6381218701835545</v>
      </c>
      <c r="P1267" s="232">
        <v>-16.850000000000001</v>
      </c>
      <c r="Q1267" s="35">
        <v>9.1203112527944441E-3</v>
      </c>
      <c r="R1267" s="232">
        <v>1260.9100000000001</v>
      </c>
      <c r="S1267" s="35">
        <v>1.1605092729224902</v>
      </c>
      <c r="T1267" s="232">
        <v>25974.75</v>
      </c>
      <c r="U1267" s="35">
        <v>1.082437586401892</v>
      </c>
      <c r="W1267" s="35">
        <f t="shared" si="121"/>
        <v>472.86556263972221</v>
      </c>
      <c r="X1267" s="35">
        <f t="shared" si="122"/>
        <v>56764.553646124506</v>
      </c>
      <c r="Y1267" s="35">
        <f t="shared" si="123"/>
        <v>28147.129320094602</v>
      </c>
      <c r="Z1267" s="35">
        <f t="shared" si="124"/>
        <v>0</v>
      </c>
      <c r="AA1267" s="35">
        <f t="shared" si="125"/>
        <v>1</v>
      </c>
      <c r="AB1267" s="35">
        <f t="shared" si="126"/>
        <v>0</v>
      </c>
    </row>
    <row r="1268" spans="1:28">
      <c r="A1268" s="35">
        <v>1257</v>
      </c>
      <c r="B1268" s="35">
        <v>4.9780601593196749E-4</v>
      </c>
      <c r="C1268" s="232">
        <v>78.17</v>
      </c>
      <c r="D1268" s="35">
        <v>5.0624148396183868</v>
      </c>
      <c r="E1268" s="232">
        <v>46.89</v>
      </c>
      <c r="F1268" s="35">
        <v>5.0514642474303315</v>
      </c>
      <c r="G1268" s="232">
        <v>11756.3</v>
      </c>
      <c r="H1268" s="35">
        <v>8.3891491723996268</v>
      </c>
      <c r="I1268" s="232">
        <v>11834.46</v>
      </c>
      <c r="J1268" s="35">
        <v>6.8491074706854995</v>
      </c>
      <c r="K1268" s="232">
        <v>16268.14</v>
      </c>
      <c r="L1268" s="35">
        <v>8.5311884962430007</v>
      </c>
      <c r="M1268" s="232">
        <v>42543.43</v>
      </c>
      <c r="N1268" s="35">
        <v>7.4818987128275918</v>
      </c>
      <c r="P1268" s="232">
        <v>-31.28</v>
      </c>
      <c r="Q1268" s="35">
        <v>1.0950592188055275E-2</v>
      </c>
      <c r="R1268" s="232">
        <v>78.16</v>
      </c>
      <c r="S1268" s="35">
        <v>1.5400417017141272</v>
      </c>
      <c r="T1268" s="232">
        <v>26275.29</v>
      </c>
      <c r="U1268" s="35">
        <v>1.0492897834154089</v>
      </c>
      <c r="W1268" s="35">
        <f t="shared" si="121"/>
        <v>578.80960940276373</v>
      </c>
      <c r="X1268" s="35">
        <f t="shared" si="122"/>
        <v>76923.92508570636</v>
      </c>
      <c r="Y1268" s="35">
        <f t="shared" si="123"/>
        <v>26189.199170770444</v>
      </c>
      <c r="Z1268" s="35">
        <f t="shared" si="124"/>
        <v>0</v>
      </c>
      <c r="AA1268" s="35">
        <f t="shared" si="125"/>
        <v>1</v>
      </c>
      <c r="AB1268" s="35">
        <f t="shared" si="126"/>
        <v>0</v>
      </c>
    </row>
    <row r="1269" spans="1:28">
      <c r="A1269" s="35">
        <v>1258</v>
      </c>
      <c r="B1269" s="35">
        <v>3.8598615774274107E-4</v>
      </c>
      <c r="C1269" s="232">
        <v>60.71</v>
      </c>
      <c r="D1269" s="35">
        <v>5.0603715330325292</v>
      </c>
      <c r="E1269" s="232">
        <v>36.869999999999997</v>
      </c>
      <c r="F1269" s="35">
        <v>5.0502025637797994</v>
      </c>
      <c r="G1269" s="232">
        <v>12163.76</v>
      </c>
      <c r="H1269" s="35">
        <v>9.3135067514636916</v>
      </c>
      <c r="I1269" s="232">
        <v>12724.97</v>
      </c>
      <c r="J1269" s="35">
        <v>7.4446753145653899</v>
      </c>
      <c r="K1269" s="232">
        <v>14470.62</v>
      </c>
      <c r="L1269" s="35">
        <v>8.9704062945898055</v>
      </c>
      <c r="M1269" s="232">
        <v>40650.199999999997</v>
      </c>
      <c r="N1269" s="35">
        <v>7.7289794337652378</v>
      </c>
      <c r="P1269" s="232">
        <v>-23.84</v>
      </c>
      <c r="Q1269" s="35">
        <v>1.0168969252729809E-2</v>
      </c>
      <c r="R1269" s="232">
        <v>561.21</v>
      </c>
      <c r="S1269" s="35">
        <v>1.8688314368983017</v>
      </c>
      <c r="T1269" s="232">
        <v>26179.58</v>
      </c>
      <c r="U1269" s="35">
        <v>1.2414268608245678</v>
      </c>
      <c r="W1269" s="35">
        <f t="shared" si="121"/>
        <v>532.28846263649052</v>
      </c>
      <c r="X1269" s="35">
        <f t="shared" si="122"/>
        <v>92880.361844915082</v>
      </c>
      <c r="Y1269" s="35">
        <f t="shared" si="123"/>
        <v>35891.763041228383</v>
      </c>
      <c r="Z1269" s="35">
        <f t="shared" si="124"/>
        <v>0</v>
      </c>
      <c r="AA1269" s="35">
        <f t="shared" si="125"/>
        <v>1</v>
      </c>
      <c r="AB1269" s="35">
        <f t="shared" si="126"/>
        <v>0</v>
      </c>
    </row>
    <row r="1270" spans="1:28">
      <c r="A1270" s="35">
        <v>1259</v>
      </c>
      <c r="B1270" s="35">
        <v>3.8900630433482926E-4</v>
      </c>
      <c r="C1270" s="232">
        <v>71.489999999999995</v>
      </c>
      <c r="D1270" s="35">
        <v>5.0596054580425385</v>
      </c>
      <c r="E1270" s="232">
        <v>46.29</v>
      </c>
      <c r="F1270" s="35">
        <v>5.0508495519210985</v>
      </c>
      <c r="G1270" s="232">
        <v>14188.3</v>
      </c>
      <c r="H1270" s="35">
        <v>9.2059502993357043</v>
      </c>
      <c r="I1270" s="232">
        <v>14106.62</v>
      </c>
      <c r="J1270" s="35">
        <v>7.5888150223636588</v>
      </c>
      <c r="K1270" s="232">
        <v>18164.21</v>
      </c>
      <c r="L1270" s="35">
        <v>8.7584962540080493</v>
      </c>
      <c r="M1270" s="232">
        <v>44369.57</v>
      </c>
      <c r="N1270" s="35">
        <v>7.7197568690537404</v>
      </c>
      <c r="P1270" s="232">
        <v>-25.2</v>
      </c>
      <c r="Q1270" s="35">
        <v>8.7559061214399492E-3</v>
      </c>
      <c r="R1270" s="232">
        <v>-81.680000000000007</v>
      </c>
      <c r="S1270" s="35">
        <v>1.6171352769720455</v>
      </c>
      <c r="T1270" s="232">
        <v>26205.360000000001</v>
      </c>
      <c r="U1270" s="35">
        <v>1.038739384954309</v>
      </c>
      <c r="W1270" s="35">
        <f t="shared" si="121"/>
        <v>462.99530607199745</v>
      </c>
      <c r="X1270" s="35">
        <f t="shared" si="122"/>
        <v>80938.44384860227</v>
      </c>
      <c r="Y1270" s="35">
        <f t="shared" si="123"/>
        <v>25731.609247715445</v>
      </c>
      <c r="Z1270" s="35">
        <f t="shared" si="124"/>
        <v>0</v>
      </c>
      <c r="AA1270" s="35">
        <f t="shared" si="125"/>
        <v>1</v>
      </c>
      <c r="AB1270" s="35">
        <f t="shared" si="126"/>
        <v>0</v>
      </c>
    </row>
    <row r="1271" spans="1:28">
      <c r="A1271" s="35">
        <v>1260</v>
      </c>
      <c r="B1271" s="35">
        <v>3.4025379614526896E-4</v>
      </c>
      <c r="C1271" s="232">
        <v>66.36</v>
      </c>
      <c r="D1271" s="35">
        <v>5.0556893187455367</v>
      </c>
      <c r="E1271" s="232">
        <v>49.1</v>
      </c>
      <c r="F1271" s="35">
        <v>5.050085385073948</v>
      </c>
      <c r="G1271" s="232">
        <v>13890.11</v>
      </c>
      <c r="H1271" s="35">
        <v>8.5820841009646234</v>
      </c>
      <c r="I1271" s="232">
        <v>13180.21</v>
      </c>
      <c r="J1271" s="35">
        <v>7.3440971908724428</v>
      </c>
      <c r="K1271" s="232">
        <v>22658.51</v>
      </c>
      <c r="L1271" s="35">
        <v>8.624066805599659</v>
      </c>
      <c r="M1271" s="232">
        <v>49124.93</v>
      </c>
      <c r="N1271" s="35">
        <v>7.5663142755038484</v>
      </c>
      <c r="P1271" s="232">
        <v>-17.27</v>
      </c>
      <c r="Q1271" s="35">
        <v>5.6039336715887345E-3</v>
      </c>
      <c r="R1271" s="232">
        <v>-709.9</v>
      </c>
      <c r="S1271" s="35">
        <v>1.2379869100921805</v>
      </c>
      <c r="T1271" s="232">
        <v>26466.42</v>
      </c>
      <c r="U1271" s="35">
        <v>1.0577525300958106</v>
      </c>
      <c r="W1271" s="35">
        <f t="shared" si="121"/>
        <v>297.46668357943668</v>
      </c>
      <c r="X1271" s="35">
        <f t="shared" si="122"/>
        <v>62609.245504609025</v>
      </c>
      <c r="Y1271" s="35">
        <f t="shared" si="123"/>
        <v>26421.206504790534</v>
      </c>
      <c r="Z1271" s="35">
        <f t="shared" si="124"/>
        <v>0</v>
      </c>
      <c r="AA1271" s="35">
        <f t="shared" si="125"/>
        <v>1</v>
      </c>
      <c r="AB1271" s="35">
        <f t="shared" si="126"/>
        <v>0</v>
      </c>
    </row>
    <row r="1272" spans="1:28">
      <c r="A1272" s="35">
        <v>1261</v>
      </c>
      <c r="B1272" s="35">
        <v>4.1309750544355622E-4</v>
      </c>
      <c r="C1272" s="232">
        <v>55.26</v>
      </c>
      <c r="D1272" s="35">
        <v>5.0584303005949547</v>
      </c>
      <c r="E1272" s="232">
        <v>33.340000000000003</v>
      </c>
      <c r="F1272" s="35">
        <v>5.0489330428946539</v>
      </c>
      <c r="G1272" s="232">
        <v>9707.26</v>
      </c>
      <c r="H1272" s="35">
        <v>8.3892521807695832</v>
      </c>
      <c r="I1272" s="232">
        <v>10183.709999999999</v>
      </c>
      <c r="J1272" s="35">
        <v>7.0728413035705282</v>
      </c>
      <c r="K1272" s="232">
        <v>13473</v>
      </c>
      <c r="L1272" s="35">
        <v>8.7007993371027084</v>
      </c>
      <c r="M1272" s="232">
        <v>39216.050000000003</v>
      </c>
      <c r="N1272" s="35">
        <v>7.5869973702527602</v>
      </c>
      <c r="P1272" s="232">
        <v>-21.93</v>
      </c>
      <c r="Q1272" s="35">
        <v>9.497257700300743E-3</v>
      </c>
      <c r="R1272" s="232">
        <v>476.45</v>
      </c>
      <c r="S1272" s="35">
        <v>1.316410877199055</v>
      </c>
      <c r="T1272" s="232">
        <v>25743.05</v>
      </c>
      <c r="U1272" s="35">
        <v>1.1138019668499481</v>
      </c>
      <c r="W1272" s="35">
        <f t="shared" si="121"/>
        <v>496.79288501503714</v>
      </c>
      <c r="X1272" s="35">
        <f t="shared" si="122"/>
        <v>65344.093859952758</v>
      </c>
      <c r="Y1272" s="35">
        <f t="shared" si="123"/>
        <v>29947.048342497405</v>
      </c>
      <c r="Z1272" s="35">
        <f t="shared" si="124"/>
        <v>0</v>
      </c>
      <c r="AA1272" s="35">
        <f t="shared" si="125"/>
        <v>1</v>
      </c>
      <c r="AB1272" s="35">
        <f t="shared" si="126"/>
        <v>0</v>
      </c>
    </row>
    <row r="1273" spans="1:28">
      <c r="A1273" s="35">
        <v>1262</v>
      </c>
      <c r="B1273" s="35">
        <v>4.4757724848321079E-4</v>
      </c>
      <c r="C1273" s="232">
        <v>48.69</v>
      </c>
      <c r="D1273" s="35">
        <v>5.0612299971165546</v>
      </c>
      <c r="E1273" s="232">
        <v>34.43</v>
      </c>
      <c r="F1273" s="35">
        <v>5.0526514953990436</v>
      </c>
      <c r="G1273" s="232">
        <v>8579.4</v>
      </c>
      <c r="H1273" s="35">
        <v>8.690801791459478</v>
      </c>
      <c r="I1273" s="232">
        <v>9878.68</v>
      </c>
      <c r="J1273" s="35">
        <v>7.2187900829116227</v>
      </c>
      <c r="K1273" s="232">
        <v>10528.87</v>
      </c>
      <c r="L1273" s="35">
        <v>8.5540917341102123</v>
      </c>
      <c r="M1273" s="232">
        <v>36112.589999999997</v>
      </c>
      <c r="N1273" s="35">
        <v>7.4182094604738156</v>
      </c>
      <c r="P1273" s="232">
        <v>-14.26</v>
      </c>
      <c r="Q1273" s="35">
        <v>8.5785017175110667E-3</v>
      </c>
      <c r="R1273" s="232">
        <v>1299.28</v>
      </c>
      <c r="S1273" s="35">
        <v>1.4720117085478552</v>
      </c>
      <c r="T1273" s="232">
        <v>25583.72</v>
      </c>
      <c r="U1273" s="35">
        <v>1.1358822736363967</v>
      </c>
      <c r="W1273" s="35">
        <f t="shared" si="121"/>
        <v>443.18508587555334</v>
      </c>
      <c r="X1273" s="35">
        <f t="shared" si="122"/>
        <v>72301.30542739277</v>
      </c>
      <c r="Y1273" s="35">
        <f t="shared" si="123"/>
        <v>31210.393681819834</v>
      </c>
      <c r="Z1273" s="35">
        <f t="shared" si="124"/>
        <v>0</v>
      </c>
      <c r="AA1273" s="35">
        <f t="shared" si="125"/>
        <v>1</v>
      </c>
      <c r="AB1273" s="35">
        <f t="shared" si="126"/>
        <v>0</v>
      </c>
    </row>
    <row r="1274" spans="1:28">
      <c r="A1274" s="35">
        <v>1263</v>
      </c>
      <c r="B1274" s="35">
        <v>4.6258464483528439E-4</v>
      </c>
      <c r="C1274" s="232">
        <v>60.45</v>
      </c>
      <c r="D1274" s="35">
        <v>5.0622432613688249</v>
      </c>
      <c r="E1274" s="232">
        <v>37.21</v>
      </c>
      <c r="F1274" s="35">
        <v>5.0514191574485521</v>
      </c>
      <c r="G1274" s="232">
        <v>10266.14</v>
      </c>
      <c r="H1274" s="35">
        <v>8.7413873794710639</v>
      </c>
      <c r="I1274" s="232">
        <v>11682.17</v>
      </c>
      <c r="J1274" s="35">
        <v>7.6184092092878775</v>
      </c>
      <c r="K1274" s="232">
        <v>12507.18</v>
      </c>
      <c r="L1274" s="35">
        <v>8.8404108876378551</v>
      </c>
      <c r="M1274" s="232">
        <v>38459</v>
      </c>
      <c r="N1274" s="35">
        <v>7.7992265493821886</v>
      </c>
      <c r="P1274" s="232">
        <v>-23.24</v>
      </c>
      <c r="Q1274" s="35">
        <v>1.0824103920272776E-2</v>
      </c>
      <c r="R1274" s="232">
        <v>1416.03</v>
      </c>
      <c r="S1274" s="35">
        <v>1.1229781701831865</v>
      </c>
      <c r="T1274" s="232">
        <v>25951.83</v>
      </c>
      <c r="U1274" s="35">
        <v>1.0411843382556665</v>
      </c>
      <c r="W1274" s="35">
        <f t="shared" si="121"/>
        <v>564.44519601363879</v>
      </c>
      <c r="X1274" s="35">
        <f t="shared" si="122"/>
        <v>54732.878509159324</v>
      </c>
      <c r="Y1274" s="35">
        <f t="shared" si="123"/>
        <v>26107.386912783324</v>
      </c>
      <c r="Z1274" s="35">
        <f t="shared" si="124"/>
        <v>0</v>
      </c>
      <c r="AA1274" s="35">
        <f t="shared" si="125"/>
        <v>1</v>
      </c>
      <c r="AB1274" s="35">
        <f t="shared" si="126"/>
        <v>0</v>
      </c>
    </row>
    <row r="1275" spans="1:28">
      <c r="A1275" s="35">
        <v>1264</v>
      </c>
      <c r="B1275" s="35">
        <v>4.0628799604443337E-4</v>
      </c>
      <c r="C1275" s="232">
        <v>60.95</v>
      </c>
      <c r="D1275" s="35">
        <v>5.0578809952170412</v>
      </c>
      <c r="E1275" s="232">
        <v>36.880000000000003</v>
      </c>
      <c r="F1275" s="35">
        <v>5.0487997028203058</v>
      </c>
      <c r="G1275" s="232">
        <v>11399.53</v>
      </c>
      <c r="H1275" s="35">
        <v>8.4950770117432022</v>
      </c>
      <c r="I1275" s="232">
        <v>13692.72</v>
      </c>
      <c r="J1275" s="35">
        <v>8.5513801836066001</v>
      </c>
      <c r="K1275" s="232">
        <v>14895.7</v>
      </c>
      <c r="L1275" s="35">
        <v>8.3403095224329338</v>
      </c>
      <c r="M1275" s="232">
        <v>40970.83</v>
      </c>
      <c r="N1275" s="35">
        <v>7.2891342097000456</v>
      </c>
      <c r="P1275" s="232">
        <v>-24.07</v>
      </c>
      <c r="Q1275" s="35">
        <v>9.0812923967353854E-3</v>
      </c>
      <c r="R1275" s="232">
        <v>2293.19</v>
      </c>
      <c r="S1275" s="35">
        <v>-5.6303171863397949E-2</v>
      </c>
      <c r="T1275" s="232">
        <v>26075.13</v>
      </c>
      <c r="U1275" s="35">
        <v>1.0511753127328882</v>
      </c>
      <c r="W1275" s="35">
        <f t="shared" si="121"/>
        <v>478.13461983676928</v>
      </c>
      <c r="X1275" s="35">
        <f t="shared" si="122"/>
        <v>-5108.3485931698979</v>
      </c>
      <c r="Y1275" s="35">
        <f t="shared" si="123"/>
        <v>26483.635636644412</v>
      </c>
      <c r="Z1275" s="35">
        <f t="shared" si="124"/>
        <v>0</v>
      </c>
      <c r="AA1275" s="35">
        <f t="shared" si="125"/>
        <v>0</v>
      </c>
      <c r="AB1275" s="35">
        <f t="shared" si="126"/>
        <v>1</v>
      </c>
    </row>
    <row r="1276" spans="1:28">
      <c r="A1276" s="35">
        <v>1265</v>
      </c>
      <c r="B1276" s="35">
        <v>5.1262986633204832E-4</v>
      </c>
      <c r="C1276" s="232">
        <v>71.87</v>
      </c>
      <c r="D1276" s="35">
        <v>5.0665387652755323</v>
      </c>
      <c r="E1276" s="232">
        <v>53.6</v>
      </c>
      <c r="F1276" s="35">
        <v>5.0578043752966995</v>
      </c>
      <c r="G1276" s="232">
        <v>10480</v>
      </c>
      <c r="H1276" s="35">
        <v>9.0665348386237241</v>
      </c>
      <c r="I1276" s="232">
        <v>12223.1</v>
      </c>
      <c r="J1276" s="35">
        <v>8.6999816972754367</v>
      </c>
      <c r="K1276" s="232">
        <v>14950.56</v>
      </c>
      <c r="L1276" s="35">
        <v>8.6773879595786028</v>
      </c>
      <c r="M1276" s="232">
        <v>41098.21</v>
      </c>
      <c r="N1276" s="35">
        <v>7.5743207494629043</v>
      </c>
      <c r="P1276" s="232">
        <v>-18.27</v>
      </c>
      <c r="Q1276" s="35">
        <v>8.7343899788328017E-3</v>
      </c>
      <c r="R1276" s="232">
        <v>1743.1</v>
      </c>
      <c r="S1276" s="35">
        <v>0.36655314134828743</v>
      </c>
      <c r="T1276" s="232">
        <v>26147.65</v>
      </c>
      <c r="U1276" s="35">
        <v>1.1030672101156984</v>
      </c>
      <c r="W1276" s="35">
        <f t="shared" si="121"/>
        <v>454.98949894164008</v>
      </c>
      <c r="X1276" s="35">
        <f t="shared" si="122"/>
        <v>16584.557067414371</v>
      </c>
      <c r="Y1276" s="35">
        <f t="shared" si="123"/>
        <v>29005.710505784918</v>
      </c>
      <c r="Z1276" s="35">
        <f t="shared" si="124"/>
        <v>0</v>
      </c>
      <c r="AA1276" s="35">
        <f t="shared" si="125"/>
        <v>0</v>
      </c>
      <c r="AB1276" s="35">
        <f t="shared" si="126"/>
        <v>1</v>
      </c>
    </row>
    <row r="1277" spans="1:28">
      <c r="A1277" s="35">
        <v>1266</v>
      </c>
      <c r="B1277" s="35">
        <v>4.2556484445132421E-4</v>
      </c>
      <c r="C1277" s="232">
        <v>68.47</v>
      </c>
      <c r="D1277" s="35">
        <v>5.0594107598418692</v>
      </c>
      <c r="E1277" s="232">
        <v>45.47</v>
      </c>
      <c r="F1277" s="35">
        <v>5.0510425836245902</v>
      </c>
      <c r="G1277" s="232">
        <v>11654.85</v>
      </c>
      <c r="H1277" s="35">
        <v>8.4095932572108012</v>
      </c>
      <c r="I1277" s="232">
        <v>13001.58</v>
      </c>
      <c r="J1277" s="35">
        <v>7.9124302223875</v>
      </c>
      <c r="K1277" s="232">
        <v>18497.669999999998</v>
      </c>
      <c r="L1277" s="35">
        <v>8.5806993870181483</v>
      </c>
      <c r="M1277" s="232">
        <v>44831.45</v>
      </c>
      <c r="N1277" s="35">
        <v>7.3869401219962487</v>
      </c>
      <c r="P1277" s="232">
        <v>-23</v>
      </c>
      <c r="Q1277" s="35">
        <v>8.368176217278922E-3</v>
      </c>
      <c r="R1277" s="232">
        <v>1346.74</v>
      </c>
      <c r="S1277" s="35">
        <v>0.49716303482330115</v>
      </c>
      <c r="T1277" s="232">
        <v>26333.78</v>
      </c>
      <c r="U1277" s="35">
        <v>1.1937592650218996</v>
      </c>
      <c r="W1277" s="35">
        <f t="shared" si="121"/>
        <v>441.40881086394609</v>
      </c>
      <c r="X1277" s="35">
        <f t="shared" si="122"/>
        <v>23511.411741165055</v>
      </c>
      <c r="Y1277" s="35">
        <f t="shared" si="123"/>
        <v>33354.183251094975</v>
      </c>
      <c r="Z1277" s="35">
        <f t="shared" si="124"/>
        <v>0</v>
      </c>
      <c r="AA1277" s="35">
        <f t="shared" si="125"/>
        <v>0</v>
      </c>
      <c r="AB1277" s="35">
        <f t="shared" si="126"/>
        <v>1</v>
      </c>
    </row>
    <row r="1278" spans="1:28">
      <c r="A1278" s="35">
        <v>1267</v>
      </c>
      <c r="B1278" s="35">
        <v>5.4099647170180454E-4</v>
      </c>
      <c r="C1278" s="232">
        <v>71.14</v>
      </c>
      <c r="D1278" s="35">
        <v>5.0636283782498452</v>
      </c>
      <c r="E1278" s="232">
        <v>46.15</v>
      </c>
      <c r="F1278" s="35">
        <v>5.0532725824441531</v>
      </c>
      <c r="G1278" s="232">
        <v>9453.06</v>
      </c>
      <c r="H1278" s="35">
        <v>8.1107597053828187</v>
      </c>
      <c r="I1278" s="232">
        <v>10829.37</v>
      </c>
      <c r="J1278" s="35">
        <v>7.3993567135031908</v>
      </c>
      <c r="K1278" s="232">
        <v>13069.26</v>
      </c>
      <c r="L1278" s="35">
        <v>8.5028189741800055</v>
      </c>
      <c r="M1278" s="232">
        <v>39206.42</v>
      </c>
      <c r="N1278" s="35">
        <v>7.3629632947219958</v>
      </c>
      <c r="P1278" s="232">
        <v>-24.99</v>
      </c>
      <c r="Q1278" s="35">
        <v>1.0355795805692125E-2</v>
      </c>
      <c r="R1278" s="232">
        <v>1376.31</v>
      </c>
      <c r="S1278" s="35">
        <v>0.71140299187962786</v>
      </c>
      <c r="T1278" s="232">
        <v>26137.16</v>
      </c>
      <c r="U1278" s="35">
        <v>1.1398556794580097</v>
      </c>
      <c r="W1278" s="35">
        <f t="shared" si="121"/>
        <v>542.77979028460629</v>
      </c>
      <c r="X1278" s="35">
        <f t="shared" si="122"/>
        <v>34193.839593981393</v>
      </c>
      <c r="Y1278" s="35">
        <f t="shared" si="123"/>
        <v>30855.623972900485</v>
      </c>
      <c r="Z1278" s="35">
        <f t="shared" si="124"/>
        <v>0</v>
      </c>
      <c r="AA1278" s="35">
        <f t="shared" si="125"/>
        <v>1</v>
      </c>
      <c r="AB1278" s="35">
        <f t="shared" si="126"/>
        <v>0</v>
      </c>
    </row>
    <row r="1279" spans="1:28">
      <c r="A1279" s="35">
        <v>1268</v>
      </c>
      <c r="B1279" s="35">
        <v>4.4309626583255023E-4</v>
      </c>
      <c r="C1279" s="232">
        <v>60.04</v>
      </c>
      <c r="D1279" s="35">
        <v>5.0617718974252348</v>
      </c>
      <c r="E1279" s="232">
        <v>39.369999999999997</v>
      </c>
      <c r="F1279" s="35">
        <v>5.0521066345404071</v>
      </c>
      <c r="G1279" s="232">
        <v>10066.049999999999</v>
      </c>
      <c r="H1279" s="35">
        <v>8.9062825445371434</v>
      </c>
      <c r="I1279" s="232">
        <v>11461.23</v>
      </c>
      <c r="J1279" s="35">
        <v>8.0987437162422395</v>
      </c>
      <c r="K1279" s="232">
        <v>12355.79</v>
      </c>
      <c r="L1279" s="35">
        <v>8.5824578428032776</v>
      </c>
      <c r="M1279" s="232">
        <v>38331.56</v>
      </c>
      <c r="N1279" s="35">
        <v>7.4003383628565498</v>
      </c>
      <c r="P1279" s="232">
        <v>-20.67</v>
      </c>
      <c r="Q1279" s="35">
        <v>9.6652628848277189E-3</v>
      </c>
      <c r="R1279" s="232">
        <v>1395.18</v>
      </c>
      <c r="S1279" s="35">
        <v>0.80753882829490387</v>
      </c>
      <c r="T1279" s="232">
        <v>25975.77</v>
      </c>
      <c r="U1279" s="35">
        <v>1.1821194799467278</v>
      </c>
      <c r="W1279" s="35">
        <f t="shared" si="121"/>
        <v>503.93314424138595</v>
      </c>
      <c r="X1279" s="35">
        <f t="shared" si="122"/>
        <v>38981.76141474519</v>
      </c>
      <c r="Y1279" s="35">
        <f t="shared" si="123"/>
        <v>33130.203997336386</v>
      </c>
      <c r="Z1279" s="35">
        <f t="shared" si="124"/>
        <v>0</v>
      </c>
      <c r="AA1279" s="35">
        <f t="shared" si="125"/>
        <v>1</v>
      </c>
      <c r="AB1279" s="35">
        <f t="shared" si="126"/>
        <v>0</v>
      </c>
    </row>
    <row r="1280" spans="1:28">
      <c r="A1280" s="35">
        <v>1269</v>
      </c>
      <c r="B1280" s="35">
        <v>4.2978610144420615E-4</v>
      </c>
      <c r="C1280" s="232">
        <v>73.66</v>
      </c>
      <c r="D1280" s="35">
        <v>5.0606733150386258</v>
      </c>
      <c r="E1280" s="232">
        <v>45.1</v>
      </c>
      <c r="F1280" s="35">
        <v>5.0507191619228893</v>
      </c>
      <c r="G1280" s="232">
        <v>13058.83</v>
      </c>
      <c r="H1280" s="35">
        <v>8.8146257245841468</v>
      </c>
      <c r="I1280" s="232">
        <v>14470.32</v>
      </c>
      <c r="J1280" s="35">
        <v>8.2846038825439621</v>
      </c>
      <c r="K1280" s="232">
        <v>18469.86</v>
      </c>
      <c r="L1280" s="35">
        <v>8.658911520617357</v>
      </c>
      <c r="M1280" s="232">
        <v>44718.81</v>
      </c>
      <c r="N1280" s="35">
        <v>7.5219510215937309</v>
      </c>
      <c r="P1280" s="232">
        <v>-28.56</v>
      </c>
      <c r="Q1280" s="35">
        <v>9.9541531157365526E-3</v>
      </c>
      <c r="R1280" s="232">
        <v>1411.49</v>
      </c>
      <c r="S1280" s="35">
        <v>0.53002184204018477</v>
      </c>
      <c r="T1280" s="232">
        <v>26248.95</v>
      </c>
      <c r="U1280" s="35">
        <v>1.1369604990236262</v>
      </c>
      <c r="W1280" s="35">
        <f t="shared" si="121"/>
        <v>526.26765578682762</v>
      </c>
      <c r="X1280" s="35">
        <f t="shared" si="122"/>
        <v>25089.602102009238</v>
      </c>
      <c r="Y1280" s="35">
        <f t="shared" si="123"/>
        <v>30599.074951181308</v>
      </c>
      <c r="Z1280" s="35">
        <f t="shared" si="124"/>
        <v>0</v>
      </c>
      <c r="AA1280" s="35">
        <f t="shared" si="125"/>
        <v>0</v>
      </c>
      <c r="AB1280" s="35">
        <f t="shared" si="126"/>
        <v>1</v>
      </c>
    </row>
    <row r="1281" spans="1:28">
      <c r="A1281" s="35">
        <v>1270</v>
      </c>
      <c r="B1281" s="35">
        <v>5.0808292782689168E-4</v>
      </c>
      <c r="C1281" s="232">
        <v>62.34</v>
      </c>
      <c r="D1281" s="35">
        <v>5.0670072748594244</v>
      </c>
      <c r="E1281" s="232">
        <v>44.11</v>
      </c>
      <c r="F1281" s="35">
        <v>5.056789151833776</v>
      </c>
      <c r="G1281" s="232">
        <v>9202.81</v>
      </c>
      <c r="H1281" s="35">
        <v>9.2456013750858084</v>
      </c>
      <c r="I1281" s="232">
        <v>11289.29</v>
      </c>
      <c r="J1281" s="35">
        <v>8.9440850489763637</v>
      </c>
      <c r="K1281" s="232">
        <v>8850.4599999999991</v>
      </c>
      <c r="L1281" s="35">
        <v>8.8994115787000769</v>
      </c>
      <c r="M1281" s="232">
        <v>34628.080000000002</v>
      </c>
      <c r="N1281" s="35">
        <v>7.842770671797668</v>
      </c>
      <c r="P1281" s="232">
        <v>-18.239999999999998</v>
      </c>
      <c r="Q1281" s="35">
        <v>1.0218123025648396E-2</v>
      </c>
      <c r="R1281" s="232">
        <v>2086.48</v>
      </c>
      <c r="S1281" s="35">
        <v>0.30151632610944468</v>
      </c>
      <c r="T1281" s="232">
        <v>25777.61</v>
      </c>
      <c r="U1281" s="35">
        <v>1.056640906902409</v>
      </c>
      <c r="W1281" s="35">
        <f t="shared" si="121"/>
        <v>529.14615128241974</v>
      </c>
      <c r="X1281" s="35">
        <f t="shared" si="122"/>
        <v>12989.336305472234</v>
      </c>
      <c r="Y1281" s="35">
        <f t="shared" si="123"/>
        <v>27054.435345120452</v>
      </c>
      <c r="Z1281" s="35">
        <f t="shared" si="124"/>
        <v>0</v>
      </c>
      <c r="AA1281" s="35">
        <f t="shared" si="125"/>
        <v>0</v>
      </c>
      <c r="AB1281" s="35">
        <f t="shared" si="126"/>
        <v>1</v>
      </c>
    </row>
    <row r="1282" spans="1:28">
      <c r="A1282" s="35">
        <v>1271</v>
      </c>
      <c r="B1282" s="35">
        <v>5.0563920253154926E-4</v>
      </c>
      <c r="C1282" s="232">
        <v>72.86</v>
      </c>
      <c r="D1282" s="35">
        <v>5.0649829040769063</v>
      </c>
      <c r="E1282" s="232">
        <v>47.77</v>
      </c>
      <c r="F1282" s="35">
        <v>5.0543042555694724</v>
      </c>
      <c r="G1282" s="232">
        <v>10998.97</v>
      </c>
      <c r="H1282" s="35">
        <v>8.8500032427234689</v>
      </c>
      <c r="I1282" s="232">
        <v>11958.76</v>
      </c>
      <c r="J1282" s="35">
        <v>7.3529695308159804</v>
      </c>
      <c r="K1282" s="232">
        <v>12984.96</v>
      </c>
      <c r="L1282" s="35">
        <v>8.8259451759771093</v>
      </c>
      <c r="M1282" s="232">
        <v>39046.160000000003</v>
      </c>
      <c r="N1282" s="35">
        <v>7.8234655965148683</v>
      </c>
      <c r="P1282" s="232">
        <v>-25.09</v>
      </c>
      <c r="Q1282" s="35">
        <v>1.0678648507433941E-2</v>
      </c>
      <c r="R1282" s="232">
        <v>959.79</v>
      </c>
      <c r="S1282" s="35">
        <v>1.4970337119074886</v>
      </c>
      <c r="T1282" s="232">
        <v>26061.200000000001</v>
      </c>
      <c r="U1282" s="35">
        <v>1.002479579462241</v>
      </c>
      <c r="W1282" s="35">
        <f t="shared" si="121"/>
        <v>559.02242537169707</v>
      </c>
      <c r="X1282" s="35">
        <f t="shared" si="122"/>
        <v>73891.89559537443</v>
      </c>
      <c r="Y1282" s="35">
        <f t="shared" si="123"/>
        <v>24062.778973112047</v>
      </c>
      <c r="Z1282" s="35">
        <f t="shared" si="124"/>
        <v>0</v>
      </c>
      <c r="AA1282" s="35">
        <f t="shared" si="125"/>
        <v>1</v>
      </c>
      <c r="AB1282" s="35">
        <f t="shared" si="126"/>
        <v>0</v>
      </c>
    </row>
    <row r="1283" spans="1:28">
      <c r="A1283" s="35">
        <v>1272</v>
      </c>
      <c r="B1283" s="35">
        <v>4.399337599906269E-4</v>
      </c>
      <c r="C1283" s="232">
        <v>89.02</v>
      </c>
      <c r="D1283" s="35">
        <v>5.0599416919036866</v>
      </c>
      <c r="E1283" s="232">
        <v>44.66</v>
      </c>
      <c r="F1283" s="35">
        <v>5.048062164280859</v>
      </c>
      <c r="G1283" s="232">
        <v>15791.84</v>
      </c>
      <c r="H1283" s="35">
        <v>8.7091361629643647</v>
      </c>
      <c r="I1283" s="232">
        <v>18041.3</v>
      </c>
      <c r="J1283" s="35">
        <v>8.7231460070376166</v>
      </c>
      <c r="K1283" s="232">
        <v>21073.13</v>
      </c>
      <c r="L1283" s="35">
        <v>8.3901921329564431</v>
      </c>
      <c r="M1283" s="232">
        <v>47433.34</v>
      </c>
      <c r="N1283" s="35">
        <v>7.2554675268172835</v>
      </c>
      <c r="P1283" s="232">
        <v>-44.36</v>
      </c>
      <c r="Q1283" s="35">
        <v>1.1879527622827624E-2</v>
      </c>
      <c r="R1283" s="232">
        <v>2249.46</v>
      </c>
      <c r="S1283" s="35">
        <v>-1.4009844073251898E-2</v>
      </c>
      <c r="T1283" s="232">
        <v>26360.21</v>
      </c>
      <c r="U1283" s="35">
        <v>1.1347246061391596</v>
      </c>
      <c r="W1283" s="35">
        <f t="shared" si="121"/>
        <v>638.33638114138114</v>
      </c>
      <c r="X1283" s="35">
        <f t="shared" si="122"/>
        <v>-2949.9522036625949</v>
      </c>
      <c r="Y1283" s="35">
        <f t="shared" si="123"/>
        <v>30376.02030695798</v>
      </c>
      <c r="Z1283" s="35">
        <f t="shared" si="124"/>
        <v>0</v>
      </c>
      <c r="AA1283" s="35">
        <f t="shared" si="125"/>
        <v>0</v>
      </c>
      <c r="AB1283" s="35">
        <f t="shared" si="126"/>
        <v>1</v>
      </c>
    </row>
    <row r="1284" spans="1:28">
      <c r="A1284" s="35">
        <v>1273</v>
      </c>
      <c r="B1284" s="35">
        <v>5.2572850335919075E-4</v>
      </c>
      <c r="C1284" s="232">
        <v>88.88</v>
      </c>
      <c r="D1284" s="35">
        <v>5.0669171403936852</v>
      </c>
      <c r="E1284" s="232">
        <v>62.58</v>
      </c>
      <c r="F1284" s="35">
        <v>5.057140495005882</v>
      </c>
      <c r="G1284" s="232">
        <v>12717.62</v>
      </c>
      <c r="H1284" s="35">
        <v>8.9315532106989295</v>
      </c>
      <c r="I1284" s="232">
        <v>14396.36</v>
      </c>
      <c r="J1284" s="35">
        <v>8.4064816966149696</v>
      </c>
      <c r="K1284" s="232">
        <v>15266.8</v>
      </c>
      <c r="L1284" s="35">
        <v>8.8587928914445389</v>
      </c>
      <c r="M1284" s="232">
        <v>41390.06</v>
      </c>
      <c r="N1284" s="35">
        <v>7.7511507432614906</v>
      </c>
      <c r="P1284" s="232">
        <v>-26.3</v>
      </c>
      <c r="Q1284" s="35">
        <v>9.7766453878032067E-3</v>
      </c>
      <c r="R1284" s="232">
        <v>1678.74</v>
      </c>
      <c r="S1284" s="35">
        <v>0.52507151408395991</v>
      </c>
      <c r="T1284" s="232">
        <v>26123.26</v>
      </c>
      <c r="U1284" s="35">
        <v>1.1076421481830483</v>
      </c>
      <c r="W1284" s="35">
        <f t="shared" si="121"/>
        <v>515.13226939016033</v>
      </c>
      <c r="X1284" s="35">
        <f t="shared" si="122"/>
        <v>24574.835704197994</v>
      </c>
      <c r="Y1284" s="35">
        <f t="shared" si="123"/>
        <v>29258.847409152415</v>
      </c>
      <c r="Z1284" s="35">
        <f t="shared" si="124"/>
        <v>0</v>
      </c>
      <c r="AA1284" s="35">
        <f t="shared" si="125"/>
        <v>0</v>
      </c>
      <c r="AB1284" s="35">
        <f t="shared" si="126"/>
        <v>1</v>
      </c>
    </row>
    <row r="1285" spans="1:28">
      <c r="A1285" s="35">
        <v>1274</v>
      </c>
      <c r="B1285" s="35">
        <v>6.224911765249086E-4</v>
      </c>
      <c r="C1285" s="232">
        <v>84.99</v>
      </c>
      <c r="D1285" s="35">
        <v>5.0692123148627548</v>
      </c>
      <c r="E1285" s="232">
        <v>51.28</v>
      </c>
      <c r="F1285" s="35">
        <v>5.0554483640113652</v>
      </c>
      <c r="G1285" s="232">
        <v>10887.96</v>
      </c>
      <c r="H1285" s="35">
        <v>8.4847565260572377</v>
      </c>
      <c r="I1285" s="232">
        <v>12613.17</v>
      </c>
      <c r="J1285" s="35">
        <v>7.712864677749808</v>
      </c>
      <c r="K1285" s="232">
        <v>13206.74</v>
      </c>
      <c r="L1285" s="35">
        <v>8.6231224394601966</v>
      </c>
      <c r="M1285" s="232">
        <v>39255.47</v>
      </c>
      <c r="N1285" s="35">
        <v>7.478761561309204</v>
      </c>
      <c r="P1285" s="232">
        <v>-33.72</v>
      </c>
      <c r="Q1285" s="35">
        <v>1.3763950851389595E-2</v>
      </c>
      <c r="R1285" s="232">
        <v>1725.21</v>
      </c>
      <c r="S1285" s="35">
        <v>0.77189184830742974</v>
      </c>
      <c r="T1285" s="232">
        <v>26048.73</v>
      </c>
      <c r="U1285" s="35">
        <v>1.1443608781509926</v>
      </c>
      <c r="W1285" s="35">
        <f t="shared" si="121"/>
        <v>721.91754256947979</v>
      </c>
      <c r="X1285" s="35">
        <f t="shared" si="122"/>
        <v>36869.382415371489</v>
      </c>
      <c r="Y1285" s="35">
        <f t="shared" si="123"/>
        <v>31169.313907549633</v>
      </c>
      <c r="Z1285" s="35">
        <f t="shared" si="124"/>
        <v>0</v>
      </c>
      <c r="AA1285" s="35">
        <f t="shared" si="125"/>
        <v>1</v>
      </c>
      <c r="AB1285" s="35">
        <f t="shared" si="126"/>
        <v>0</v>
      </c>
    </row>
    <row r="1286" spans="1:28">
      <c r="A1286" s="35">
        <v>1275</v>
      </c>
      <c r="B1286" s="35">
        <v>4.8753127906286942E-4</v>
      </c>
      <c r="C1286" s="232">
        <v>65.53</v>
      </c>
      <c r="D1286" s="35">
        <v>5.0632498253393479</v>
      </c>
      <c r="E1286" s="232">
        <v>41.34</v>
      </c>
      <c r="F1286" s="35">
        <v>5.0524842048638554</v>
      </c>
      <c r="G1286" s="232">
        <v>11092.52</v>
      </c>
      <c r="H1286" s="35">
        <v>8.8718181475265645</v>
      </c>
      <c r="I1286" s="232">
        <v>13178.17</v>
      </c>
      <c r="J1286" s="35">
        <v>7.8861629672962161</v>
      </c>
      <c r="K1286" s="232">
        <v>11085.87</v>
      </c>
      <c r="L1286" s="35">
        <v>8.500494228871327</v>
      </c>
      <c r="M1286" s="232">
        <v>36887.06</v>
      </c>
      <c r="N1286" s="35">
        <v>7.4838442887747751</v>
      </c>
      <c r="P1286" s="232">
        <v>-24.19</v>
      </c>
      <c r="Q1286" s="35">
        <v>1.0765620475492454E-2</v>
      </c>
      <c r="R1286" s="232">
        <v>2085.65</v>
      </c>
      <c r="S1286" s="35">
        <v>0.98565518023034837</v>
      </c>
      <c r="T1286" s="232">
        <v>25801.19</v>
      </c>
      <c r="U1286" s="35">
        <v>1.0166499400965519</v>
      </c>
      <c r="W1286" s="35">
        <f t="shared" si="121"/>
        <v>562.47102377462284</v>
      </c>
      <c r="X1286" s="35">
        <f t="shared" si="122"/>
        <v>47197.109011517416</v>
      </c>
      <c r="Y1286" s="35">
        <f t="shared" si="123"/>
        <v>25031.307004827595</v>
      </c>
      <c r="Z1286" s="35">
        <f t="shared" si="124"/>
        <v>0</v>
      </c>
      <c r="AA1286" s="35">
        <f t="shared" si="125"/>
        <v>1</v>
      </c>
      <c r="AB1286" s="35">
        <f t="shared" si="126"/>
        <v>0</v>
      </c>
    </row>
    <row r="1287" spans="1:28">
      <c r="A1287" s="35">
        <v>1276</v>
      </c>
      <c r="B1287" s="35">
        <v>5.0049687062225789E-4</v>
      </c>
      <c r="C1287" s="232">
        <v>59.91</v>
      </c>
      <c r="D1287" s="35">
        <v>5.0652201968698556</v>
      </c>
      <c r="E1287" s="232">
        <v>39.159999999999997</v>
      </c>
      <c r="F1287" s="35">
        <v>5.0540971944520869</v>
      </c>
      <c r="G1287" s="232">
        <v>9406.98</v>
      </c>
      <c r="H1287" s="35">
        <v>8.9707985822787197</v>
      </c>
      <c r="I1287" s="232">
        <v>10987.47</v>
      </c>
      <c r="J1287" s="35">
        <v>7.8041534270274013</v>
      </c>
      <c r="K1287" s="232">
        <v>10784.62</v>
      </c>
      <c r="L1287" s="35">
        <v>8.7015871649342653</v>
      </c>
      <c r="M1287" s="232">
        <v>36720.86</v>
      </c>
      <c r="N1287" s="35">
        <v>7.5179361226570087</v>
      </c>
      <c r="P1287" s="232">
        <v>-20.75</v>
      </c>
      <c r="Q1287" s="35">
        <v>1.1123002417768646E-2</v>
      </c>
      <c r="R1287" s="232">
        <v>1580.49</v>
      </c>
      <c r="S1287" s="35">
        <v>1.1666451552513184</v>
      </c>
      <c r="T1287" s="232">
        <v>25936.23</v>
      </c>
      <c r="U1287" s="35">
        <v>1.1836510422772566</v>
      </c>
      <c r="W1287" s="35">
        <f t="shared" si="121"/>
        <v>576.9001208884323</v>
      </c>
      <c r="X1287" s="35">
        <f t="shared" si="122"/>
        <v>56751.76776256592</v>
      </c>
      <c r="Y1287" s="35">
        <f t="shared" si="123"/>
        <v>33246.322113862829</v>
      </c>
      <c r="Z1287" s="35">
        <f t="shared" si="124"/>
        <v>0</v>
      </c>
      <c r="AA1287" s="35">
        <f t="shared" si="125"/>
        <v>1</v>
      </c>
      <c r="AB1287" s="35">
        <f t="shared" si="126"/>
        <v>0</v>
      </c>
    </row>
    <row r="1288" spans="1:28">
      <c r="A1288" s="35">
        <v>1277</v>
      </c>
      <c r="B1288" s="35">
        <v>5.2425754560314619E-4</v>
      </c>
      <c r="C1288" s="232">
        <v>62.56</v>
      </c>
      <c r="D1288" s="35">
        <v>5.0641901705149097</v>
      </c>
      <c r="E1288" s="232">
        <v>38.159999999999997</v>
      </c>
      <c r="F1288" s="35">
        <v>5.0524070533628356</v>
      </c>
      <c r="G1288" s="232">
        <v>9706.9599999999991</v>
      </c>
      <c r="H1288" s="35">
        <v>8.3538635690616232</v>
      </c>
      <c r="I1288" s="232">
        <v>11653.57</v>
      </c>
      <c r="J1288" s="35">
        <v>6.9967036061594809</v>
      </c>
      <c r="K1288" s="232">
        <v>9645.52</v>
      </c>
      <c r="L1288" s="35">
        <v>8.7377568338480494</v>
      </c>
      <c r="M1288" s="232">
        <v>35216.379999999997</v>
      </c>
      <c r="N1288" s="35">
        <v>7.6047329761342297</v>
      </c>
      <c r="P1288" s="232">
        <v>-24.4</v>
      </c>
      <c r="Q1288" s="35">
        <v>1.1783117152074141E-2</v>
      </c>
      <c r="R1288" s="232">
        <v>1946.61</v>
      </c>
      <c r="S1288" s="35">
        <v>1.3571599629021422</v>
      </c>
      <c r="T1288" s="232">
        <v>25570.86</v>
      </c>
      <c r="U1288" s="35">
        <v>1.1330238577138196</v>
      </c>
      <c r="W1288" s="35">
        <f t="shared" si="121"/>
        <v>613.55585760370707</v>
      </c>
      <c r="X1288" s="35">
        <f t="shared" si="122"/>
        <v>65911.388145107107</v>
      </c>
      <c r="Y1288" s="35">
        <f t="shared" si="123"/>
        <v>31080.332885690979</v>
      </c>
      <c r="Z1288" s="35">
        <f t="shared" si="124"/>
        <v>0</v>
      </c>
      <c r="AA1288" s="35">
        <f t="shared" si="125"/>
        <v>1</v>
      </c>
      <c r="AB1288" s="35">
        <f t="shared" si="126"/>
        <v>0</v>
      </c>
    </row>
    <row r="1289" spans="1:28">
      <c r="A1289" s="35">
        <v>1278</v>
      </c>
      <c r="B1289" s="35">
        <v>5.2457801493743794E-4</v>
      </c>
      <c r="C1289" s="232">
        <v>72.19</v>
      </c>
      <c r="D1289" s="35">
        <v>5.0644334570918241</v>
      </c>
      <c r="E1289" s="232">
        <v>46.04</v>
      </c>
      <c r="F1289" s="35">
        <v>5.0534826426660295</v>
      </c>
      <c r="G1289" s="232">
        <v>11140.44</v>
      </c>
      <c r="H1289" s="35">
        <v>8.3432168860430025</v>
      </c>
      <c r="I1289" s="232">
        <v>12881.36</v>
      </c>
      <c r="J1289" s="35">
        <v>7.404720854677298</v>
      </c>
      <c r="K1289" s="232">
        <v>13398.58</v>
      </c>
      <c r="L1289" s="35">
        <v>8.877152238623637</v>
      </c>
      <c r="M1289" s="232">
        <v>39284.089999999997</v>
      </c>
      <c r="N1289" s="35">
        <v>7.8053925238633646</v>
      </c>
      <c r="P1289" s="232">
        <v>-26.15</v>
      </c>
      <c r="Q1289" s="35">
        <v>1.0950814425794597E-2</v>
      </c>
      <c r="R1289" s="232">
        <v>1740.92</v>
      </c>
      <c r="S1289" s="35">
        <v>0.93849603136570448</v>
      </c>
      <c r="T1289" s="232">
        <v>25885.51</v>
      </c>
      <c r="U1289" s="35">
        <v>1.0717597147602724</v>
      </c>
      <c r="W1289" s="35">
        <f t="shared" si="121"/>
        <v>573.69072128972982</v>
      </c>
      <c r="X1289" s="35">
        <f t="shared" si="122"/>
        <v>45183.881568285222</v>
      </c>
      <c r="Y1289" s="35">
        <f t="shared" si="123"/>
        <v>27702.475738013625</v>
      </c>
      <c r="Z1289" s="35">
        <f t="shared" si="124"/>
        <v>0</v>
      </c>
      <c r="AA1289" s="35">
        <f t="shared" si="125"/>
        <v>1</v>
      </c>
      <c r="AB1289" s="35">
        <f t="shared" si="126"/>
        <v>0</v>
      </c>
    </row>
    <row r="1290" spans="1:28">
      <c r="A1290" s="35">
        <v>1279</v>
      </c>
      <c r="B1290" s="35">
        <v>5.3975039109022127E-4</v>
      </c>
      <c r="C1290" s="232">
        <v>55.84</v>
      </c>
      <c r="D1290" s="35">
        <v>5.0633218895558789</v>
      </c>
      <c r="E1290" s="232">
        <v>35.03</v>
      </c>
      <c r="F1290" s="35">
        <v>5.0521871594482652</v>
      </c>
      <c r="G1290" s="232">
        <v>7911.4</v>
      </c>
      <c r="H1290" s="35">
        <v>8.2155930166306348</v>
      </c>
      <c r="I1290" s="232">
        <v>9461.58</v>
      </c>
      <c r="J1290" s="35">
        <v>6.9973644862590492</v>
      </c>
      <c r="K1290" s="232">
        <v>8649.1200000000008</v>
      </c>
      <c r="L1290" s="35">
        <v>8.3355556266319226</v>
      </c>
      <c r="M1290" s="232">
        <v>34362.31</v>
      </c>
      <c r="N1290" s="35">
        <v>7.2250756419927251</v>
      </c>
      <c r="P1290" s="232">
        <v>-20.82</v>
      </c>
      <c r="Q1290" s="35">
        <v>1.1134730107613677E-2</v>
      </c>
      <c r="R1290" s="232">
        <v>1550.18</v>
      </c>
      <c r="S1290" s="35">
        <v>1.2182285303715856</v>
      </c>
      <c r="T1290" s="232">
        <v>25713.19</v>
      </c>
      <c r="U1290" s="35">
        <v>1.1104799846391975</v>
      </c>
      <c r="W1290" s="35">
        <f t="shared" si="121"/>
        <v>577.55650538068392</v>
      </c>
      <c r="X1290" s="35">
        <f t="shared" si="122"/>
        <v>59361.246518579283</v>
      </c>
      <c r="Y1290" s="35">
        <f t="shared" si="123"/>
        <v>29810.809231959876</v>
      </c>
      <c r="Z1290" s="35">
        <f t="shared" si="124"/>
        <v>0</v>
      </c>
      <c r="AA1290" s="35">
        <f t="shared" si="125"/>
        <v>1</v>
      </c>
      <c r="AB1290" s="35">
        <f t="shared" si="126"/>
        <v>0</v>
      </c>
    </row>
    <row r="1291" spans="1:28">
      <c r="A1291" s="35">
        <v>1280</v>
      </c>
      <c r="B1291" s="35">
        <v>3.8307087901983517E-4</v>
      </c>
      <c r="C1291" s="232">
        <v>45.89</v>
      </c>
      <c r="D1291" s="35">
        <v>5.0579511718683543</v>
      </c>
      <c r="E1291" s="232">
        <v>28.65</v>
      </c>
      <c r="F1291" s="35">
        <v>5.0488290837469876</v>
      </c>
      <c r="G1291" s="232">
        <v>9176.4</v>
      </c>
      <c r="H1291" s="35">
        <v>8.8765932162977617</v>
      </c>
      <c r="I1291" s="232">
        <v>11231.99</v>
      </c>
      <c r="J1291" s="35">
        <v>8.6502406773675986</v>
      </c>
      <c r="K1291" s="232">
        <v>10565.25</v>
      </c>
      <c r="L1291" s="35">
        <v>8.6013620178645489</v>
      </c>
      <c r="M1291" s="232">
        <v>36388.1</v>
      </c>
      <c r="N1291" s="35">
        <v>7.6125013527917789</v>
      </c>
      <c r="P1291" s="232">
        <v>-17.239999999999998</v>
      </c>
      <c r="Q1291" s="35">
        <v>9.1220881213667226E-3</v>
      </c>
      <c r="R1291" s="232">
        <v>2055.59</v>
      </c>
      <c r="S1291" s="35">
        <v>0.22635253893016305</v>
      </c>
      <c r="T1291" s="232">
        <v>25822.85</v>
      </c>
      <c r="U1291" s="35">
        <v>0.98886066507277004</v>
      </c>
      <c r="W1291" s="35">
        <f t="shared" si="121"/>
        <v>473.34440606833613</v>
      </c>
      <c r="X1291" s="35">
        <f t="shared" si="122"/>
        <v>9262.0369465081531</v>
      </c>
      <c r="Y1291" s="35">
        <f t="shared" si="123"/>
        <v>23620.183253638505</v>
      </c>
      <c r="Z1291" s="35">
        <f t="shared" si="124"/>
        <v>0</v>
      </c>
      <c r="AA1291" s="35">
        <f t="shared" si="125"/>
        <v>0</v>
      </c>
      <c r="AB1291" s="35">
        <f t="shared" si="126"/>
        <v>1</v>
      </c>
    </row>
    <row r="1292" spans="1:28">
      <c r="A1292" s="35">
        <v>1281</v>
      </c>
      <c r="B1292" s="35">
        <v>5.1708781245918267E-4</v>
      </c>
      <c r="C1292" s="232">
        <v>90.11</v>
      </c>
      <c r="D1292" s="35">
        <v>5.0636895267640192</v>
      </c>
      <c r="E1292" s="232">
        <v>49.58</v>
      </c>
      <c r="F1292" s="35">
        <v>5.0510518641553919</v>
      </c>
      <c r="G1292" s="232">
        <v>13363.46</v>
      </c>
      <c r="H1292" s="35">
        <v>8.4246740351451166</v>
      </c>
      <c r="I1292" s="232">
        <v>13664.73</v>
      </c>
      <c r="J1292" s="35">
        <v>6.923891130802124</v>
      </c>
      <c r="K1292" s="232">
        <v>17515.03</v>
      </c>
      <c r="L1292" s="35">
        <v>8.6992542584677732</v>
      </c>
      <c r="M1292" s="232">
        <v>43763.14</v>
      </c>
      <c r="N1292" s="35">
        <v>7.5453074614453408</v>
      </c>
      <c r="P1292" s="232">
        <v>-40.520000000000003</v>
      </c>
      <c r="Q1292" s="35">
        <v>1.2637662608627309E-2</v>
      </c>
      <c r="R1292" s="232">
        <v>301.27</v>
      </c>
      <c r="S1292" s="35">
        <v>1.5007829043429926</v>
      </c>
      <c r="T1292" s="232">
        <v>26248.11</v>
      </c>
      <c r="U1292" s="35">
        <v>1.1539467970224324</v>
      </c>
      <c r="W1292" s="35">
        <f t="shared" ref="W1292:W1355" si="127">$X$2*Q1292-P1292</f>
        <v>672.40313043136541</v>
      </c>
      <c r="X1292" s="35">
        <f t="shared" ref="X1292:X1355" si="128">$X$2*S1292-R1292</f>
        <v>74737.875217149631</v>
      </c>
      <c r="Y1292" s="35">
        <f t="shared" ref="Y1292:Y1355" si="129">$X$2*U1292-T1292</f>
        <v>31449.229851121621</v>
      </c>
      <c r="Z1292" s="35">
        <f t="shared" ref="Z1292:Z1355" si="130">IF(W1292=MAX($W1292:$Y1292), 1, 0)</f>
        <v>0</v>
      </c>
      <c r="AA1292" s="35">
        <f t="shared" ref="AA1292:AA1355" si="131">IF(X1292=MAX($W1292:$Y1292), 1, 0)</f>
        <v>1</v>
      </c>
      <c r="AB1292" s="35">
        <f t="shared" ref="AB1292:AB1355" si="132">IF(Y1292=MAX($W1292:$Y1292), 1, 0)</f>
        <v>0</v>
      </c>
    </row>
    <row r="1293" spans="1:28">
      <c r="A1293" s="35">
        <v>1282</v>
      </c>
      <c r="B1293" s="35">
        <v>4.2076500647670993E-4</v>
      </c>
      <c r="C1293" s="232">
        <v>85.15</v>
      </c>
      <c r="D1293" s="35">
        <v>5.0594140130808682</v>
      </c>
      <c r="E1293" s="232">
        <v>46.51</v>
      </c>
      <c r="F1293" s="35">
        <v>5.0487355916776693</v>
      </c>
      <c r="G1293" s="232">
        <v>14969</v>
      </c>
      <c r="H1293" s="35">
        <v>8.5719301567887687</v>
      </c>
      <c r="I1293" s="232">
        <v>13869.71</v>
      </c>
      <c r="J1293" s="35">
        <v>6.8418492975519163</v>
      </c>
      <c r="K1293" s="232">
        <v>20623.52</v>
      </c>
      <c r="L1293" s="35">
        <v>8.7563709976314978</v>
      </c>
      <c r="M1293" s="232">
        <v>47053.59</v>
      </c>
      <c r="N1293" s="35">
        <v>7.645263170491031</v>
      </c>
      <c r="P1293" s="232">
        <v>-38.64</v>
      </c>
      <c r="Q1293" s="35">
        <v>1.0678421403198968E-2</v>
      </c>
      <c r="R1293" s="232">
        <v>-1099.29</v>
      </c>
      <c r="S1293" s="35">
        <v>1.7300808592368524</v>
      </c>
      <c r="T1293" s="232">
        <v>26430.07</v>
      </c>
      <c r="U1293" s="35">
        <v>1.1111078271404669</v>
      </c>
      <c r="W1293" s="35">
        <f t="shared" si="127"/>
        <v>572.56107015994837</v>
      </c>
      <c r="X1293" s="35">
        <f t="shared" si="128"/>
        <v>87603.332961842607</v>
      </c>
      <c r="Y1293" s="35">
        <f t="shared" si="129"/>
        <v>29125.321357023342</v>
      </c>
      <c r="Z1293" s="35">
        <f t="shared" si="130"/>
        <v>0</v>
      </c>
      <c r="AA1293" s="35">
        <f t="shared" si="131"/>
        <v>1</v>
      </c>
      <c r="AB1293" s="35">
        <f t="shared" si="132"/>
        <v>0</v>
      </c>
    </row>
    <row r="1294" spans="1:28">
      <c r="A1294" s="35">
        <v>1283</v>
      </c>
      <c r="B1294" s="35">
        <v>4.1255407631449187E-4</v>
      </c>
      <c r="C1294" s="232">
        <v>84.34</v>
      </c>
      <c r="D1294" s="35">
        <v>5.0600506786379196</v>
      </c>
      <c r="E1294" s="232">
        <v>55.29</v>
      </c>
      <c r="F1294" s="35">
        <v>5.0514656237376379</v>
      </c>
      <c r="G1294" s="232">
        <v>15611.04</v>
      </c>
      <c r="H1294" s="35">
        <v>8.9875305263149201</v>
      </c>
      <c r="I1294" s="232">
        <v>13798.07</v>
      </c>
      <c r="J1294" s="35">
        <v>6.9121591343499569</v>
      </c>
      <c r="K1294" s="232">
        <v>21675.59</v>
      </c>
      <c r="L1294" s="35">
        <v>8.487684171598481</v>
      </c>
      <c r="M1294" s="232">
        <v>48142.28</v>
      </c>
      <c r="N1294" s="35">
        <v>7.3980178251752253</v>
      </c>
      <c r="P1294" s="232">
        <v>-29.06</v>
      </c>
      <c r="Q1294" s="35">
        <v>8.5850549002817189E-3</v>
      </c>
      <c r="R1294" s="232">
        <v>-1812.97</v>
      </c>
      <c r="S1294" s="35">
        <v>2.0753713919649632</v>
      </c>
      <c r="T1294" s="232">
        <v>26466.69</v>
      </c>
      <c r="U1294" s="35">
        <v>1.0896663464232557</v>
      </c>
      <c r="W1294" s="35">
        <f t="shared" si="127"/>
        <v>458.31274501408592</v>
      </c>
      <c r="X1294" s="35">
        <f t="shared" si="128"/>
        <v>105581.53959824816</v>
      </c>
      <c r="Y1294" s="35">
        <f t="shared" si="129"/>
        <v>28016.627321162781</v>
      </c>
      <c r="Z1294" s="35">
        <f t="shared" si="130"/>
        <v>0</v>
      </c>
      <c r="AA1294" s="35">
        <f t="shared" si="131"/>
        <v>1</v>
      </c>
      <c r="AB1294" s="35">
        <f t="shared" si="132"/>
        <v>0</v>
      </c>
    </row>
    <row r="1295" spans="1:28">
      <c r="A1295" s="35">
        <v>1284</v>
      </c>
      <c r="B1295" s="35">
        <v>4.2814780336501175E-4</v>
      </c>
      <c r="C1295" s="232">
        <v>78.7</v>
      </c>
      <c r="D1295" s="35">
        <v>5.0600776772268512</v>
      </c>
      <c r="E1295" s="232">
        <v>43.61</v>
      </c>
      <c r="F1295" s="35">
        <v>5.0491668426823848</v>
      </c>
      <c r="G1295" s="232">
        <v>13732.83</v>
      </c>
      <c r="H1295" s="35">
        <v>8.5962516063013936</v>
      </c>
      <c r="I1295" s="232">
        <v>14225.81</v>
      </c>
      <c r="J1295" s="35">
        <v>7.5335584615547351</v>
      </c>
      <c r="K1295" s="232">
        <v>19233.849999999999</v>
      </c>
      <c r="L1295" s="35">
        <v>8.9590385277258235</v>
      </c>
      <c r="M1295" s="232">
        <v>45581.82</v>
      </c>
      <c r="N1295" s="35">
        <v>7.9257954897446155</v>
      </c>
      <c r="P1295" s="232">
        <v>-35.090000000000003</v>
      </c>
      <c r="Q1295" s="35">
        <v>1.0910834544466397E-2</v>
      </c>
      <c r="R1295" s="232">
        <v>492.99</v>
      </c>
      <c r="S1295" s="35">
        <v>1.0626931447466585</v>
      </c>
      <c r="T1295" s="232">
        <v>26347.98</v>
      </c>
      <c r="U1295" s="35">
        <v>1.0332430379812081</v>
      </c>
      <c r="W1295" s="35">
        <f t="shared" si="127"/>
        <v>580.6317272233199</v>
      </c>
      <c r="X1295" s="35">
        <f t="shared" si="128"/>
        <v>52641.667237332927</v>
      </c>
      <c r="Y1295" s="35">
        <f t="shared" si="129"/>
        <v>25314.171899060402</v>
      </c>
      <c r="Z1295" s="35">
        <f t="shared" si="130"/>
        <v>0</v>
      </c>
      <c r="AA1295" s="35">
        <f t="shared" si="131"/>
        <v>1</v>
      </c>
      <c r="AB1295" s="35">
        <f t="shared" si="132"/>
        <v>0</v>
      </c>
    </row>
    <row r="1296" spans="1:28">
      <c r="A1296" s="35">
        <v>1285</v>
      </c>
      <c r="B1296" s="35">
        <v>3.6395893814929317E-4</v>
      </c>
      <c r="C1296" s="232">
        <v>43.08</v>
      </c>
      <c r="D1296" s="35">
        <v>5.0580967281787208</v>
      </c>
      <c r="E1296" s="232">
        <v>29.45</v>
      </c>
      <c r="F1296" s="35">
        <v>5.0499998901386771</v>
      </c>
      <c r="G1296" s="232">
        <v>9728.1</v>
      </c>
      <c r="H1296" s="35">
        <v>9.045387949868152</v>
      </c>
      <c r="I1296" s="232">
        <v>12053.59</v>
      </c>
      <c r="J1296" s="35">
        <v>8.0741249782012936</v>
      </c>
      <c r="K1296" s="232">
        <v>8500.4500000000007</v>
      </c>
      <c r="L1296" s="35">
        <v>8.9117893613276049</v>
      </c>
      <c r="M1296" s="232">
        <v>34304.14</v>
      </c>
      <c r="N1296" s="35">
        <v>7.8192393835739313</v>
      </c>
      <c r="P1296" s="232">
        <v>-13.63</v>
      </c>
      <c r="Q1296" s="35">
        <v>8.0968380400436857E-3</v>
      </c>
      <c r="R1296" s="232">
        <v>2325.4899999999998</v>
      </c>
      <c r="S1296" s="35">
        <v>0.97126297166685838</v>
      </c>
      <c r="T1296" s="232">
        <v>25803.69</v>
      </c>
      <c r="U1296" s="35">
        <v>1.0925499777536736</v>
      </c>
      <c r="W1296" s="35">
        <f t="shared" si="127"/>
        <v>418.47190200218427</v>
      </c>
      <c r="X1296" s="35">
        <f t="shared" si="128"/>
        <v>46237.65858334292</v>
      </c>
      <c r="Y1296" s="35">
        <f t="shared" si="129"/>
        <v>28823.808887683681</v>
      </c>
      <c r="Z1296" s="35">
        <f t="shared" si="130"/>
        <v>0</v>
      </c>
      <c r="AA1296" s="35">
        <f t="shared" si="131"/>
        <v>1</v>
      </c>
      <c r="AB1296" s="35">
        <f t="shared" si="132"/>
        <v>0</v>
      </c>
    </row>
    <row r="1297" spans="1:28">
      <c r="A1297" s="35">
        <v>1286</v>
      </c>
      <c r="B1297" s="35">
        <v>4.7155016394129223E-4</v>
      </c>
      <c r="C1297" s="232">
        <v>95.54</v>
      </c>
      <c r="D1297" s="35">
        <v>5.0630706025282661</v>
      </c>
      <c r="E1297" s="232">
        <v>65.150000000000006</v>
      </c>
      <c r="F1297" s="35">
        <v>5.0541067594127069</v>
      </c>
      <c r="G1297" s="232">
        <v>14578.4</v>
      </c>
      <c r="H1297" s="35">
        <v>8.9600778628109392</v>
      </c>
      <c r="I1297" s="232">
        <v>13216.51</v>
      </c>
      <c r="J1297" s="35">
        <v>7.5012556736730875</v>
      </c>
      <c r="K1297" s="232">
        <v>20563.080000000002</v>
      </c>
      <c r="L1297" s="35">
        <v>8.5632294887883589</v>
      </c>
      <c r="M1297" s="232">
        <v>46728.36</v>
      </c>
      <c r="N1297" s="35">
        <v>7.6073716301016931</v>
      </c>
      <c r="P1297" s="232">
        <v>-30.39</v>
      </c>
      <c r="Q1297" s="35">
        <v>8.9638431155592002E-3</v>
      </c>
      <c r="R1297" s="232">
        <v>-1361.89</v>
      </c>
      <c r="S1297" s="35">
        <v>1.4588221891378517</v>
      </c>
      <c r="T1297" s="232">
        <v>26165.279999999999</v>
      </c>
      <c r="U1297" s="35">
        <v>0.95585785868666573</v>
      </c>
      <c r="W1297" s="35">
        <f t="shared" si="127"/>
        <v>478.58215577796</v>
      </c>
      <c r="X1297" s="35">
        <f t="shared" si="128"/>
        <v>74302.999456892576</v>
      </c>
      <c r="Y1297" s="35">
        <f t="shared" si="129"/>
        <v>21627.612934333287</v>
      </c>
      <c r="Z1297" s="35">
        <f t="shared" si="130"/>
        <v>0</v>
      </c>
      <c r="AA1297" s="35">
        <f t="shared" si="131"/>
        <v>1</v>
      </c>
      <c r="AB1297" s="35">
        <f t="shared" si="132"/>
        <v>0</v>
      </c>
    </row>
    <row r="1298" spans="1:28">
      <c r="A1298" s="35">
        <v>1287</v>
      </c>
      <c r="B1298" s="35">
        <v>5.2020314488954167E-4</v>
      </c>
      <c r="C1298" s="232">
        <v>57.31</v>
      </c>
      <c r="D1298" s="35">
        <v>5.0642968628637384</v>
      </c>
      <c r="E1298" s="232">
        <v>33.18</v>
      </c>
      <c r="F1298" s="35">
        <v>5.0515042696543988</v>
      </c>
      <c r="G1298" s="232">
        <v>8584.25</v>
      </c>
      <c r="H1298" s="35">
        <v>8.722677411394308</v>
      </c>
      <c r="I1298" s="232">
        <v>9718.92</v>
      </c>
      <c r="J1298" s="35">
        <v>7.3019497776426245</v>
      </c>
      <c r="K1298" s="232">
        <v>10513.98</v>
      </c>
      <c r="L1298" s="35">
        <v>8.3510618052494383</v>
      </c>
      <c r="M1298" s="232">
        <v>36380.97</v>
      </c>
      <c r="N1298" s="35">
        <v>7.1520290787371197</v>
      </c>
      <c r="P1298" s="232">
        <v>-24.13</v>
      </c>
      <c r="Q1298" s="35">
        <v>1.2792593209339564E-2</v>
      </c>
      <c r="R1298" s="232">
        <v>1134.67</v>
      </c>
      <c r="S1298" s="35">
        <v>1.4207276337516834</v>
      </c>
      <c r="T1298" s="232">
        <v>25866.99</v>
      </c>
      <c r="U1298" s="35">
        <v>1.1990327265123186</v>
      </c>
      <c r="W1298" s="35">
        <f t="shared" si="127"/>
        <v>663.75966046697818</v>
      </c>
      <c r="X1298" s="35">
        <f t="shared" si="128"/>
        <v>69901.711687584175</v>
      </c>
      <c r="Y1298" s="35">
        <f t="shared" si="129"/>
        <v>34084.646325615933</v>
      </c>
      <c r="Z1298" s="35">
        <f t="shared" si="130"/>
        <v>0</v>
      </c>
      <c r="AA1298" s="35">
        <f t="shared" si="131"/>
        <v>1</v>
      </c>
      <c r="AB1298" s="35">
        <f t="shared" si="132"/>
        <v>0</v>
      </c>
    </row>
    <row r="1299" spans="1:28">
      <c r="A1299" s="35">
        <v>1288</v>
      </c>
      <c r="B1299" s="35">
        <v>3.6363969020588525E-4</v>
      </c>
      <c r="C1299" s="232">
        <v>43.32</v>
      </c>
      <c r="D1299" s="35">
        <v>5.0564796300533938</v>
      </c>
      <c r="E1299" s="232">
        <v>33.39</v>
      </c>
      <c r="F1299" s="35">
        <v>5.0506566360272371</v>
      </c>
      <c r="G1299" s="232">
        <v>8946.51</v>
      </c>
      <c r="H1299" s="35">
        <v>8.4970416354225531</v>
      </c>
      <c r="I1299" s="232">
        <v>10232.92</v>
      </c>
      <c r="J1299" s="35">
        <v>7.2836233640823256</v>
      </c>
      <c r="K1299" s="232">
        <v>11070.66</v>
      </c>
      <c r="L1299" s="35">
        <v>8.515453230298343</v>
      </c>
      <c r="M1299" s="232">
        <v>37011.75</v>
      </c>
      <c r="N1299" s="35">
        <v>7.3999082312601914</v>
      </c>
      <c r="P1299" s="232">
        <v>-9.93</v>
      </c>
      <c r="Q1299" s="35">
        <v>5.8229940261567137E-3</v>
      </c>
      <c r="R1299" s="232">
        <v>1286.4100000000001</v>
      </c>
      <c r="S1299" s="35">
        <v>1.2134182713402275</v>
      </c>
      <c r="T1299" s="232">
        <v>25941.09</v>
      </c>
      <c r="U1299" s="35">
        <v>1.1155449990381516</v>
      </c>
      <c r="W1299" s="35">
        <f t="shared" si="127"/>
        <v>301.07970130783571</v>
      </c>
      <c r="X1299" s="35">
        <f t="shared" si="128"/>
        <v>59384.503567011372</v>
      </c>
      <c r="Y1299" s="35">
        <f t="shared" si="129"/>
        <v>29836.159951907579</v>
      </c>
      <c r="Z1299" s="35">
        <f t="shared" si="130"/>
        <v>0</v>
      </c>
      <c r="AA1299" s="35">
        <f t="shared" si="131"/>
        <v>1</v>
      </c>
      <c r="AB1299" s="35">
        <f t="shared" si="132"/>
        <v>0</v>
      </c>
    </row>
    <row r="1300" spans="1:28">
      <c r="A1300" s="35">
        <v>1289</v>
      </c>
      <c r="B1300" s="35">
        <v>3.5684098682583083E-4</v>
      </c>
      <c r="C1300" s="232">
        <v>62.46</v>
      </c>
      <c r="D1300" s="35">
        <v>5.0570462181411573</v>
      </c>
      <c r="E1300" s="232">
        <v>34.81</v>
      </c>
      <c r="F1300" s="35">
        <v>5.0474590693598174</v>
      </c>
      <c r="G1300" s="232">
        <v>13543.77</v>
      </c>
      <c r="H1300" s="35">
        <v>9.0789237924116524</v>
      </c>
      <c r="I1300" s="232">
        <v>13351.51</v>
      </c>
      <c r="J1300" s="35">
        <v>7.3315774114667631</v>
      </c>
      <c r="K1300" s="232">
        <v>17073.439999999999</v>
      </c>
      <c r="L1300" s="35">
        <v>8.6350373888936414</v>
      </c>
      <c r="M1300" s="232">
        <v>43311.59</v>
      </c>
      <c r="N1300" s="35">
        <v>7.6134808277965673</v>
      </c>
      <c r="P1300" s="232">
        <v>-27.65</v>
      </c>
      <c r="Q1300" s="35">
        <v>9.587148781339927E-3</v>
      </c>
      <c r="R1300" s="232">
        <v>-192.26</v>
      </c>
      <c r="S1300" s="35">
        <v>1.7473463809448893</v>
      </c>
      <c r="T1300" s="232">
        <v>26238.14</v>
      </c>
      <c r="U1300" s="35">
        <v>1.021556561097074</v>
      </c>
      <c r="W1300" s="35">
        <f t="shared" si="127"/>
        <v>507.00743906699631</v>
      </c>
      <c r="X1300" s="35">
        <f t="shared" si="128"/>
        <v>87559.579047244464</v>
      </c>
      <c r="Y1300" s="35">
        <f t="shared" si="129"/>
        <v>24839.688054853701</v>
      </c>
      <c r="Z1300" s="35">
        <f t="shared" si="130"/>
        <v>0</v>
      </c>
      <c r="AA1300" s="35">
        <f t="shared" si="131"/>
        <v>1</v>
      </c>
      <c r="AB1300" s="35">
        <f t="shared" si="132"/>
        <v>0</v>
      </c>
    </row>
    <row r="1301" spans="1:28">
      <c r="A1301" s="35">
        <v>1290</v>
      </c>
      <c r="B1301" s="35">
        <v>4.6058870796283902E-4</v>
      </c>
      <c r="C1301" s="232">
        <v>62.33</v>
      </c>
      <c r="D1301" s="35">
        <v>5.0603922791304567</v>
      </c>
      <c r="E1301" s="232">
        <v>36.270000000000003</v>
      </c>
      <c r="F1301" s="35">
        <v>5.0496742381462028</v>
      </c>
      <c r="G1301" s="232">
        <v>11027.19</v>
      </c>
      <c r="H1301" s="35">
        <v>8.295846385406124</v>
      </c>
      <c r="I1301" s="232">
        <v>12889.73</v>
      </c>
      <c r="J1301" s="35">
        <v>7.4718978423130684</v>
      </c>
      <c r="K1301" s="232">
        <v>12652.33</v>
      </c>
      <c r="L1301" s="35">
        <v>8.5811465869237988</v>
      </c>
      <c r="M1301" s="232">
        <v>38630.94</v>
      </c>
      <c r="N1301" s="35">
        <v>7.3908333329143003</v>
      </c>
      <c r="P1301" s="232">
        <v>-26.07</v>
      </c>
      <c r="Q1301" s="35">
        <v>1.0718040984253996E-2</v>
      </c>
      <c r="R1301" s="232">
        <v>1862.54</v>
      </c>
      <c r="S1301" s="35">
        <v>0.82394854309305554</v>
      </c>
      <c r="T1301" s="232">
        <v>25978.61</v>
      </c>
      <c r="U1301" s="35">
        <v>1.1903132540094985</v>
      </c>
      <c r="W1301" s="35">
        <f t="shared" si="127"/>
        <v>561.97204921269986</v>
      </c>
      <c r="X1301" s="35">
        <f t="shared" si="128"/>
        <v>39334.887154652773</v>
      </c>
      <c r="Y1301" s="35">
        <f t="shared" si="129"/>
        <v>33537.052700474924</v>
      </c>
      <c r="Z1301" s="35">
        <f t="shared" si="130"/>
        <v>0</v>
      </c>
      <c r="AA1301" s="35">
        <f t="shared" si="131"/>
        <v>1</v>
      </c>
      <c r="AB1301" s="35">
        <f t="shared" si="132"/>
        <v>0</v>
      </c>
    </row>
    <row r="1302" spans="1:28">
      <c r="A1302" s="35">
        <v>1291</v>
      </c>
      <c r="B1302" s="35">
        <v>4.0833961039338088E-4</v>
      </c>
      <c r="C1302" s="232">
        <v>46.83</v>
      </c>
      <c r="D1302" s="35">
        <v>5.060320882710954</v>
      </c>
      <c r="E1302" s="232">
        <v>27.39</v>
      </c>
      <c r="F1302" s="35">
        <v>5.0492726019917216</v>
      </c>
      <c r="G1302" s="232">
        <v>9239.31</v>
      </c>
      <c r="H1302" s="35">
        <v>9.1349198030663956</v>
      </c>
      <c r="I1302" s="232">
        <v>11338.13</v>
      </c>
      <c r="J1302" s="35">
        <v>8.7489215563581482</v>
      </c>
      <c r="K1302" s="232">
        <v>9533.2800000000007</v>
      </c>
      <c r="L1302" s="35">
        <v>8.7547594221155762</v>
      </c>
      <c r="M1302" s="232">
        <v>35296.370000000003</v>
      </c>
      <c r="N1302" s="35">
        <v>7.6925677462589768</v>
      </c>
      <c r="P1302" s="232">
        <v>-19.440000000000001</v>
      </c>
      <c r="Q1302" s="35">
        <v>1.1048280719232473E-2</v>
      </c>
      <c r="R1302" s="232">
        <v>2098.8200000000002</v>
      </c>
      <c r="S1302" s="35">
        <v>0.38599824670824745</v>
      </c>
      <c r="T1302" s="232">
        <v>25763.09</v>
      </c>
      <c r="U1302" s="35">
        <v>1.0621916758565995</v>
      </c>
      <c r="W1302" s="35">
        <f t="shared" si="127"/>
        <v>571.85403596162371</v>
      </c>
      <c r="X1302" s="35">
        <f t="shared" si="128"/>
        <v>17201.092335412373</v>
      </c>
      <c r="Y1302" s="35">
        <f t="shared" si="129"/>
        <v>27346.493792829973</v>
      </c>
      <c r="Z1302" s="35">
        <f t="shared" si="130"/>
        <v>0</v>
      </c>
      <c r="AA1302" s="35">
        <f t="shared" si="131"/>
        <v>0</v>
      </c>
      <c r="AB1302" s="35">
        <f t="shared" si="132"/>
        <v>1</v>
      </c>
    </row>
    <row r="1303" spans="1:28">
      <c r="A1303" s="35">
        <v>1292</v>
      </c>
      <c r="B1303" s="35">
        <v>4.5245273030847244E-4</v>
      </c>
      <c r="C1303" s="232">
        <v>44.04</v>
      </c>
      <c r="D1303" s="35">
        <v>5.0632009907386113</v>
      </c>
      <c r="E1303" s="232">
        <v>25.32</v>
      </c>
      <c r="F1303" s="35">
        <v>5.050352688407175</v>
      </c>
      <c r="G1303" s="232">
        <v>7273.85</v>
      </c>
      <c r="H1303" s="35">
        <v>9.0020026531644657</v>
      </c>
      <c r="I1303" s="232">
        <v>8588.7199999999993</v>
      </c>
      <c r="J1303" s="35">
        <v>7.8316885330600305</v>
      </c>
      <c r="K1303" s="232">
        <v>9511.0300000000007</v>
      </c>
      <c r="L1303" s="35">
        <v>9.1526159590480969</v>
      </c>
      <c r="M1303" s="232">
        <v>35462.699999999997</v>
      </c>
      <c r="N1303" s="35">
        <v>7.9671323824017195</v>
      </c>
      <c r="P1303" s="232">
        <v>-18.72</v>
      </c>
      <c r="Q1303" s="35">
        <v>1.2848302331436301E-2</v>
      </c>
      <c r="R1303" s="232">
        <v>1314.87</v>
      </c>
      <c r="S1303" s="35">
        <v>1.1703141201044351</v>
      </c>
      <c r="T1303" s="232">
        <v>25951.67</v>
      </c>
      <c r="U1303" s="35">
        <v>1.1854835766463774</v>
      </c>
      <c r="W1303" s="35">
        <f t="shared" si="127"/>
        <v>661.13511657181505</v>
      </c>
      <c r="X1303" s="35">
        <f t="shared" si="128"/>
        <v>57200.836005221754</v>
      </c>
      <c r="Y1303" s="35">
        <f t="shared" si="129"/>
        <v>33322.508832318868</v>
      </c>
      <c r="Z1303" s="35">
        <f t="shared" si="130"/>
        <v>0</v>
      </c>
      <c r="AA1303" s="35">
        <f t="shared" si="131"/>
        <v>1</v>
      </c>
      <c r="AB1303" s="35">
        <f t="shared" si="132"/>
        <v>0</v>
      </c>
    </row>
    <row r="1304" spans="1:28">
      <c r="A1304" s="35">
        <v>1293</v>
      </c>
      <c r="B1304" s="35">
        <v>4.3669319768502789E-4</v>
      </c>
      <c r="C1304" s="232">
        <v>62.62</v>
      </c>
      <c r="D1304" s="35">
        <v>5.0618983438750034</v>
      </c>
      <c r="E1304" s="232">
        <v>41.43</v>
      </c>
      <c r="F1304" s="35">
        <v>5.0523824360067726</v>
      </c>
      <c r="G1304" s="232">
        <v>11822.48</v>
      </c>
      <c r="H1304" s="35">
        <v>9.0973040046675209</v>
      </c>
      <c r="I1304" s="232">
        <v>13738.91</v>
      </c>
      <c r="J1304" s="35">
        <v>7.9354873892858517</v>
      </c>
      <c r="K1304" s="232">
        <v>12870.83</v>
      </c>
      <c r="L1304" s="35">
        <v>8.6472378738520774</v>
      </c>
      <c r="M1304" s="232">
        <v>38934.949999999997</v>
      </c>
      <c r="N1304" s="35">
        <v>7.6217642220292934</v>
      </c>
      <c r="P1304" s="232">
        <v>-21.19</v>
      </c>
      <c r="Q1304" s="35">
        <v>9.5159078682307552E-3</v>
      </c>
      <c r="R1304" s="232">
        <v>1916.42</v>
      </c>
      <c r="S1304" s="35">
        <v>1.1618166153816691</v>
      </c>
      <c r="T1304" s="232">
        <v>26064.12</v>
      </c>
      <c r="U1304" s="35">
        <v>1.025473651822784</v>
      </c>
      <c r="W1304" s="35">
        <f t="shared" si="127"/>
        <v>496.98539341153776</v>
      </c>
      <c r="X1304" s="35">
        <f t="shared" si="128"/>
        <v>56174.410769083457</v>
      </c>
      <c r="Y1304" s="35">
        <f t="shared" si="129"/>
        <v>25209.562591139202</v>
      </c>
      <c r="Z1304" s="35">
        <f t="shared" si="130"/>
        <v>0</v>
      </c>
      <c r="AA1304" s="35">
        <f t="shared" si="131"/>
        <v>1</v>
      </c>
      <c r="AB1304" s="35">
        <f t="shared" si="132"/>
        <v>0</v>
      </c>
    </row>
    <row r="1305" spans="1:28">
      <c r="A1305" s="35">
        <v>1294</v>
      </c>
      <c r="B1305" s="35">
        <v>5.8440136536119791E-4</v>
      </c>
      <c r="C1305" s="232">
        <v>101.3</v>
      </c>
      <c r="D1305" s="35">
        <v>5.0687042760747048</v>
      </c>
      <c r="E1305" s="232">
        <v>58.78</v>
      </c>
      <c r="F1305" s="35">
        <v>5.0546676176772838</v>
      </c>
      <c r="G1305" s="232">
        <v>13294.05</v>
      </c>
      <c r="H1305" s="35">
        <v>8.853445206145544</v>
      </c>
      <c r="I1305" s="232">
        <v>14421.7</v>
      </c>
      <c r="J1305" s="35">
        <v>8.1184789168667688</v>
      </c>
      <c r="K1305" s="232">
        <v>18347.32</v>
      </c>
      <c r="L1305" s="35">
        <v>8.6904728406943033</v>
      </c>
      <c r="M1305" s="232">
        <v>44584.3</v>
      </c>
      <c r="N1305" s="35">
        <v>7.6071106391852634</v>
      </c>
      <c r="P1305" s="232">
        <v>-42.52</v>
      </c>
      <c r="Q1305" s="35">
        <v>1.4036658397420965E-2</v>
      </c>
      <c r="R1305" s="232">
        <v>1127.6500000000001</v>
      </c>
      <c r="S1305" s="35">
        <v>0.73496628927877516</v>
      </c>
      <c r="T1305" s="232">
        <v>26236.98</v>
      </c>
      <c r="U1305" s="35">
        <v>1.0833622015090398</v>
      </c>
      <c r="W1305" s="35">
        <f t="shared" si="127"/>
        <v>744.35291987104824</v>
      </c>
      <c r="X1305" s="35">
        <f t="shared" si="128"/>
        <v>35620.66446393876</v>
      </c>
      <c r="Y1305" s="35">
        <f t="shared" si="129"/>
        <v>27931.130075451994</v>
      </c>
      <c r="Z1305" s="35">
        <f t="shared" si="130"/>
        <v>0</v>
      </c>
      <c r="AA1305" s="35">
        <f t="shared" si="131"/>
        <v>1</v>
      </c>
      <c r="AB1305" s="35">
        <f t="shared" si="132"/>
        <v>0</v>
      </c>
    </row>
    <row r="1306" spans="1:28">
      <c r="A1306" s="35">
        <v>1295</v>
      </c>
      <c r="B1306" s="35">
        <v>4.6061888396198292E-4</v>
      </c>
      <c r="C1306" s="232">
        <v>56.76</v>
      </c>
      <c r="D1306" s="35">
        <v>5.0616986439473806</v>
      </c>
      <c r="E1306" s="232">
        <v>32.340000000000003</v>
      </c>
      <c r="F1306" s="35">
        <v>5.0499365434113024</v>
      </c>
      <c r="G1306" s="232">
        <v>9553.51</v>
      </c>
      <c r="H1306" s="35">
        <v>8.7233336853095995</v>
      </c>
      <c r="I1306" s="232">
        <v>10622.71</v>
      </c>
      <c r="J1306" s="35">
        <v>7.1301178208496552</v>
      </c>
      <c r="K1306" s="232">
        <v>10985.07</v>
      </c>
      <c r="L1306" s="35">
        <v>8.6599583456207387</v>
      </c>
      <c r="M1306" s="232">
        <v>36813.31</v>
      </c>
      <c r="N1306" s="35">
        <v>7.5931428384618753</v>
      </c>
      <c r="P1306" s="232">
        <v>-24.41</v>
      </c>
      <c r="Q1306" s="35">
        <v>1.1762100536078179E-2</v>
      </c>
      <c r="R1306" s="232">
        <v>1069.2</v>
      </c>
      <c r="S1306" s="35">
        <v>1.5932158644599443</v>
      </c>
      <c r="T1306" s="232">
        <v>25828.23</v>
      </c>
      <c r="U1306" s="35">
        <v>1.0668155071588634</v>
      </c>
      <c r="W1306" s="35">
        <f t="shared" si="127"/>
        <v>612.51502680390888</v>
      </c>
      <c r="X1306" s="35">
        <f t="shared" si="128"/>
        <v>78591.593222997224</v>
      </c>
      <c r="Y1306" s="35">
        <f t="shared" si="129"/>
        <v>27512.545357943174</v>
      </c>
      <c r="Z1306" s="35">
        <f t="shared" si="130"/>
        <v>0</v>
      </c>
      <c r="AA1306" s="35">
        <f t="shared" si="131"/>
        <v>1</v>
      </c>
      <c r="AB1306" s="35">
        <f t="shared" si="132"/>
        <v>0</v>
      </c>
    </row>
    <row r="1307" spans="1:28">
      <c r="A1307" s="35">
        <v>1296</v>
      </c>
      <c r="B1307" s="35">
        <v>4.1131595950197466E-4</v>
      </c>
      <c r="C1307" s="232">
        <v>45.73</v>
      </c>
      <c r="D1307" s="35">
        <v>5.0600931052336495</v>
      </c>
      <c r="E1307" s="232">
        <v>29.42</v>
      </c>
      <c r="F1307" s="35">
        <v>5.0504111788948247</v>
      </c>
      <c r="G1307" s="232">
        <v>9143.11</v>
      </c>
      <c r="H1307" s="35">
        <v>8.9601887706688679</v>
      </c>
      <c r="I1307" s="232">
        <v>11264.13</v>
      </c>
      <c r="J1307" s="35">
        <v>7.3499066107641609</v>
      </c>
      <c r="K1307" s="232">
        <v>8881.43</v>
      </c>
      <c r="L1307" s="35">
        <v>8.6111703043413392</v>
      </c>
      <c r="M1307" s="232">
        <v>34777.83</v>
      </c>
      <c r="N1307" s="35">
        <v>7.4675716428574823</v>
      </c>
      <c r="P1307" s="232">
        <v>-16.309999999999999</v>
      </c>
      <c r="Q1307" s="35">
        <v>9.6819263388248089E-3</v>
      </c>
      <c r="R1307" s="232">
        <v>2121.0100000000002</v>
      </c>
      <c r="S1307" s="35">
        <v>1.610282159904707</v>
      </c>
      <c r="T1307" s="232">
        <v>25896.400000000001</v>
      </c>
      <c r="U1307" s="35">
        <v>1.1435986614838569</v>
      </c>
      <c r="W1307" s="35">
        <f t="shared" si="127"/>
        <v>500.40631694124045</v>
      </c>
      <c r="X1307" s="35">
        <f t="shared" si="128"/>
        <v>78393.097995235352</v>
      </c>
      <c r="Y1307" s="35">
        <f t="shared" si="129"/>
        <v>31283.533074192841</v>
      </c>
      <c r="Z1307" s="35">
        <f t="shared" si="130"/>
        <v>0</v>
      </c>
      <c r="AA1307" s="35">
        <f t="shared" si="131"/>
        <v>1</v>
      </c>
      <c r="AB1307" s="35">
        <f t="shared" si="132"/>
        <v>0</v>
      </c>
    </row>
    <row r="1308" spans="1:28">
      <c r="A1308" s="35">
        <v>1297</v>
      </c>
      <c r="B1308" s="35">
        <v>4.7717712117922861E-4</v>
      </c>
      <c r="C1308" s="232">
        <v>91.59</v>
      </c>
      <c r="D1308" s="35">
        <v>5.065595026059178</v>
      </c>
      <c r="E1308" s="232">
        <v>67.17</v>
      </c>
      <c r="F1308" s="35">
        <v>5.0571107173794712</v>
      </c>
      <c r="G1308" s="232">
        <v>15704.72</v>
      </c>
      <c r="H1308" s="35">
        <v>9.373942003648061</v>
      </c>
      <c r="I1308" s="232">
        <v>17460.3</v>
      </c>
      <c r="J1308" s="35">
        <v>8.0884441525135085</v>
      </c>
      <c r="K1308" s="232">
        <v>17433.150000000001</v>
      </c>
      <c r="L1308" s="35">
        <v>8.8221330896285242</v>
      </c>
      <c r="M1308" s="232">
        <v>43653.94</v>
      </c>
      <c r="N1308" s="35">
        <v>7.7246904523522124</v>
      </c>
      <c r="P1308" s="232">
        <v>-24.41</v>
      </c>
      <c r="Q1308" s="35">
        <v>8.4843086797068423E-3</v>
      </c>
      <c r="R1308" s="232">
        <v>1755.59</v>
      </c>
      <c r="S1308" s="35">
        <v>1.2854978511345525</v>
      </c>
      <c r="T1308" s="232">
        <v>26220.78</v>
      </c>
      <c r="U1308" s="35">
        <v>1.0974426372763117</v>
      </c>
      <c r="W1308" s="35">
        <f t="shared" si="127"/>
        <v>448.62543398534211</v>
      </c>
      <c r="X1308" s="35">
        <f t="shared" si="128"/>
        <v>62519.302556727627</v>
      </c>
      <c r="Y1308" s="35">
        <f t="shared" si="129"/>
        <v>28651.351863815587</v>
      </c>
      <c r="Z1308" s="35">
        <f t="shared" si="130"/>
        <v>0</v>
      </c>
      <c r="AA1308" s="35">
        <f t="shared" si="131"/>
        <v>1</v>
      </c>
      <c r="AB1308" s="35">
        <f t="shared" si="132"/>
        <v>0</v>
      </c>
    </row>
    <row r="1309" spans="1:28">
      <c r="A1309" s="35">
        <v>1298</v>
      </c>
      <c r="B1309" s="35">
        <v>4.3641563674546652E-4</v>
      </c>
      <c r="C1309" s="232">
        <v>67.14</v>
      </c>
      <c r="D1309" s="35">
        <v>5.0591988681892159</v>
      </c>
      <c r="E1309" s="232">
        <v>38.71</v>
      </c>
      <c r="F1309" s="35">
        <v>5.0490287786503396</v>
      </c>
      <c r="G1309" s="232">
        <v>12406.22</v>
      </c>
      <c r="H1309" s="35">
        <v>8.4450243421036024</v>
      </c>
      <c r="I1309" s="232">
        <v>14247.59</v>
      </c>
      <c r="J1309" s="35">
        <v>7.9828527583179527</v>
      </c>
      <c r="K1309" s="232">
        <v>15701.9</v>
      </c>
      <c r="L1309" s="35">
        <v>8.3734140310476679</v>
      </c>
      <c r="M1309" s="232">
        <v>41794.160000000003</v>
      </c>
      <c r="N1309" s="35">
        <v>7.2639519651134812</v>
      </c>
      <c r="P1309" s="232">
        <v>-28.42</v>
      </c>
      <c r="Q1309" s="35">
        <v>1.0170089538876326E-2</v>
      </c>
      <c r="R1309" s="232">
        <v>1841.37</v>
      </c>
      <c r="S1309" s="35">
        <v>0.46217158378564971</v>
      </c>
      <c r="T1309" s="232">
        <v>26092.26</v>
      </c>
      <c r="U1309" s="35">
        <v>1.1094620659341867</v>
      </c>
      <c r="W1309" s="35">
        <f t="shared" si="127"/>
        <v>536.92447694381622</v>
      </c>
      <c r="X1309" s="35">
        <f t="shared" si="128"/>
        <v>21267.209189282486</v>
      </c>
      <c r="Y1309" s="35">
        <f t="shared" si="129"/>
        <v>29380.843296709336</v>
      </c>
      <c r="Z1309" s="35">
        <f t="shared" si="130"/>
        <v>0</v>
      </c>
      <c r="AA1309" s="35">
        <f t="shared" si="131"/>
        <v>0</v>
      </c>
      <c r="AB1309" s="35">
        <f t="shared" si="132"/>
        <v>1</v>
      </c>
    </row>
    <row r="1310" spans="1:28">
      <c r="A1310" s="35">
        <v>1299</v>
      </c>
      <c r="B1310" s="35">
        <v>3.5704519824599986E-4</v>
      </c>
      <c r="C1310" s="232">
        <v>37.159999999999997</v>
      </c>
      <c r="D1310" s="35">
        <v>5.0574369047578855</v>
      </c>
      <c r="E1310" s="232">
        <v>20.69</v>
      </c>
      <c r="F1310" s="35">
        <v>5.0468643631776509</v>
      </c>
      <c r="G1310" s="232">
        <v>8781.33</v>
      </c>
      <c r="H1310" s="35">
        <v>9.0426574090399789</v>
      </c>
      <c r="I1310" s="232">
        <v>11101.4</v>
      </c>
      <c r="J1310" s="35">
        <v>8.4384997372092183</v>
      </c>
      <c r="K1310" s="232">
        <v>7330.26</v>
      </c>
      <c r="L1310" s="35">
        <v>8.8821143817642554</v>
      </c>
      <c r="M1310" s="232">
        <v>33101.440000000002</v>
      </c>
      <c r="N1310" s="35">
        <v>7.7297094624901721</v>
      </c>
      <c r="P1310" s="232">
        <v>-16.47</v>
      </c>
      <c r="Q1310" s="35">
        <v>1.0572541580234684E-2</v>
      </c>
      <c r="R1310" s="232">
        <v>2320.0700000000002</v>
      </c>
      <c r="S1310" s="35">
        <v>0.60415767183076063</v>
      </c>
      <c r="T1310" s="232">
        <v>25771.18</v>
      </c>
      <c r="U1310" s="35">
        <v>1.1524049192740833</v>
      </c>
      <c r="W1310" s="35">
        <f t="shared" si="127"/>
        <v>545.09707901173419</v>
      </c>
      <c r="X1310" s="35">
        <f t="shared" si="128"/>
        <v>27887.813591538034</v>
      </c>
      <c r="Y1310" s="35">
        <f t="shared" si="129"/>
        <v>31849.065963704161</v>
      </c>
      <c r="Z1310" s="35">
        <f t="shared" si="130"/>
        <v>0</v>
      </c>
      <c r="AA1310" s="35">
        <f t="shared" si="131"/>
        <v>0</v>
      </c>
      <c r="AB1310" s="35">
        <f t="shared" si="132"/>
        <v>1</v>
      </c>
    </row>
    <row r="1311" spans="1:28">
      <c r="A1311" s="35">
        <v>1300</v>
      </c>
      <c r="B1311" s="35">
        <v>5.2570862978840172E-4</v>
      </c>
      <c r="C1311" s="232">
        <v>86.58</v>
      </c>
      <c r="D1311" s="35">
        <v>5.06582729241876</v>
      </c>
      <c r="E1311" s="232">
        <v>53.74</v>
      </c>
      <c r="F1311" s="35">
        <v>5.0540589307024018</v>
      </c>
      <c r="G1311" s="232">
        <v>12023.15</v>
      </c>
      <c r="H1311" s="35">
        <v>8.7732097820629367</v>
      </c>
      <c r="I1311" s="232">
        <v>11691.94</v>
      </c>
      <c r="J1311" s="35">
        <v>7.236127213977003</v>
      </c>
      <c r="K1311" s="232">
        <v>17132.59</v>
      </c>
      <c r="L1311" s="35">
        <v>8.6941846404364487</v>
      </c>
      <c r="M1311" s="232">
        <v>43511.76</v>
      </c>
      <c r="N1311" s="35">
        <v>7.5407790917061099</v>
      </c>
      <c r="P1311" s="232">
        <v>-32.85</v>
      </c>
      <c r="Q1311" s="35">
        <v>1.17683617163582E-2</v>
      </c>
      <c r="R1311" s="232">
        <v>-331.21</v>
      </c>
      <c r="S1311" s="35">
        <v>1.5370825680859337</v>
      </c>
      <c r="T1311" s="232">
        <v>26379.18</v>
      </c>
      <c r="U1311" s="35">
        <v>1.1534055487303387</v>
      </c>
      <c r="W1311" s="35">
        <f t="shared" si="127"/>
        <v>621.26808581790999</v>
      </c>
      <c r="X1311" s="35">
        <f t="shared" si="128"/>
        <v>77185.338404296694</v>
      </c>
      <c r="Y1311" s="35">
        <f t="shared" si="129"/>
        <v>31291.097436516939</v>
      </c>
      <c r="Z1311" s="35">
        <f t="shared" si="130"/>
        <v>0</v>
      </c>
      <c r="AA1311" s="35">
        <f t="shared" si="131"/>
        <v>1</v>
      </c>
      <c r="AB1311" s="35">
        <f t="shared" si="132"/>
        <v>0</v>
      </c>
    </row>
    <row r="1312" spans="1:28">
      <c r="A1312" s="35">
        <v>1301</v>
      </c>
      <c r="B1312" s="35">
        <v>4.6839050103142377E-4</v>
      </c>
      <c r="C1312" s="232">
        <v>61.51</v>
      </c>
      <c r="D1312" s="35">
        <v>5.0618491984648841</v>
      </c>
      <c r="E1312" s="232">
        <v>33.47</v>
      </c>
      <c r="F1312" s="35">
        <v>5.0495179810083108</v>
      </c>
      <c r="G1312" s="232">
        <v>10280.75</v>
      </c>
      <c r="H1312" s="35">
        <v>8.8478488371614006</v>
      </c>
      <c r="I1312" s="232">
        <v>11456.19</v>
      </c>
      <c r="J1312" s="35">
        <v>7.8911944111605594</v>
      </c>
      <c r="K1312" s="232">
        <v>13570.19</v>
      </c>
      <c r="L1312" s="35">
        <v>8.4190402926973125</v>
      </c>
      <c r="M1312" s="232">
        <v>39659.61</v>
      </c>
      <c r="N1312" s="35">
        <v>7.3488533515398959</v>
      </c>
      <c r="P1312" s="232">
        <v>-28.03</v>
      </c>
      <c r="Q1312" s="35">
        <v>1.2331217456573285E-2</v>
      </c>
      <c r="R1312" s="232">
        <v>1175.44</v>
      </c>
      <c r="S1312" s="35">
        <v>0.95665442600084116</v>
      </c>
      <c r="T1312" s="232">
        <v>26089.42</v>
      </c>
      <c r="U1312" s="35">
        <v>1.0701869411574165</v>
      </c>
      <c r="W1312" s="35">
        <f t="shared" si="127"/>
        <v>644.59087282866426</v>
      </c>
      <c r="X1312" s="35">
        <f t="shared" si="128"/>
        <v>46657.281300042057</v>
      </c>
      <c r="Y1312" s="35">
        <f t="shared" si="129"/>
        <v>27419.927057870831</v>
      </c>
      <c r="Z1312" s="35">
        <f t="shared" si="130"/>
        <v>0</v>
      </c>
      <c r="AA1312" s="35">
        <f t="shared" si="131"/>
        <v>1</v>
      </c>
      <c r="AB1312" s="35">
        <f t="shared" si="132"/>
        <v>0</v>
      </c>
    </row>
    <row r="1313" spans="1:28">
      <c r="A1313" s="35">
        <v>1302</v>
      </c>
      <c r="B1313" s="35">
        <v>3.9112377965582753E-4</v>
      </c>
      <c r="C1313" s="232">
        <v>59.73</v>
      </c>
      <c r="D1313" s="35">
        <v>5.0580224106009943</v>
      </c>
      <c r="E1313" s="232">
        <v>35.39</v>
      </c>
      <c r="F1313" s="35">
        <v>5.0485984202949146</v>
      </c>
      <c r="G1313" s="232">
        <v>11506.64</v>
      </c>
      <c r="H1313" s="35">
        <v>8.7713880905347406</v>
      </c>
      <c r="I1313" s="232">
        <v>10783.72</v>
      </c>
      <c r="J1313" s="35">
        <v>7.024148644726524</v>
      </c>
      <c r="K1313" s="232">
        <v>16859.36</v>
      </c>
      <c r="L1313" s="35">
        <v>8.5446271013584152</v>
      </c>
      <c r="M1313" s="232">
        <v>42992.4</v>
      </c>
      <c r="N1313" s="35">
        <v>7.4554243015353174</v>
      </c>
      <c r="P1313" s="232">
        <v>-24.34</v>
      </c>
      <c r="Q1313" s="35">
        <v>9.4239903060797658E-3</v>
      </c>
      <c r="R1313" s="232">
        <v>-722.92</v>
      </c>
      <c r="S1313" s="35">
        <v>1.7472394458082166</v>
      </c>
      <c r="T1313" s="232">
        <v>26133.03</v>
      </c>
      <c r="U1313" s="35">
        <v>1.0892027998230978</v>
      </c>
      <c r="W1313" s="35">
        <f t="shared" si="127"/>
        <v>495.53951530398825</v>
      </c>
      <c r="X1313" s="35">
        <f t="shared" si="128"/>
        <v>88084.892290410833</v>
      </c>
      <c r="Y1313" s="35">
        <f t="shared" si="129"/>
        <v>28327.109991154888</v>
      </c>
      <c r="Z1313" s="35">
        <f t="shared" si="130"/>
        <v>0</v>
      </c>
      <c r="AA1313" s="35">
        <f t="shared" si="131"/>
        <v>1</v>
      </c>
      <c r="AB1313" s="35">
        <f t="shared" si="132"/>
        <v>0</v>
      </c>
    </row>
    <row r="1314" spans="1:28">
      <c r="A1314" s="35">
        <v>1303</v>
      </c>
      <c r="B1314" s="35">
        <v>4.9852260019223049E-4</v>
      </c>
      <c r="C1314" s="232">
        <v>81.400000000000006</v>
      </c>
      <c r="D1314" s="35">
        <v>5.0627647713258801</v>
      </c>
      <c r="E1314" s="232">
        <v>51.8</v>
      </c>
      <c r="F1314" s="35">
        <v>5.0526100201610742</v>
      </c>
      <c r="G1314" s="232">
        <v>12827.03</v>
      </c>
      <c r="H1314" s="35">
        <v>8.5001659191768262</v>
      </c>
      <c r="I1314" s="232">
        <v>13787.05</v>
      </c>
      <c r="J1314" s="35">
        <v>7.0774546954029915</v>
      </c>
      <c r="K1314" s="232">
        <v>15551.54</v>
      </c>
      <c r="L1314" s="35">
        <v>8.4150286239294783</v>
      </c>
      <c r="M1314" s="232">
        <v>41759.01</v>
      </c>
      <c r="N1314" s="35">
        <v>7.2891821420112652</v>
      </c>
      <c r="P1314" s="232">
        <v>-29.61</v>
      </c>
      <c r="Q1314" s="35">
        <v>1.0154751164805909E-2</v>
      </c>
      <c r="R1314" s="232">
        <v>960.02</v>
      </c>
      <c r="S1314" s="35">
        <v>1.4227112237738346</v>
      </c>
      <c r="T1314" s="232">
        <v>26207.47</v>
      </c>
      <c r="U1314" s="35">
        <v>1.125846481918213</v>
      </c>
      <c r="W1314" s="35">
        <f t="shared" si="127"/>
        <v>537.34755824029537</v>
      </c>
      <c r="X1314" s="35">
        <f t="shared" si="128"/>
        <v>70175.541188691728</v>
      </c>
      <c r="Y1314" s="35">
        <f t="shared" si="129"/>
        <v>30084.854095910647</v>
      </c>
      <c r="Z1314" s="35">
        <f t="shared" si="130"/>
        <v>0</v>
      </c>
      <c r="AA1314" s="35">
        <f t="shared" si="131"/>
        <v>1</v>
      </c>
      <c r="AB1314" s="35">
        <f t="shared" si="132"/>
        <v>0</v>
      </c>
    </row>
    <row r="1315" spans="1:28">
      <c r="A1315" s="35">
        <v>1304</v>
      </c>
      <c r="B1315" s="35">
        <v>5.5277906464723525E-4</v>
      </c>
      <c r="C1315" s="232">
        <v>88.13</v>
      </c>
      <c r="D1315" s="35">
        <v>5.0663104549226867</v>
      </c>
      <c r="E1315" s="232">
        <v>50.44</v>
      </c>
      <c r="F1315" s="35">
        <v>5.0529895865848102</v>
      </c>
      <c r="G1315" s="232">
        <v>11737.54</v>
      </c>
      <c r="H1315" s="35">
        <v>8.6207156478086429</v>
      </c>
      <c r="I1315" s="232">
        <v>12054.72</v>
      </c>
      <c r="J1315" s="35">
        <v>7.4165182550522575</v>
      </c>
      <c r="K1315" s="232">
        <v>16612.43</v>
      </c>
      <c r="L1315" s="35">
        <v>8.5423315140382243</v>
      </c>
      <c r="M1315" s="232">
        <v>42824.12</v>
      </c>
      <c r="N1315" s="35">
        <v>7.3458264622138616</v>
      </c>
      <c r="P1315" s="232">
        <v>-37.69</v>
      </c>
      <c r="Q1315" s="35">
        <v>1.332086833787649E-2</v>
      </c>
      <c r="R1315" s="232">
        <v>317.18</v>
      </c>
      <c r="S1315" s="35">
        <v>1.2041973927563854</v>
      </c>
      <c r="T1315" s="232">
        <v>26211.68</v>
      </c>
      <c r="U1315" s="35">
        <v>1.1965050518243627</v>
      </c>
      <c r="W1315" s="35">
        <f t="shared" si="127"/>
        <v>703.7334168938246</v>
      </c>
      <c r="X1315" s="35">
        <f t="shared" si="128"/>
        <v>59892.689637819269</v>
      </c>
      <c r="Y1315" s="35">
        <f t="shared" si="129"/>
        <v>33613.572591218137</v>
      </c>
      <c r="Z1315" s="35">
        <f t="shared" si="130"/>
        <v>0</v>
      </c>
      <c r="AA1315" s="35">
        <f t="shared" si="131"/>
        <v>1</v>
      </c>
      <c r="AB1315" s="35">
        <f t="shared" si="132"/>
        <v>0</v>
      </c>
    </row>
    <row r="1316" spans="1:28">
      <c r="A1316" s="35">
        <v>1305</v>
      </c>
      <c r="B1316" s="35">
        <v>5.1762318544634756E-4</v>
      </c>
      <c r="C1316" s="232">
        <v>68.959999999999994</v>
      </c>
      <c r="D1316" s="35">
        <v>5.0665594515490691</v>
      </c>
      <c r="E1316" s="232">
        <v>42.54</v>
      </c>
      <c r="F1316" s="35">
        <v>5.0540673013037996</v>
      </c>
      <c r="G1316" s="232">
        <v>10492.55</v>
      </c>
      <c r="H1316" s="35">
        <v>9.053417270871094</v>
      </c>
      <c r="I1316" s="232">
        <v>11987.67</v>
      </c>
      <c r="J1316" s="35">
        <v>7.8446957832579161</v>
      </c>
      <c r="K1316" s="232">
        <v>12006.67</v>
      </c>
      <c r="L1316" s="35">
        <v>8.8031067432136609</v>
      </c>
      <c r="M1316" s="232">
        <v>38011.15</v>
      </c>
      <c r="N1316" s="35">
        <v>7.6809659097866652</v>
      </c>
      <c r="P1316" s="232">
        <v>-26.42</v>
      </c>
      <c r="Q1316" s="35">
        <v>1.2492150245269507E-2</v>
      </c>
      <c r="R1316" s="232">
        <v>1495.12</v>
      </c>
      <c r="S1316" s="35">
        <v>1.208721487613178</v>
      </c>
      <c r="T1316" s="232">
        <v>26004.48</v>
      </c>
      <c r="U1316" s="35">
        <v>1.1221408334269958</v>
      </c>
      <c r="W1316" s="35">
        <f t="shared" si="127"/>
        <v>651.02751226347527</v>
      </c>
      <c r="X1316" s="35">
        <f t="shared" si="128"/>
        <v>58940.954380658899</v>
      </c>
      <c r="Y1316" s="35">
        <f t="shared" si="129"/>
        <v>30102.561671349791</v>
      </c>
      <c r="Z1316" s="35">
        <f t="shared" si="130"/>
        <v>0</v>
      </c>
      <c r="AA1316" s="35">
        <f t="shared" si="131"/>
        <v>1</v>
      </c>
      <c r="AB1316" s="35">
        <f t="shared" si="132"/>
        <v>0</v>
      </c>
    </row>
    <row r="1317" spans="1:28">
      <c r="A1317" s="35">
        <v>1306</v>
      </c>
      <c r="B1317" s="35">
        <v>3.4693357363885864E-4</v>
      </c>
      <c r="C1317" s="232">
        <v>54.34</v>
      </c>
      <c r="D1317" s="35">
        <v>5.0562909645145613</v>
      </c>
      <c r="E1317" s="232">
        <v>33.06</v>
      </c>
      <c r="F1317" s="35">
        <v>5.0478593266029277</v>
      </c>
      <c r="G1317" s="232">
        <v>12606.71</v>
      </c>
      <c r="H1317" s="35">
        <v>8.8604271844474525</v>
      </c>
      <c r="I1317" s="232">
        <v>13562.4</v>
      </c>
      <c r="J1317" s="35">
        <v>7.248892249245106</v>
      </c>
      <c r="K1317" s="232">
        <v>15606.49</v>
      </c>
      <c r="L1317" s="35">
        <v>8.5589579023943365</v>
      </c>
      <c r="M1317" s="232">
        <v>41836.06</v>
      </c>
      <c r="N1317" s="35">
        <v>7.403928736272734</v>
      </c>
      <c r="P1317" s="232">
        <v>-21.28</v>
      </c>
      <c r="Q1317" s="35">
        <v>8.4316379116335938E-3</v>
      </c>
      <c r="R1317" s="232">
        <v>955.69</v>
      </c>
      <c r="S1317" s="35">
        <v>1.6115349352023465</v>
      </c>
      <c r="T1317" s="232">
        <v>26229.57</v>
      </c>
      <c r="U1317" s="35">
        <v>1.1550291661216026</v>
      </c>
      <c r="W1317" s="35">
        <f t="shared" si="127"/>
        <v>442.86189558167973</v>
      </c>
      <c r="X1317" s="35">
        <f t="shared" si="128"/>
        <v>79621.056760117324</v>
      </c>
      <c r="Y1317" s="35">
        <f t="shared" si="129"/>
        <v>31521.888306080131</v>
      </c>
      <c r="Z1317" s="35">
        <f t="shared" si="130"/>
        <v>0</v>
      </c>
      <c r="AA1317" s="35">
        <f t="shared" si="131"/>
        <v>1</v>
      </c>
      <c r="AB1317" s="35">
        <f t="shared" si="132"/>
        <v>0</v>
      </c>
    </row>
    <row r="1318" spans="1:28">
      <c r="A1318" s="35">
        <v>1307</v>
      </c>
      <c r="B1318" s="35">
        <v>4.5655639166231055E-4</v>
      </c>
      <c r="C1318" s="232">
        <v>48.46</v>
      </c>
      <c r="D1318" s="35">
        <v>5.0615602004759914</v>
      </c>
      <c r="E1318" s="232">
        <v>28.57</v>
      </c>
      <c r="F1318" s="35">
        <v>5.0500739582844183</v>
      </c>
      <c r="G1318" s="232">
        <v>9152.5300000000007</v>
      </c>
      <c r="H1318" s="35">
        <v>8.8682217808620791</v>
      </c>
      <c r="I1318" s="232">
        <v>11473.5</v>
      </c>
      <c r="J1318" s="35">
        <v>8.5542683141851654</v>
      </c>
      <c r="K1318" s="232">
        <v>7798.7</v>
      </c>
      <c r="L1318" s="35">
        <v>8.4358005573420236</v>
      </c>
      <c r="M1318" s="232">
        <v>33527.75</v>
      </c>
      <c r="N1318" s="35">
        <v>7.3547482908119308</v>
      </c>
      <c r="P1318" s="232">
        <v>-19.88</v>
      </c>
      <c r="Q1318" s="35">
        <v>1.1486242191573126E-2</v>
      </c>
      <c r="R1318" s="232">
        <v>2320.96</v>
      </c>
      <c r="S1318" s="35">
        <v>0.31395346667691371</v>
      </c>
      <c r="T1318" s="232">
        <v>25729.05</v>
      </c>
      <c r="U1318" s="35">
        <v>1.0810522665300928</v>
      </c>
      <c r="W1318" s="35">
        <f t="shared" si="127"/>
        <v>594.1921095786563</v>
      </c>
      <c r="X1318" s="35">
        <f t="shared" si="128"/>
        <v>13376.713333845684</v>
      </c>
      <c r="Y1318" s="35">
        <f t="shared" si="129"/>
        <v>28323.563326504638</v>
      </c>
      <c r="Z1318" s="35">
        <f t="shared" si="130"/>
        <v>0</v>
      </c>
      <c r="AA1318" s="35">
        <f t="shared" si="131"/>
        <v>0</v>
      </c>
      <c r="AB1318" s="35">
        <f t="shared" si="132"/>
        <v>1</v>
      </c>
    </row>
    <row r="1319" spans="1:28">
      <c r="A1319" s="35">
        <v>1308</v>
      </c>
      <c r="B1319" s="35">
        <v>4.1507220832040102E-4</v>
      </c>
      <c r="C1319" s="232">
        <v>81.98</v>
      </c>
      <c r="D1319" s="35">
        <v>5.0587002326088157</v>
      </c>
      <c r="E1319" s="232">
        <v>53.73</v>
      </c>
      <c r="F1319" s="35">
        <v>5.0506108355701889</v>
      </c>
      <c r="G1319" s="232">
        <v>14321.08</v>
      </c>
      <c r="H1319" s="35">
        <v>8.3815983225251927</v>
      </c>
      <c r="I1319" s="232">
        <v>14898.13</v>
      </c>
      <c r="J1319" s="35">
        <v>7.5985455681622289</v>
      </c>
      <c r="K1319" s="232">
        <v>22204.37</v>
      </c>
      <c r="L1319" s="35">
        <v>8.5997902894907288</v>
      </c>
      <c r="M1319" s="232">
        <v>48800.88</v>
      </c>
      <c r="N1319" s="35">
        <v>7.4589350831028982</v>
      </c>
      <c r="P1319" s="232">
        <v>-28.25</v>
      </c>
      <c r="Q1319" s="35">
        <v>8.0893970386268776E-3</v>
      </c>
      <c r="R1319" s="232">
        <v>577.04999999999995</v>
      </c>
      <c r="S1319" s="35">
        <v>0.78305275436296373</v>
      </c>
      <c r="T1319" s="232">
        <v>26596.5</v>
      </c>
      <c r="U1319" s="35">
        <v>1.1408552063878306</v>
      </c>
      <c r="W1319" s="35">
        <f t="shared" si="127"/>
        <v>432.7198519313439</v>
      </c>
      <c r="X1319" s="35">
        <f t="shared" si="128"/>
        <v>38575.587718148185</v>
      </c>
      <c r="Y1319" s="35">
        <f t="shared" si="129"/>
        <v>30446.260319391527</v>
      </c>
      <c r="Z1319" s="35">
        <f t="shared" si="130"/>
        <v>0</v>
      </c>
      <c r="AA1319" s="35">
        <f t="shared" si="131"/>
        <v>1</v>
      </c>
      <c r="AB1319" s="35">
        <f t="shared" si="132"/>
        <v>0</v>
      </c>
    </row>
    <row r="1320" spans="1:28">
      <c r="A1320" s="35">
        <v>1309</v>
      </c>
      <c r="B1320" s="35">
        <v>6.0906314964770392E-4</v>
      </c>
      <c r="C1320" s="232">
        <v>78.52</v>
      </c>
      <c r="D1320" s="35">
        <v>5.0667203657957147</v>
      </c>
      <c r="E1320" s="232">
        <v>44.93</v>
      </c>
      <c r="F1320" s="35">
        <v>5.0530550706927295</v>
      </c>
      <c r="G1320" s="232">
        <v>10198.41</v>
      </c>
      <c r="H1320" s="35">
        <v>8.323729220789593</v>
      </c>
      <c r="I1320" s="232">
        <v>10998.79</v>
      </c>
      <c r="J1320" s="35">
        <v>6.8143606004651023</v>
      </c>
      <c r="K1320" s="232">
        <v>13528.15</v>
      </c>
      <c r="L1320" s="35">
        <v>8.2825277820127816</v>
      </c>
      <c r="M1320" s="232">
        <v>39599.120000000003</v>
      </c>
      <c r="N1320" s="35">
        <v>7.2138745932000159</v>
      </c>
      <c r="P1320" s="232">
        <v>-33.590000000000003</v>
      </c>
      <c r="Q1320" s="35">
        <v>1.3665295102985198E-2</v>
      </c>
      <c r="R1320" s="232">
        <v>800.38</v>
      </c>
      <c r="S1320" s="35">
        <v>1.5093686203244907</v>
      </c>
      <c r="T1320" s="232">
        <v>26070.97</v>
      </c>
      <c r="U1320" s="35">
        <v>1.0686531888127657</v>
      </c>
      <c r="W1320" s="35">
        <f t="shared" si="127"/>
        <v>716.85475514925986</v>
      </c>
      <c r="X1320" s="35">
        <f t="shared" si="128"/>
        <v>74668.051016224534</v>
      </c>
      <c r="Y1320" s="35">
        <f t="shared" si="129"/>
        <v>27361.689440638285</v>
      </c>
      <c r="Z1320" s="35">
        <f t="shared" si="130"/>
        <v>0</v>
      </c>
      <c r="AA1320" s="35">
        <f t="shared" si="131"/>
        <v>1</v>
      </c>
      <c r="AB1320" s="35">
        <f t="shared" si="132"/>
        <v>0</v>
      </c>
    </row>
    <row r="1321" spans="1:28">
      <c r="A1321" s="35">
        <v>1310</v>
      </c>
      <c r="B1321" s="35">
        <v>6.8611258175466094E-4</v>
      </c>
      <c r="C1321" s="232">
        <v>93.22</v>
      </c>
      <c r="D1321" s="35">
        <v>5.0711721052901844</v>
      </c>
      <c r="E1321" s="232">
        <v>55.4</v>
      </c>
      <c r="F1321" s="35">
        <v>5.0563733728214642</v>
      </c>
      <c r="G1321" s="232">
        <v>10923.11</v>
      </c>
      <c r="H1321" s="35">
        <v>8.4874045967306682</v>
      </c>
      <c r="I1321" s="232">
        <v>12547.26</v>
      </c>
      <c r="J1321" s="35">
        <v>7.1602281129077214</v>
      </c>
      <c r="K1321" s="232">
        <v>11742.14</v>
      </c>
      <c r="L1321" s="35">
        <v>8.1902492915221572</v>
      </c>
      <c r="M1321" s="232">
        <v>37613.49</v>
      </c>
      <c r="N1321" s="35">
        <v>7.1001629899699621</v>
      </c>
      <c r="P1321" s="232">
        <v>-37.82</v>
      </c>
      <c r="Q1321" s="35">
        <v>1.479873246872021E-2</v>
      </c>
      <c r="R1321" s="232">
        <v>1624.15</v>
      </c>
      <c r="S1321" s="35">
        <v>1.3271764838229467</v>
      </c>
      <c r="T1321" s="232">
        <v>25871.35</v>
      </c>
      <c r="U1321" s="35">
        <v>1.0900863015521951</v>
      </c>
      <c r="W1321" s="35">
        <f t="shared" si="127"/>
        <v>777.75662343601061</v>
      </c>
      <c r="X1321" s="35">
        <f t="shared" si="128"/>
        <v>64734.674191147329</v>
      </c>
      <c r="Y1321" s="35">
        <f t="shared" si="129"/>
        <v>28632.965077609755</v>
      </c>
      <c r="Z1321" s="35">
        <f t="shared" si="130"/>
        <v>0</v>
      </c>
      <c r="AA1321" s="35">
        <f t="shared" si="131"/>
        <v>1</v>
      </c>
      <c r="AB1321" s="35">
        <f t="shared" si="132"/>
        <v>0</v>
      </c>
    </row>
    <row r="1322" spans="1:28">
      <c r="A1322" s="35">
        <v>1311</v>
      </c>
      <c r="B1322" s="35">
        <v>6.4171534448742573E-4</v>
      </c>
      <c r="C1322" s="232">
        <v>101.02</v>
      </c>
      <c r="D1322" s="35">
        <v>5.0723485235473387</v>
      </c>
      <c r="E1322" s="232">
        <v>64.599999999999994</v>
      </c>
      <c r="F1322" s="35">
        <v>5.0586849727912426</v>
      </c>
      <c r="G1322" s="232">
        <v>12771.2</v>
      </c>
      <c r="H1322" s="35">
        <v>8.942372454500692</v>
      </c>
      <c r="I1322" s="232">
        <v>14620.57</v>
      </c>
      <c r="J1322" s="35">
        <v>8.0716972797344884</v>
      </c>
      <c r="K1322" s="232">
        <v>14232.37</v>
      </c>
      <c r="L1322" s="35">
        <v>8.571828187242458</v>
      </c>
      <c r="M1322" s="232">
        <v>40414.35</v>
      </c>
      <c r="N1322" s="35">
        <v>7.4642857782788425</v>
      </c>
      <c r="P1322" s="232">
        <v>-36.42</v>
      </c>
      <c r="Q1322" s="35">
        <v>1.3663550756096043E-2</v>
      </c>
      <c r="R1322" s="232">
        <v>1849.37</v>
      </c>
      <c r="S1322" s="35">
        <v>0.8706751747662036</v>
      </c>
      <c r="T1322" s="232">
        <v>26181.98</v>
      </c>
      <c r="U1322" s="35">
        <v>1.1075424089636154</v>
      </c>
      <c r="W1322" s="35">
        <f t="shared" si="127"/>
        <v>719.59753780480207</v>
      </c>
      <c r="X1322" s="35">
        <f t="shared" si="128"/>
        <v>41684.388738310176</v>
      </c>
      <c r="Y1322" s="35">
        <f t="shared" si="129"/>
        <v>29195.140448180773</v>
      </c>
      <c r="Z1322" s="35">
        <f t="shared" si="130"/>
        <v>0</v>
      </c>
      <c r="AA1322" s="35">
        <f t="shared" si="131"/>
        <v>1</v>
      </c>
      <c r="AB1322" s="35">
        <f t="shared" si="132"/>
        <v>0</v>
      </c>
    </row>
    <row r="1323" spans="1:28">
      <c r="A1323" s="35">
        <v>1312</v>
      </c>
      <c r="B1323" s="35">
        <v>4.1149230146018603E-4</v>
      </c>
      <c r="C1323" s="232">
        <v>53.98</v>
      </c>
      <c r="D1323" s="35">
        <v>5.0592050360305478</v>
      </c>
      <c r="E1323" s="232">
        <v>36.43</v>
      </c>
      <c r="F1323" s="35">
        <v>5.0508424263933343</v>
      </c>
      <c r="G1323" s="232">
        <v>10619.43</v>
      </c>
      <c r="H1323" s="35">
        <v>8.6166416638221008</v>
      </c>
      <c r="I1323" s="232">
        <v>12096.49</v>
      </c>
      <c r="J1323" s="35">
        <v>6.9077912551182292</v>
      </c>
      <c r="K1323" s="232">
        <v>12212.23</v>
      </c>
      <c r="L1323" s="35">
        <v>8.6383173312334005</v>
      </c>
      <c r="M1323" s="232">
        <v>38111.120000000003</v>
      </c>
      <c r="N1323" s="35">
        <v>7.5289712659020509</v>
      </c>
      <c r="P1323" s="232">
        <v>-17.55</v>
      </c>
      <c r="Q1323" s="35">
        <v>8.3626096372135805E-3</v>
      </c>
      <c r="R1323" s="232">
        <v>1477.06</v>
      </c>
      <c r="S1323" s="35">
        <v>1.7088504087038716</v>
      </c>
      <c r="T1323" s="232">
        <v>25898.89</v>
      </c>
      <c r="U1323" s="35">
        <v>1.1093460653313496</v>
      </c>
      <c r="W1323" s="35">
        <f t="shared" si="127"/>
        <v>435.68048186067904</v>
      </c>
      <c r="X1323" s="35">
        <f t="shared" si="128"/>
        <v>83965.460435193585</v>
      </c>
      <c r="Y1323" s="35">
        <f t="shared" si="129"/>
        <v>29568.413266567484</v>
      </c>
      <c r="Z1323" s="35">
        <f t="shared" si="130"/>
        <v>0</v>
      </c>
      <c r="AA1323" s="35">
        <f t="shared" si="131"/>
        <v>1</v>
      </c>
      <c r="AB1323" s="35">
        <f t="shared" si="132"/>
        <v>0</v>
      </c>
    </row>
    <row r="1324" spans="1:28">
      <c r="A1324" s="35">
        <v>1313</v>
      </c>
      <c r="B1324" s="35">
        <v>3.8264929681866252E-4</v>
      </c>
      <c r="C1324" s="232">
        <v>90.39</v>
      </c>
      <c r="D1324" s="35">
        <v>5.0574232506555763</v>
      </c>
      <c r="E1324" s="232">
        <v>57.78</v>
      </c>
      <c r="F1324" s="35">
        <v>5.0495964723271083</v>
      </c>
      <c r="G1324" s="232">
        <v>17714.62</v>
      </c>
      <c r="H1324" s="35">
        <v>8.6642183229442846</v>
      </c>
      <c r="I1324" s="232">
        <v>16361.32</v>
      </c>
      <c r="J1324" s="35">
        <v>7.2501368643420196</v>
      </c>
      <c r="K1324" s="232">
        <v>26232.93</v>
      </c>
      <c r="L1324" s="35">
        <v>8.3965163798285118</v>
      </c>
      <c r="M1324" s="232">
        <v>52990.18</v>
      </c>
      <c r="N1324" s="35">
        <v>7.2661047444470359</v>
      </c>
      <c r="P1324" s="232">
        <v>-32.61</v>
      </c>
      <c r="Q1324" s="35">
        <v>7.8267783284680092E-3</v>
      </c>
      <c r="R1324" s="232">
        <v>-1353.31</v>
      </c>
      <c r="S1324" s="35">
        <v>1.414081458602265</v>
      </c>
      <c r="T1324" s="232">
        <v>26757.25</v>
      </c>
      <c r="U1324" s="35">
        <v>1.1304116353814759</v>
      </c>
      <c r="W1324" s="35">
        <f t="shared" si="127"/>
        <v>423.94891642340048</v>
      </c>
      <c r="X1324" s="35">
        <f t="shared" si="128"/>
        <v>72057.38293011325</v>
      </c>
      <c r="Y1324" s="35">
        <f t="shared" si="129"/>
        <v>29763.331769073797</v>
      </c>
      <c r="Z1324" s="35">
        <f t="shared" si="130"/>
        <v>0</v>
      </c>
      <c r="AA1324" s="35">
        <f t="shared" si="131"/>
        <v>1</v>
      </c>
      <c r="AB1324" s="35">
        <f t="shared" si="132"/>
        <v>0</v>
      </c>
    </row>
    <row r="1325" spans="1:28">
      <c r="A1325" s="35">
        <v>1314</v>
      </c>
      <c r="B1325" s="35">
        <v>4.3957304588022178E-4</v>
      </c>
      <c r="C1325" s="232">
        <v>72.680000000000007</v>
      </c>
      <c r="D1325" s="35">
        <v>5.0597581223261541</v>
      </c>
      <c r="E1325" s="232">
        <v>41.53</v>
      </c>
      <c r="F1325" s="35">
        <v>5.0492965342609031</v>
      </c>
      <c r="G1325" s="232">
        <v>12790.4</v>
      </c>
      <c r="H1325" s="35">
        <v>8.6068757695353302</v>
      </c>
      <c r="I1325" s="232">
        <v>14826.49</v>
      </c>
      <c r="J1325" s="35">
        <v>8.4823494388760263</v>
      </c>
      <c r="K1325" s="232">
        <v>18440.23</v>
      </c>
      <c r="L1325" s="35">
        <v>8.2618979610770147</v>
      </c>
      <c r="M1325" s="232">
        <v>44781.07</v>
      </c>
      <c r="N1325" s="35">
        <v>7.0820756902310329</v>
      </c>
      <c r="P1325" s="232">
        <v>-31.15</v>
      </c>
      <c r="Q1325" s="35">
        <v>1.0461588065250993E-2</v>
      </c>
      <c r="R1325" s="232">
        <v>2036.09</v>
      </c>
      <c r="S1325" s="35">
        <v>0.12452633065930385</v>
      </c>
      <c r="T1325" s="232">
        <v>26340.84</v>
      </c>
      <c r="U1325" s="35">
        <v>1.1798222708459818</v>
      </c>
      <c r="W1325" s="35">
        <f t="shared" si="127"/>
        <v>554.22940326254968</v>
      </c>
      <c r="X1325" s="35">
        <f t="shared" si="128"/>
        <v>4190.2265329651927</v>
      </c>
      <c r="Y1325" s="35">
        <f t="shared" si="129"/>
        <v>32650.273542299092</v>
      </c>
      <c r="Z1325" s="35">
        <f t="shared" si="130"/>
        <v>0</v>
      </c>
      <c r="AA1325" s="35">
        <f t="shared" si="131"/>
        <v>0</v>
      </c>
      <c r="AB1325" s="35">
        <f t="shared" si="132"/>
        <v>1</v>
      </c>
    </row>
    <row r="1326" spans="1:28">
      <c r="A1326" s="35">
        <v>1315</v>
      </c>
      <c r="B1326" s="35">
        <v>3.7799130670813057E-4</v>
      </c>
      <c r="C1326" s="232">
        <v>53.92</v>
      </c>
      <c r="D1326" s="35">
        <v>5.0567654905887611</v>
      </c>
      <c r="E1326" s="232">
        <v>37.61</v>
      </c>
      <c r="F1326" s="35">
        <v>5.0497836124265474</v>
      </c>
      <c r="G1326" s="232">
        <v>11176.96</v>
      </c>
      <c r="H1326" s="35">
        <v>8.2493172424885604</v>
      </c>
      <c r="I1326" s="232">
        <v>12616.55</v>
      </c>
      <c r="J1326" s="35">
        <v>7.0806032202040505</v>
      </c>
      <c r="K1326" s="232">
        <v>13689.94</v>
      </c>
      <c r="L1326" s="35">
        <v>8.7672497077121765</v>
      </c>
      <c r="M1326" s="232">
        <v>39612.25</v>
      </c>
      <c r="N1326" s="35">
        <v>7.670595122426314</v>
      </c>
      <c r="P1326" s="232">
        <v>-16.32</v>
      </c>
      <c r="Q1326" s="35">
        <v>6.9818781622137394E-3</v>
      </c>
      <c r="R1326" s="232">
        <v>1439.59</v>
      </c>
      <c r="S1326" s="35">
        <v>1.1687140222845098</v>
      </c>
      <c r="T1326" s="232">
        <v>25922.31</v>
      </c>
      <c r="U1326" s="35">
        <v>1.0966545852858625</v>
      </c>
      <c r="W1326" s="35">
        <f t="shared" si="127"/>
        <v>365.41390811068698</v>
      </c>
      <c r="X1326" s="35">
        <f t="shared" si="128"/>
        <v>56996.111114225496</v>
      </c>
      <c r="Y1326" s="35">
        <f t="shared" si="129"/>
        <v>28910.419264293119</v>
      </c>
      <c r="Z1326" s="35">
        <f t="shared" si="130"/>
        <v>0</v>
      </c>
      <c r="AA1326" s="35">
        <f t="shared" si="131"/>
        <v>1</v>
      </c>
      <c r="AB1326" s="35">
        <f t="shared" si="132"/>
        <v>0</v>
      </c>
    </row>
    <row r="1327" spans="1:28">
      <c r="A1327" s="35">
        <v>1316</v>
      </c>
      <c r="B1327" s="35">
        <v>4.4115395109158934E-4</v>
      </c>
      <c r="C1327" s="232">
        <v>98.54</v>
      </c>
      <c r="D1327" s="35">
        <v>5.0631901965646069</v>
      </c>
      <c r="E1327" s="232">
        <v>60.3</v>
      </c>
      <c r="F1327" s="35">
        <v>5.0524431962540719</v>
      </c>
      <c r="G1327" s="232">
        <v>17316.57</v>
      </c>
      <c r="H1327" s="35">
        <v>9.3720740136715381</v>
      </c>
      <c r="I1327" s="232">
        <v>16232.4</v>
      </c>
      <c r="J1327" s="35">
        <v>7.7679028909294692</v>
      </c>
      <c r="K1327" s="232">
        <v>24579.67</v>
      </c>
      <c r="L1327" s="35">
        <v>8.6551176323259931</v>
      </c>
      <c r="M1327" s="232">
        <v>51189.63</v>
      </c>
      <c r="N1327" s="35">
        <v>7.4747658526742571</v>
      </c>
      <c r="P1327" s="232">
        <v>-38.24</v>
      </c>
      <c r="Q1327" s="35">
        <v>1.0747000310534993E-2</v>
      </c>
      <c r="R1327" s="232">
        <v>-1084.17</v>
      </c>
      <c r="S1327" s="35">
        <v>1.604171122742069</v>
      </c>
      <c r="T1327" s="232">
        <v>26609.96</v>
      </c>
      <c r="U1327" s="35">
        <v>1.180351779651736</v>
      </c>
      <c r="W1327" s="35">
        <f t="shared" si="127"/>
        <v>575.59001552674965</v>
      </c>
      <c r="X1327" s="35">
        <f t="shared" si="128"/>
        <v>81292.72613710344</v>
      </c>
      <c r="Y1327" s="35">
        <f t="shared" si="129"/>
        <v>32407.628982586801</v>
      </c>
      <c r="Z1327" s="35">
        <f t="shared" si="130"/>
        <v>0</v>
      </c>
      <c r="AA1327" s="35">
        <f t="shared" si="131"/>
        <v>1</v>
      </c>
      <c r="AB1327" s="35">
        <f t="shared" si="132"/>
        <v>0</v>
      </c>
    </row>
    <row r="1328" spans="1:28">
      <c r="A1328" s="35">
        <v>1317</v>
      </c>
      <c r="B1328" s="35">
        <v>3.6856151428550031E-4</v>
      </c>
      <c r="C1328" s="232">
        <v>59.43</v>
      </c>
      <c r="D1328" s="35">
        <v>5.0591945662957993</v>
      </c>
      <c r="E1328" s="232">
        <v>35.020000000000003</v>
      </c>
      <c r="F1328" s="35">
        <v>5.049144374288578</v>
      </c>
      <c r="G1328" s="232">
        <v>12676.24</v>
      </c>
      <c r="H1328" s="35">
        <v>9.4017915722962524</v>
      </c>
      <c r="I1328" s="232">
        <v>13625.88</v>
      </c>
      <c r="J1328" s="35">
        <v>7.8562842699472863</v>
      </c>
      <c r="K1328" s="232">
        <v>14524.44</v>
      </c>
      <c r="L1328" s="35">
        <v>8.9224399821822811</v>
      </c>
      <c r="M1328" s="232">
        <v>40551.32</v>
      </c>
      <c r="N1328" s="35">
        <v>7.8538652506599682</v>
      </c>
      <c r="P1328" s="232">
        <v>-24.41</v>
      </c>
      <c r="Q1328" s="35">
        <v>1.0050192007221348E-2</v>
      </c>
      <c r="R1328" s="232">
        <v>949.64</v>
      </c>
      <c r="S1328" s="35">
        <v>1.545507302348966</v>
      </c>
      <c r="T1328" s="232">
        <v>26026.880000000001</v>
      </c>
      <c r="U1328" s="35">
        <v>1.0685747315223129</v>
      </c>
      <c r="W1328" s="35">
        <f t="shared" si="127"/>
        <v>526.91960036106741</v>
      </c>
      <c r="X1328" s="35">
        <f t="shared" si="128"/>
        <v>76325.72511744831</v>
      </c>
      <c r="Y1328" s="35">
        <f t="shared" si="129"/>
        <v>27401.856576115639</v>
      </c>
      <c r="Z1328" s="35">
        <f t="shared" si="130"/>
        <v>0</v>
      </c>
      <c r="AA1328" s="35">
        <f t="shared" si="131"/>
        <v>1</v>
      </c>
      <c r="AB1328" s="35">
        <f t="shared" si="132"/>
        <v>0</v>
      </c>
    </row>
    <row r="1329" spans="1:28">
      <c r="A1329" s="35">
        <v>1318</v>
      </c>
      <c r="B1329" s="35">
        <v>3.9586178038347671E-4</v>
      </c>
      <c r="C1329" s="232">
        <v>51.48</v>
      </c>
      <c r="D1329" s="35">
        <v>5.0608416964171665</v>
      </c>
      <c r="E1329" s="232">
        <v>31.09</v>
      </c>
      <c r="F1329" s="35">
        <v>5.0501352875628918</v>
      </c>
      <c r="G1329" s="232">
        <v>11030.75</v>
      </c>
      <c r="H1329" s="35">
        <v>9.470524164844738</v>
      </c>
      <c r="I1329" s="232">
        <v>13097.44</v>
      </c>
      <c r="J1329" s="35">
        <v>7.3883041456376466</v>
      </c>
      <c r="K1329" s="232">
        <v>11590.89</v>
      </c>
      <c r="L1329" s="35">
        <v>8.747658919831995</v>
      </c>
      <c r="M1329" s="232">
        <v>37492.33</v>
      </c>
      <c r="N1329" s="35">
        <v>7.5845539015564833</v>
      </c>
      <c r="P1329" s="232">
        <v>-20.38</v>
      </c>
      <c r="Q1329" s="35">
        <v>1.0706408854274763E-2</v>
      </c>
      <c r="R1329" s="232">
        <v>2066.69</v>
      </c>
      <c r="S1329" s="35">
        <v>2.0822200192070914</v>
      </c>
      <c r="T1329" s="232">
        <v>25901.439999999999</v>
      </c>
      <c r="U1329" s="35">
        <v>1.1631050182755116</v>
      </c>
      <c r="W1329" s="35">
        <f t="shared" si="127"/>
        <v>555.70044271373808</v>
      </c>
      <c r="X1329" s="35">
        <f t="shared" si="128"/>
        <v>102044.31096035457</v>
      </c>
      <c r="Y1329" s="35">
        <f t="shared" si="129"/>
        <v>32253.810913775578</v>
      </c>
      <c r="Z1329" s="35">
        <f t="shared" si="130"/>
        <v>0</v>
      </c>
      <c r="AA1329" s="35">
        <f t="shared" si="131"/>
        <v>1</v>
      </c>
      <c r="AB1329" s="35">
        <f t="shared" si="132"/>
        <v>0</v>
      </c>
    </row>
    <row r="1330" spans="1:28">
      <c r="A1330" s="35">
        <v>1319</v>
      </c>
      <c r="B1330" s="35">
        <v>3.8983775816523949E-4</v>
      </c>
      <c r="C1330" s="232">
        <v>52.99</v>
      </c>
      <c r="D1330" s="35">
        <v>5.0572972139761889</v>
      </c>
      <c r="E1330" s="232">
        <v>33.32</v>
      </c>
      <c r="F1330" s="35">
        <v>5.0487673720363366</v>
      </c>
      <c r="G1330" s="232">
        <v>10168.120000000001</v>
      </c>
      <c r="H1330" s="35">
        <v>8.3564560991071684</v>
      </c>
      <c r="I1330" s="232">
        <v>10946.01</v>
      </c>
      <c r="J1330" s="35">
        <v>7.2167324205923622</v>
      </c>
      <c r="K1330" s="232">
        <v>14911.12</v>
      </c>
      <c r="L1330" s="35">
        <v>8.5851133272105091</v>
      </c>
      <c r="M1330" s="232">
        <v>41067.279999999999</v>
      </c>
      <c r="N1330" s="35">
        <v>7.3952522984356763</v>
      </c>
      <c r="P1330" s="232">
        <v>-19.670000000000002</v>
      </c>
      <c r="Q1330" s="35">
        <v>8.5298419398522896E-3</v>
      </c>
      <c r="R1330" s="232">
        <v>777.89</v>
      </c>
      <c r="S1330" s="35">
        <v>1.1397236785148062</v>
      </c>
      <c r="T1330" s="232">
        <v>26156.15</v>
      </c>
      <c r="U1330" s="35">
        <v>1.1898610287748328</v>
      </c>
      <c r="W1330" s="35">
        <f t="shared" si="127"/>
        <v>446.16209699261452</v>
      </c>
      <c r="X1330" s="35">
        <f t="shared" si="128"/>
        <v>56208.293925740305</v>
      </c>
      <c r="Y1330" s="35">
        <f t="shared" si="129"/>
        <v>33336.901438741639</v>
      </c>
      <c r="Z1330" s="35">
        <f t="shared" si="130"/>
        <v>0</v>
      </c>
      <c r="AA1330" s="35">
        <f t="shared" si="131"/>
        <v>1</v>
      </c>
      <c r="AB1330" s="35">
        <f t="shared" si="132"/>
        <v>0</v>
      </c>
    </row>
    <row r="1331" spans="1:28">
      <c r="A1331" s="35">
        <v>1320</v>
      </c>
      <c r="B1331" s="35">
        <v>5.5574405376357383E-4</v>
      </c>
      <c r="C1331" s="232">
        <v>68.510000000000005</v>
      </c>
      <c r="D1331" s="35">
        <v>5.0662283084575739</v>
      </c>
      <c r="E1331" s="232">
        <v>39.979999999999997</v>
      </c>
      <c r="F1331" s="35">
        <v>5.0529231003189423</v>
      </c>
      <c r="G1331" s="232">
        <v>9021.42</v>
      </c>
      <c r="H1331" s="35">
        <v>8.423511256496452</v>
      </c>
      <c r="I1331" s="232">
        <v>9408.98</v>
      </c>
      <c r="J1331" s="35">
        <v>6.837543814268261</v>
      </c>
      <c r="K1331" s="232">
        <v>12741.32</v>
      </c>
      <c r="L1331" s="35">
        <v>8.9256410205740835</v>
      </c>
      <c r="M1331" s="232">
        <v>38670.94</v>
      </c>
      <c r="N1331" s="35">
        <v>7.8227033030020383</v>
      </c>
      <c r="P1331" s="232">
        <v>-28.54</v>
      </c>
      <c r="Q1331" s="35">
        <v>1.3305208138631563E-2</v>
      </c>
      <c r="R1331" s="232">
        <v>387.57</v>
      </c>
      <c r="S1331" s="35">
        <v>1.5859674422281911</v>
      </c>
      <c r="T1331" s="232">
        <v>25929.61</v>
      </c>
      <c r="U1331" s="35">
        <v>1.1029377175720452</v>
      </c>
      <c r="W1331" s="35">
        <f t="shared" si="127"/>
        <v>693.8004069315781</v>
      </c>
      <c r="X1331" s="35">
        <f t="shared" si="128"/>
        <v>78910.802111409546</v>
      </c>
      <c r="Y1331" s="35">
        <f t="shared" si="129"/>
        <v>29217.27587860226</v>
      </c>
      <c r="Z1331" s="35">
        <f t="shared" si="130"/>
        <v>0</v>
      </c>
      <c r="AA1331" s="35">
        <f t="shared" si="131"/>
        <v>1</v>
      </c>
      <c r="AB1331" s="35">
        <f t="shared" si="132"/>
        <v>0</v>
      </c>
    </row>
    <row r="1332" spans="1:28">
      <c r="A1332" s="35">
        <v>1321</v>
      </c>
      <c r="B1332" s="35">
        <v>4.1451949429816302E-4</v>
      </c>
      <c r="C1332" s="232">
        <v>73.489999999999995</v>
      </c>
      <c r="D1332" s="35">
        <v>5.0599966680142607</v>
      </c>
      <c r="E1332" s="232">
        <v>45.19</v>
      </c>
      <c r="F1332" s="35">
        <v>5.0503959235817861</v>
      </c>
      <c r="G1332" s="232">
        <v>13983.02</v>
      </c>
      <c r="H1332" s="35">
        <v>8.9919152627558301</v>
      </c>
      <c r="I1332" s="232">
        <v>15235.4</v>
      </c>
      <c r="J1332" s="35">
        <v>7.882284172497342</v>
      </c>
      <c r="K1332" s="232">
        <v>16069.81</v>
      </c>
      <c r="L1332" s="35">
        <v>8.5530821342059635</v>
      </c>
      <c r="M1332" s="232">
        <v>42260.68</v>
      </c>
      <c r="N1332" s="35">
        <v>7.5077249260382333</v>
      </c>
      <c r="P1332" s="232">
        <v>-28.3</v>
      </c>
      <c r="Q1332" s="35">
        <v>9.6007444324746061E-3</v>
      </c>
      <c r="R1332" s="232">
        <v>1252.3800000000001</v>
      </c>
      <c r="S1332" s="35">
        <v>1.1096310902584881</v>
      </c>
      <c r="T1332" s="232">
        <v>26190.87</v>
      </c>
      <c r="U1332" s="35">
        <v>1.0453572081677303</v>
      </c>
      <c r="W1332" s="35">
        <f t="shared" si="127"/>
        <v>508.33722162373033</v>
      </c>
      <c r="X1332" s="35">
        <f t="shared" si="128"/>
        <v>54229.174512924408</v>
      </c>
      <c r="Y1332" s="35">
        <f t="shared" si="129"/>
        <v>26076.990408386515</v>
      </c>
      <c r="Z1332" s="35">
        <f t="shared" si="130"/>
        <v>0</v>
      </c>
      <c r="AA1332" s="35">
        <f t="shared" si="131"/>
        <v>1</v>
      </c>
      <c r="AB1332" s="35">
        <f t="shared" si="132"/>
        <v>0</v>
      </c>
    </row>
    <row r="1333" spans="1:28">
      <c r="A1333" s="35">
        <v>1322</v>
      </c>
      <c r="B1333" s="35">
        <v>3.8460797438305327E-4</v>
      </c>
      <c r="C1333" s="232">
        <v>51.69</v>
      </c>
      <c r="D1333" s="35">
        <v>5.0571162480925977</v>
      </c>
      <c r="E1333" s="232">
        <v>32.200000000000003</v>
      </c>
      <c r="F1333" s="35">
        <v>5.0485179308288251</v>
      </c>
      <c r="G1333" s="232">
        <v>10230.09</v>
      </c>
      <c r="H1333" s="35">
        <v>8.4492080141128962</v>
      </c>
      <c r="I1333" s="232">
        <v>10842.4</v>
      </c>
      <c r="J1333" s="35">
        <v>7.1025007216023734</v>
      </c>
      <c r="K1333" s="232">
        <v>14583.04</v>
      </c>
      <c r="L1333" s="35">
        <v>8.6245063732598091</v>
      </c>
      <c r="M1333" s="232">
        <v>40727.019999999997</v>
      </c>
      <c r="N1333" s="35">
        <v>7.5037038881787774</v>
      </c>
      <c r="P1333" s="232">
        <v>-19.489999999999998</v>
      </c>
      <c r="Q1333" s="35">
        <v>8.5983172637726923E-3</v>
      </c>
      <c r="R1333" s="232">
        <v>612.30999999999995</v>
      </c>
      <c r="S1333" s="35">
        <v>1.3467072925105228</v>
      </c>
      <c r="T1333" s="232">
        <v>26143.99</v>
      </c>
      <c r="U1333" s="35">
        <v>1.1208024850810316</v>
      </c>
      <c r="W1333" s="35">
        <f t="shared" si="127"/>
        <v>449.40586318863461</v>
      </c>
      <c r="X1333" s="35">
        <f t="shared" si="128"/>
        <v>66723.054625526143</v>
      </c>
      <c r="Y1333" s="35">
        <f t="shared" si="129"/>
        <v>29896.13425405158</v>
      </c>
      <c r="Z1333" s="35">
        <f t="shared" si="130"/>
        <v>0</v>
      </c>
      <c r="AA1333" s="35">
        <f t="shared" si="131"/>
        <v>1</v>
      </c>
      <c r="AB1333" s="35">
        <f t="shared" si="132"/>
        <v>0</v>
      </c>
    </row>
    <row r="1334" spans="1:28">
      <c r="A1334" s="35">
        <v>1323</v>
      </c>
      <c r="B1334" s="35">
        <v>3.8518393932206033E-4</v>
      </c>
      <c r="C1334" s="232">
        <v>61.07</v>
      </c>
      <c r="D1334" s="35">
        <v>5.0594633602756112</v>
      </c>
      <c r="E1334" s="232">
        <v>39.18</v>
      </c>
      <c r="F1334" s="35">
        <v>5.0504484018355642</v>
      </c>
      <c r="G1334" s="232">
        <v>12434.72</v>
      </c>
      <c r="H1334" s="35">
        <v>9.0915368522640865</v>
      </c>
      <c r="I1334" s="232">
        <v>13287.45</v>
      </c>
      <c r="J1334" s="35">
        <v>7.5409494066710474</v>
      </c>
      <c r="K1334" s="232">
        <v>15238.86</v>
      </c>
      <c r="L1334" s="35">
        <v>8.8754483501212409</v>
      </c>
      <c r="M1334" s="232">
        <v>41417.129999999997</v>
      </c>
      <c r="N1334" s="35">
        <v>7.8236546194700143</v>
      </c>
      <c r="P1334" s="232">
        <v>-21.89</v>
      </c>
      <c r="Q1334" s="35">
        <v>9.0149584400469607E-3</v>
      </c>
      <c r="R1334" s="232">
        <v>852.73</v>
      </c>
      <c r="S1334" s="35">
        <v>1.5505874455930391</v>
      </c>
      <c r="T1334" s="232">
        <v>26178.27</v>
      </c>
      <c r="U1334" s="35">
        <v>1.0517937306512266</v>
      </c>
      <c r="W1334" s="35">
        <f t="shared" si="127"/>
        <v>472.63792200234803</v>
      </c>
      <c r="X1334" s="35">
        <f t="shared" si="128"/>
        <v>76676.642279651962</v>
      </c>
      <c r="Y1334" s="35">
        <f t="shared" si="129"/>
        <v>26411.416532561332</v>
      </c>
      <c r="Z1334" s="35">
        <f t="shared" si="130"/>
        <v>0</v>
      </c>
      <c r="AA1334" s="35">
        <f t="shared" si="131"/>
        <v>1</v>
      </c>
      <c r="AB1334" s="35">
        <f t="shared" si="132"/>
        <v>0</v>
      </c>
    </row>
    <row r="1335" spans="1:28">
      <c r="A1335" s="35">
        <v>1324</v>
      </c>
      <c r="B1335" s="35">
        <v>3.5700192553694035E-4</v>
      </c>
      <c r="C1335" s="232">
        <v>55.75</v>
      </c>
      <c r="D1335" s="35">
        <v>5.0547361409835299</v>
      </c>
      <c r="E1335" s="232">
        <v>34.520000000000003</v>
      </c>
      <c r="F1335" s="35">
        <v>5.047226157250309</v>
      </c>
      <c r="G1335" s="232">
        <v>12641.84</v>
      </c>
      <c r="H1335" s="35">
        <v>8.1354435430381731</v>
      </c>
      <c r="I1335" s="232">
        <v>14366.58</v>
      </c>
      <c r="J1335" s="35">
        <v>7.2632159258687476</v>
      </c>
      <c r="K1335" s="232">
        <v>14938.55</v>
      </c>
      <c r="L1335" s="35">
        <v>8.38468273501684</v>
      </c>
      <c r="M1335" s="232">
        <v>41002.410000000003</v>
      </c>
      <c r="N1335" s="35">
        <v>7.2407414043495395</v>
      </c>
      <c r="P1335" s="232">
        <v>-21.24</v>
      </c>
      <c r="Q1335" s="35">
        <v>7.5099837332208708E-3</v>
      </c>
      <c r="R1335" s="232">
        <v>1724.74</v>
      </c>
      <c r="S1335" s="35">
        <v>0.87222761716942543</v>
      </c>
      <c r="T1335" s="232">
        <v>26063.86</v>
      </c>
      <c r="U1335" s="35">
        <v>1.1439413306673005</v>
      </c>
      <c r="W1335" s="35">
        <f t="shared" si="127"/>
        <v>396.73918666104356</v>
      </c>
      <c r="X1335" s="35">
        <f t="shared" si="128"/>
        <v>41886.64085847127</v>
      </c>
      <c r="Y1335" s="35">
        <f t="shared" si="129"/>
        <v>31133.206533365024</v>
      </c>
      <c r="Z1335" s="35">
        <f t="shared" si="130"/>
        <v>0</v>
      </c>
      <c r="AA1335" s="35">
        <f t="shared" si="131"/>
        <v>1</v>
      </c>
      <c r="AB1335" s="35">
        <f t="shared" si="132"/>
        <v>0</v>
      </c>
    </row>
    <row r="1336" spans="1:28">
      <c r="A1336" s="35">
        <v>1325</v>
      </c>
      <c r="B1336" s="35">
        <v>4.8990952060501414E-4</v>
      </c>
      <c r="C1336" s="232">
        <v>60.71</v>
      </c>
      <c r="D1336" s="35">
        <v>5.0637773244884876</v>
      </c>
      <c r="E1336" s="232">
        <v>38.39</v>
      </c>
      <c r="F1336" s="35">
        <v>5.0527106439521425</v>
      </c>
      <c r="G1336" s="232">
        <v>9487.5499999999993</v>
      </c>
      <c r="H1336" s="35">
        <v>8.604235492806751</v>
      </c>
      <c r="I1336" s="232">
        <v>11034.56</v>
      </c>
      <c r="J1336" s="35">
        <v>7.6875305147430373</v>
      </c>
      <c r="K1336" s="232">
        <v>11640.34</v>
      </c>
      <c r="L1336" s="35">
        <v>8.9638305467830861</v>
      </c>
      <c r="M1336" s="232">
        <v>37423.89</v>
      </c>
      <c r="N1336" s="35">
        <v>7.8298901590213852</v>
      </c>
      <c r="P1336" s="232">
        <v>-22.32</v>
      </c>
      <c r="Q1336" s="35">
        <v>1.1066680536345075E-2</v>
      </c>
      <c r="R1336" s="232">
        <v>1547.01</v>
      </c>
      <c r="S1336" s="35">
        <v>0.91670497806371376</v>
      </c>
      <c r="T1336" s="232">
        <v>25783.54</v>
      </c>
      <c r="U1336" s="35">
        <v>1.1339403877617009</v>
      </c>
      <c r="W1336" s="35">
        <f t="shared" si="127"/>
        <v>575.65402681725379</v>
      </c>
      <c r="X1336" s="35">
        <f t="shared" si="128"/>
        <v>44288.238903185687</v>
      </c>
      <c r="Y1336" s="35">
        <f t="shared" si="129"/>
        <v>30913.479388085048</v>
      </c>
      <c r="Z1336" s="35">
        <f t="shared" si="130"/>
        <v>0</v>
      </c>
      <c r="AA1336" s="35">
        <f t="shared" si="131"/>
        <v>1</v>
      </c>
      <c r="AB1336" s="35">
        <f t="shared" si="132"/>
        <v>0</v>
      </c>
    </row>
    <row r="1337" spans="1:28">
      <c r="A1337" s="35">
        <v>1326</v>
      </c>
      <c r="B1337" s="35">
        <v>3.4128660727601035E-4</v>
      </c>
      <c r="C1337" s="232">
        <v>75.069999999999993</v>
      </c>
      <c r="D1337" s="35">
        <v>5.0544922262630063</v>
      </c>
      <c r="E1337" s="232">
        <v>48.26</v>
      </c>
      <c r="F1337" s="35">
        <v>5.0477647443557752</v>
      </c>
      <c r="G1337" s="232">
        <v>16511.64</v>
      </c>
      <c r="H1337" s="35">
        <v>8.4665338812154207</v>
      </c>
      <c r="I1337" s="232">
        <v>13892.95</v>
      </c>
      <c r="J1337" s="35">
        <v>6.5461889913558116</v>
      </c>
      <c r="K1337" s="232">
        <v>24321.33</v>
      </c>
      <c r="L1337" s="35">
        <v>8.2399105846803753</v>
      </c>
      <c r="M1337" s="232">
        <v>50713.4</v>
      </c>
      <c r="N1337" s="35">
        <v>7.2260332130576339</v>
      </c>
      <c r="P1337" s="232">
        <v>-26.81</v>
      </c>
      <c r="Q1337" s="35">
        <v>6.7274819072311587E-3</v>
      </c>
      <c r="R1337" s="232">
        <v>-2618.69</v>
      </c>
      <c r="S1337" s="35">
        <v>1.9203448898596092</v>
      </c>
      <c r="T1337" s="232">
        <v>26392.07</v>
      </c>
      <c r="U1337" s="35">
        <v>1.0138773716227414</v>
      </c>
      <c r="W1337" s="35">
        <f t="shared" si="127"/>
        <v>363.18409536155792</v>
      </c>
      <c r="X1337" s="35">
        <f t="shared" si="128"/>
        <v>98635.934492980465</v>
      </c>
      <c r="Y1337" s="35">
        <f t="shared" si="129"/>
        <v>24301.798581137067</v>
      </c>
      <c r="Z1337" s="35">
        <f t="shared" si="130"/>
        <v>0</v>
      </c>
      <c r="AA1337" s="35">
        <f t="shared" si="131"/>
        <v>1</v>
      </c>
      <c r="AB1337" s="35">
        <f t="shared" si="132"/>
        <v>0</v>
      </c>
    </row>
    <row r="1338" spans="1:28">
      <c r="A1338" s="35">
        <v>1327</v>
      </c>
      <c r="B1338" s="35">
        <v>4.3939646701239479E-4</v>
      </c>
      <c r="C1338" s="232">
        <v>54.49</v>
      </c>
      <c r="D1338" s="35">
        <v>5.0613067976353712</v>
      </c>
      <c r="E1338" s="232">
        <v>36.54</v>
      </c>
      <c r="F1338" s="35">
        <v>5.0520299148691237</v>
      </c>
      <c r="G1338" s="232">
        <v>9185.07</v>
      </c>
      <c r="H1338" s="35">
        <v>8.7722541430958536</v>
      </c>
      <c r="I1338" s="232">
        <v>10516.14</v>
      </c>
      <c r="J1338" s="35">
        <v>7.8342306936946287</v>
      </c>
      <c r="K1338" s="232">
        <v>11457.46</v>
      </c>
      <c r="L1338" s="35">
        <v>8.8378588664217528</v>
      </c>
      <c r="M1338" s="232">
        <v>37382.74</v>
      </c>
      <c r="N1338" s="35">
        <v>7.8461976863109282</v>
      </c>
      <c r="P1338" s="232">
        <v>-17.95</v>
      </c>
      <c r="Q1338" s="35">
        <v>9.2768827662474962E-3</v>
      </c>
      <c r="R1338" s="232">
        <v>1331.07</v>
      </c>
      <c r="S1338" s="35">
        <v>0.93802344940122495</v>
      </c>
      <c r="T1338" s="232">
        <v>25925.279999999999</v>
      </c>
      <c r="U1338" s="35">
        <v>0.9916611801108246</v>
      </c>
      <c r="W1338" s="35">
        <f t="shared" si="127"/>
        <v>481.7941383123748</v>
      </c>
      <c r="X1338" s="35">
        <f t="shared" si="128"/>
        <v>45570.102470061247</v>
      </c>
      <c r="Y1338" s="35">
        <f t="shared" si="129"/>
        <v>23657.779005541233</v>
      </c>
      <c r="Z1338" s="35">
        <f t="shared" si="130"/>
        <v>0</v>
      </c>
      <c r="AA1338" s="35">
        <f t="shared" si="131"/>
        <v>1</v>
      </c>
      <c r="AB1338" s="35">
        <f t="shared" si="132"/>
        <v>0</v>
      </c>
    </row>
    <row r="1339" spans="1:28">
      <c r="A1339" s="35">
        <v>1328</v>
      </c>
      <c r="B1339" s="35">
        <v>5.5117693811579382E-4</v>
      </c>
      <c r="C1339" s="232">
        <v>71.81</v>
      </c>
      <c r="D1339" s="35">
        <v>5.0668320767852908</v>
      </c>
      <c r="E1339" s="232">
        <v>48.73</v>
      </c>
      <c r="F1339" s="35">
        <v>5.0560630519349665</v>
      </c>
      <c r="G1339" s="232">
        <v>10891.6</v>
      </c>
      <c r="H1339" s="35">
        <v>8.8757762398905005</v>
      </c>
      <c r="I1339" s="232">
        <v>13100.84</v>
      </c>
      <c r="J1339" s="35">
        <v>8.11809410758576</v>
      </c>
      <c r="K1339" s="232">
        <v>11034.16</v>
      </c>
      <c r="L1339" s="35">
        <v>8.4223592202854913</v>
      </c>
      <c r="M1339" s="232">
        <v>36911.99</v>
      </c>
      <c r="N1339" s="35">
        <v>7.283375596906037</v>
      </c>
      <c r="P1339" s="232">
        <v>-23.08</v>
      </c>
      <c r="Q1339" s="35">
        <v>1.0769024850324271E-2</v>
      </c>
      <c r="R1339" s="232">
        <v>2209.23</v>
      </c>
      <c r="S1339" s="35">
        <v>0.75768213230474046</v>
      </c>
      <c r="T1339" s="232">
        <v>25877.83</v>
      </c>
      <c r="U1339" s="35">
        <v>1.1389836233794544</v>
      </c>
      <c r="W1339" s="35">
        <f t="shared" si="127"/>
        <v>561.53124251621364</v>
      </c>
      <c r="X1339" s="35">
        <f t="shared" si="128"/>
        <v>35674.876615237023</v>
      </c>
      <c r="Y1339" s="35">
        <f t="shared" si="129"/>
        <v>31071.351168972717</v>
      </c>
      <c r="Z1339" s="35">
        <f t="shared" si="130"/>
        <v>0</v>
      </c>
      <c r="AA1339" s="35">
        <f t="shared" si="131"/>
        <v>1</v>
      </c>
      <c r="AB1339" s="35">
        <f t="shared" si="132"/>
        <v>0</v>
      </c>
    </row>
    <row r="1340" spans="1:28">
      <c r="A1340" s="35">
        <v>1329</v>
      </c>
      <c r="B1340" s="35">
        <v>3.6051416159418875E-4</v>
      </c>
      <c r="C1340" s="232">
        <v>57.87</v>
      </c>
      <c r="D1340" s="35">
        <v>5.0579626148415127</v>
      </c>
      <c r="E1340" s="232">
        <v>33.56</v>
      </c>
      <c r="F1340" s="35">
        <v>5.0482757491020314</v>
      </c>
      <c r="G1340" s="232">
        <v>12665.37</v>
      </c>
      <c r="H1340" s="35">
        <v>9.2123326755815036</v>
      </c>
      <c r="I1340" s="232">
        <v>14101.93</v>
      </c>
      <c r="J1340" s="35">
        <v>8.5360040040660721</v>
      </c>
      <c r="K1340" s="232">
        <v>16786.830000000002</v>
      </c>
      <c r="L1340" s="35">
        <v>8.8656122324594815</v>
      </c>
      <c r="M1340" s="232">
        <v>43024.84</v>
      </c>
      <c r="N1340" s="35">
        <v>7.819575777846743</v>
      </c>
      <c r="P1340" s="232">
        <v>-24.31</v>
      </c>
      <c r="Q1340" s="35">
        <v>9.6868657394812985E-3</v>
      </c>
      <c r="R1340" s="232">
        <v>1436.55</v>
      </c>
      <c r="S1340" s="35">
        <v>0.67632867151543152</v>
      </c>
      <c r="T1340" s="232">
        <v>26238.01</v>
      </c>
      <c r="U1340" s="35">
        <v>1.0460364546127385</v>
      </c>
      <c r="W1340" s="35">
        <f t="shared" si="127"/>
        <v>508.65328697406494</v>
      </c>
      <c r="X1340" s="35">
        <f t="shared" si="128"/>
        <v>32379.883575771575</v>
      </c>
      <c r="Y1340" s="35">
        <f t="shared" si="129"/>
        <v>26063.812730636932</v>
      </c>
      <c r="Z1340" s="35">
        <f t="shared" si="130"/>
        <v>0</v>
      </c>
      <c r="AA1340" s="35">
        <f t="shared" si="131"/>
        <v>1</v>
      </c>
      <c r="AB1340" s="35">
        <f t="shared" si="132"/>
        <v>0</v>
      </c>
    </row>
    <row r="1341" spans="1:28">
      <c r="A1341" s="35">
        <v>1330</v>
      </c>
      <c r="B1341" s="35">
        <v>4.28751062612441E-4</v>
      </c>
      <c r="C1341" s="232">
        <v>62.21</v>
      </c>
      <c r="D1341" s="35">
        <v>5.0609079286429521</v>
      </c>
      <c r="E1341" s="232">
        <v>33.35</v>
      </c>
      <c r="F1341" s="35">
        <v>5.0488908734075801</v>
      </c>
      <c r="G1341" s="232">
        <v>10732.06</v>
      </c>
      <c r="H1341" s="35">
        <v>8.9907823696532869</v>
      </c>
      <c r="I1341" s="232">
        <v>10706.13</v>
      </c>
      <c r="J1341" s="35">
        <v>7.5039498074766433</v>
      </c>
      <c r="K1341" s="232">
        <v>14659.52</v>
      </c>
      <c r="L1341" s="35">
        <v>8.8553244160887576</v>
      </c>
      <c r="M1341" s="232">
        <v>40823.65</v>
      </c>
      <c r="N1341" s="35">
        <v>7.8090595334849882</v>
      </c>
      <c r="P1341" s="232">
        <v>-28.86</v>
      </c>
      <c r="Q1341" s="35">
        <v>1.2017055235371998E-2</v>
      </c>
      <c r="R1341" s="232">
        <v>-25.93</v>
      </c>
      <c r="S1341" s="35">
        <v>1.4868325621766436</v>
      </c>
      <c r="T1341" s="232">
        <v>26164.13</v>
      </c>
      <c r="U1341" s="35">
        <v>1.0462648826037695</v>
      </c>
      <c r="W1341" s="35">
        <f t="shared" si="127"/>
        <v>629.71276176859999</v>
      </c>
      <c r="X1341" s="35">
        <f t="shared" si="128"/>
        <v>74367.558108832178</v>
      </c>
      <c r="Y1341" s="35">
        <f t="shared" si="129"/>
        <v>26149.114130188475</v>
      </c>
      <c r="Z1341" s="35">
        <f t="shared" si="130"/>
        <v>0</v>
      </c>
      <c r="AA1341" s="35">
        <f t="shared" si="131"/>
        <v>1</v>
      </c>
      <c r="AB1341" s="35">
        <f t="shared" si="132"/>
        <v>0</v>
      </c>
    </row>
    <row r="1342" spans="1:28">
      <c r="A1342" s="35">
        <v>1331</v>
      </c>
      <c r="B1342" s="35">
        <v>4.225171941749853E-4</v>
      </c>
      <c r="C1342" s="232">
        <v>74.73</v>
      </c>
      <c r="D1342" s="35">
        <v>5.0594722628838431</v>
      </c>
      <c r="E1342" s="232">
        <v>39.68</v>
      </c>
      <c r="F1342" s="35">
        <v>5.0483059649271471</v>
      </c>
      <c r="G1342" s="232">
        <v>13968.62</v>
      </c>
      <c r="H1342" s="35">
        <v>8.8970619851973129</v>
      </c>
      <c r="I1342" s="232">
        <v>13158.59</v>
      </c>
      <c r="J1342" s="35">
        <v>7.2283547524033747</v>
      </c>
      <c r="K1342" s="232">
        <v>19827.3</v>
      </c>
      <c r="L1342" s="35">
        <v>8.2150247103814245</v>
      </c>
      <c r="M1342" s="232">
        <v>46199</v>
      </c>
      <c r="N1342" s="35">
        <v>7.0820851444607813</v>
      </c>
      <c r="P1342" s="232">
        <v>-35.06</v>
      </c>
      <c r="Q1342" s="35">
        <v>1.1166297956695992E-2</v>
      </c>
      <c r="R1342" s="232">
        <v>-810.02</v>
      </c>
      <c r="S1342" s="35">
        <v>1.6687072327939383</v>
      </c>
      <c r="T1342" s="232">
        <v>26371.7</v>
      </c>
      <c r="U1342" s="35">
        <v>1.1329395659206432</v>
      </c>
      <c r="W1342" s="35">
        <f t="shared" si="127"/>
        <v>593.37489783479964</v>
      </c>
      <c r="X1342" s="35">
        <f t="shared" si="128"/>
        <v>84245.38163969692</v>
      </c>
      <c r="Y1342" s="35">
        <f t="shared" si="129"/>
        <v>30275.27829603216</v>
      </c>
      <c r="Z1342" s="35">
        <f t="shared" si="130"/>
        <v>0</v>
      </c>
      <c r="AA1342" s="35">
        <f t="shared" si="131"/>
        <v>1</v>
      </c>
      <c r="AB1342" s="35">
        <f t="shared" si="132"/>
        <v>0</v>
      </c>
    </row>
    <row r="1343" spans="1:28">
      <c r="A1343" s="35">
        <v>1332</v>
      </c>
      <c r="B1343" s="35">
        <v>4.058665558143711E-4</v>
      </c>
      <c r="C1343" s="232">
        <v>63.2</v>
      </c>
      <c r="D1343" s="35">
        <v>5.0590441935448522</v>
      </c>
      <c r="E1343" s="232">
        <v>42.35</v>
      </c>
      <c r="F1343" s="35">
        <v>5.050850914085931</v>
      </c>
      <c r="G1343" s="232">
        <v>11967.82</v>
      </c>
      <c r="H1343" s="35">
        <v>8.6592148736500825</v>
      </c>
      <c r="I1343" s="232">
        <v>12359.4</v>
      </c>
      <c r="J1343" s="35">
        <v>7.154182052064141</v>
      </c>
      <c r="K1343" s="232">
        <v>16480.45</v>
      </c>
      <c r="L1343" s="35">
        <v>8.5643490228697488</v>
      </c>
      <c r="M1343" s="232">
        <v>42698.79</v>
      </c>
      <c r="N1343" s="35">
        <v>7.468022536094435</v>
      </c>
      <c r="P1343" s="232">
        <v>-20.85</v>
      </c>
      <c r="Q1343" s="35">
        <v>8.1932794589212321E-3</v>
      </c>
      <c r="R1343" s="232">
        <v>391.58</v>
      </c>
      <c r="S1343" s="35">
        <v>1.5050328215859414</v>
      </c>
      <c r="T1343" s="232">
        <v>26218.34</v>
      </c>
      <c r="U1343" s="35">
        <v>1.0963264867753137</v>
      </c>
      <c r="W1343" s="35">
        <f t="shared" si="127"/>
        <v>430.51397294606164</v>
      </c>
      <c r="X1343" s="35">
        <f t="shared" si="128"/>
        <v>74860.061079297069</v>
      </c>
      <c r="Y1343" s="35">
        <f t="shared" si="129"/>
        <v>28597.984338765684</v>
      </c>
      <c r="Z1343" s="35">
        <f t="shared" si="130"/>
        <v>0</v>
      </c>
      <c r="AA1343" s="35">
        <f t="shared" si="131"/>
        <v>1</v>
      </c>
      <c r="AB1343" s="35">
        <f t="shared" si="132"/>
        <v>0</v>
      </c>
    </row>
    <row r="1344" spans="1:28">
      <c r="A1344" s="35">
        <v>1333</v>
      </c>
      <c r="B1344" s="35">
        <v>3.3092587775202046E-4</v>
      </c>
      <c r="C1344" s="232">
        <v>56.75</v>
      </c>
      <c r="D1344" s="35">
        <v>5.0549325926037838</v>
      </c>
      <c r="E1344" s="232">
        <v>38.090000000000003</v>
      </c>
      <c r="F1344" s="35">
        <v>5.0482404357829509</v>
      </c>
      <c r="G1344" s="232">
        <v>13242.99</v>
      </c>
      <c r="H1344" s="35">
        <v>8.6176317743375836</v>
      </c>
      <c r="I1344" s="232">
        <v>15057</v>
      </c>
      <c r="J1344" s="35">
        <v>8.2203035037282408</v>
      </c>
      <c r="K1344" s="232">
        <v>16512.62</v>
      </c>
      <c r="L1344" s="35">
        <v>8.4991405153105202</v>
      </c>
      <c r="M1344" s="232">
        <v>42549.15</v>
      </c>
      <c r="N1344" s="35">
        <v>7.2973121071247258</v>
      </c>
      <c r="P1344" s="232">
        <v>-18.66</v>
      </c>
      <c r="Q1344" s="35">
        <v>6.6921568208329063E-3</v>
      </c>
      <c r="R1344" s="232">
        <v>1814.01</v>
      </c>
      <c r="S1344" s="35">
        <v>0.39732827060934284</v>
      </c>
      <c r="T1344" s="232">
        <v>26036.53</v>
      </c>
      <c r="U1344" s="35">
        <v>1.2018284081857944</v>
      </c>
      <c r="W1344" s="35">
        <f t="shared" si="127"/>
        <v>353.26784104164534</v>
      </c>
      <c r="X1344" s="35">
        <f t="shared" si="128"/>
        <v>18052.403530467145</v>
      </c>
      <c r="Y1344" s="35">
        <f t="shared" si="129"/>
        <v>34054.890409289721</v>
      </c>
      <c r="Z1344" s="35">
        <f t="shared" si="130"/>
        <v>0</v>
      </c>
      <c r="AA1344" s="35">
        <f t="shared" si="131"/>
        <v>0</v>
      </c>
      <c r="AB1344" s="35">
        <f t="shared" si="132"/>
        <v>1</v>
      </c>
    </row>
    <row r="1345" spans="1:28">
      <c r="A1345" s="35">
        <v>1334</v>
      </c>
      <c r="B1345" s="35">
        <v>5.759134526508447E-4</v>
      </c>
      <c r="C1345" s="232">
        <v>161.30000000000001</v>
      </c>
      <c r="D1345" s="35">
        <v>5.0702098341430721</v>
      </c>
      <c r="E1345" s="232">
        <v>84.24</v>
      </c>
      <c r="F1345" s="35">
        <v>5.0540480337329585</v>
      </c>
      <c r="G1345" s="232">
        <v>22110.48</v>
      </c>
      <c r="H1345" s="35">
        <v>9.3409123989890741</v>
      </c>
      <c r="I1345" s="232">
        <v>19247.82</v>
      </c>
      <c r="J1345" s="35">
        <v>7.2733485512093061</v>
      </c>
      <c r="K1345" s="232">
        <v>30350.75</v>
      </c>
      <c r="L1345" s="35">
        <v>8.7209546793355663</v>
      </c>
      <c r="M1345" s="232">
        <v>57202.69</v>
      </c>
      <c r="N1345" s="35">
        <v>7.6504836607780398</v>
      </c>
      <c r="P1345" s="232">
        <v>-77.06</v>
      </c>
      <c r="Q1345" s="35">
        <v>1.6161800410113614E-2</v>
      </c>
      <c r="R1345" s="232">
        <v>-2862.66</v>
      </c>
      <c r="S1345" s="35">
        <v>2.067563847779768</v>
      </c>
      <c r="T1345" s="232">
        <v>26851.94</v>
      </c>
      <c r="U1345" s="35">
        <v>1.0704710185575266</v>
      </c>
      <c r="W1345" s="35">
        <f t="shared" si="127"/>
        <v>885.15002050568069</v>
      </c>
      <c r="X1345" s="35">
        <f t="shared" si="128"/>
        <v>106240.85238898841</v>
      </c>
      <c r="Y1345" s="35">
        <f t="shared" si="129"/>
        <v>26671.610927876329</v>
      </c>
      <c r="Z1345" s="35">
        <f t="shared" si="130"/>
        <v>0</v>
      </c>
      <c r="AA1345" s="35">
        <f t="shared" si="131"/>
        <v>1</v>
      </c>
      <c r="AB1345" s="35">
        <f t="shared" si="132"/>
        <v>0</v>
      </c>
    </row>
    <row r="1346" spans="1:28">
      <c r="A1346" s="35">
        <v>1335</v>
      </c>
      <c r="B1346" s="35">
        <v>5.5648568565658252E-4</v>
      </c>
      <c r="C1346" s="232">
        <v>97.72</v>
      </c>
      <c r="D1346" s="35">
        <v>5.0662393312544367</v>
      </c>
      <c r="E1346" s="232">
        <v>55.58</v>
      </c>
      <c r="F1346" s="35">
        <v>5.0529647000246012</v>
      </c>
      <c r="G1346" s="232">
        <v>12803.69</v>
      </c>
      <c r="H1346" s="35">
        <v>8.6843695193494863</v>
      </c>
      <c r="I1346" s="232">
        <v>14325.02</v>
      </c>
      <c r="J1346" s="35">
        <v>8.3353755405617118</v>
      </c>
      <c r="K1346" s="232">
        <v>19119.12</v>
      </c>
      <c r="L1346" s="35">
        <v>8.3877644571293803</v>
      </c>
      <c r="M1346" s="232">
        <v>45393.8</v>
      </c>
      <c r="N1346" s="35">
        <v>7.3180414711048645</v>
      </c>
      <c r="P1346" s="232">
        <v>-42.14</v>
      </c>
      <c r="Q1346" s="35">
        <v>1.3274631229835521E-2</v>
      </c>
      <c r="R1346" s="232">
        <v>1521.33</v>
      </c>
      <c r="S1346" s="35">
        <v>0.34899397878777449</v>
      </c>
      <c r="T1346" s="232">
        <v>26274.68</v>
      </c>
      <c r="U1346" s="35">
        <v>1.0697229860245159</v>
      </c>
      <c r="W1346" s="35">
        <f t="shared" si="127"/>
        <v>705.87156149177599</v>
      </c>
      <c r="X1346" s="35">
        <f t="shared" si="128"/>
        <v>15928.368939388723</v>
      </c>
      <c r="Y1346" s="35">
        <f t="shared" si="129"/>
        <v>27211.469301225792</v>
      </c>
      <c r="Z1346" s="35">
        <f t="shared" si="130"/>
        <v>0</v>
      </c>
      <c r="AA1346" s="35">
        <f t="shared" si="131"/>
        <v>0</v>
      </c>
      <c r="AB1346" s="35">
        <f t="shared" si="132"/>
        <v>1</v>
      </c>
    </row>
    <row r="1347" spans="1:28">
      <c r="A1347" s="35">
        <v>1336</v>
      </c>
      <c r="B1347" s="35">
        <v>3.5708931127415114E-4</v>
      </c>
      <c r="C1347" s="232">
        <v>38.69</v>
      </c>
      <c r="D1347" s="35">
        <v>5.0562578390808763</v>
      </c>
      <c r="E1347" s="232">
        <v>27.76</v>
      </c>
      <c r="F1347" s="35">
        <v>5.0493398779706977</v>
      </c>
      <c r="G1347" s="232">
        <v>8182.69</v>
      </c>
      <c r="H1347" s="35">
        <v>8.7719946682472045</v>
      </c>
      <c r="I1347" s="232">
        <v>9238.74</v>
      </c>
      <c r="J1347" s="35">
        <v>7.5547362986413233</v>
      </c>
      <c r="K1347" s="232">
        <v>10434.27</v>
      </c>
      <c r="L1347" s="35">
        <v>8.2754260443623675</v>
      </c>
      <c r="M1347" s="232">
        <v>36101.22</v>
      </c>
      <c r="N1347" s="35">
        <v>7.2027233156828521</v>
      </c>
      <c r="P1347" s="232">
        <v>-10.94</v>
      </c>
      <c r="Q1347" s="35">
        <v>6.9179611101786165E-3</v>
      </c>
      <c r="R1347" s="232">
        <v>1056.05</v>
      </c>
      <c r="S1347" s="35">
        <v>1.2172583696058812</v>
      </c>
      <c r="T1347" s="232">
        <v>25666.95</v>
      </c>
      <c r="U1347" s="35">
        <v>1.0727027286795154</v>
      </c>
      <c r="W1347" s="35">
        <f t="shared" si="127"/>
        <v>356.83805550893084</v>
      </c>
      <c r="X1347" s="35">
        <f t="shared" si="128"/>
        <v>59806.868480294055</v>
      </c>
      <c r="Y1347" s="35">
        <f t="shared" si="129"/>
        <v>27968.18643397577</v>
      </c>
      <c r="Z1347" s="35">
        <f t="shared" si="130"/>
        <v>0</v>
      </c>
      <c r="AA1347" s="35">
        <f t="shared" si="131"/>
        <v>1</v>
      </c>
      <c r="AB1347" s="35">
        <f t="shared" si="132"/>
        <v>0</v>
      </c>
    </row>
    <row r="1348" spans="1:28">
      <c r="A1348" s="35">
        <v>1337</v>
      </c>
      <c r="B1348" s="35">
        <v>3.3181373275675781E-4</v>
      </c>
      <c r="C1348" s="232">
        <v>47.62</v>
      </c>
      <c r="D1348" s="35">
        <v>5.054192931435141</v>
      </c>
      <c r="E1348" s="232">
        <v>29.33</v>
      </c>
      <c r="F1348" s="35">
        <v>5.0466937740175997</v>
      </c>
      <c r="G1348" s="232">
        <v>10645.35</v>
      </c>
      <c r="H1348" s="35">
        <v>8.2677176037689701</v>
      </c>
      <c r="I1348" s="232">
        <v>11795.41</v>
      </c>
      <c r="J1348" s="35">
        <v>7.360743375428366</v>
      </c>
      <c r="K1348" s="232">
        <v>14392.91</v>
      </c>
      <c r="L1348" s="35">
        <v>8.6969051256746823</v>
      </c>
      <c r="M1348" s="232">
        <v>40572.97</v>
      </c>
      <c r="N1348" s="35">
        <v>7.5904266780410472</v>
      </c>
      <c r="P1348" s="232">
        <v>-18.28</v>
      </c>
      <c r="Q1348" s="35">
        <v>7.4991574175413689E-3</v>
      </c>
      <c r="R1348" s="232">
        <v>1150.06</v>
      </c>
      <c r="S1348" s="35">
        <v>0.90697422834060415</v>
      </c>
      <c r="T1348" s="232">
        <v>26180.06</v>
      </c>
      <c r="U1348" s="35">
        <v>1.1064784476336351</v>
      </c>
      <c r="W1348" s="35">
        <f t="shared" si="127"/>
        <v>393.23787087706842</v>
      </c>
      <c r="X1348" s="35">
        <f t="shared" si="128"/>
        <v>44198.651417030211</v>
      </c>
      <c r="Y1348" s="35">
        <f t="shared" si="129"/>
        <v>29143.862381681753</v>
      </c>
      <c r="Z1348" s="35">
        <f t="shared" si="130"/>
        <v>0</v>
      </c>
      <c r="AA1348" s="35">
        <f t="shared" si="131"/>
        <v>1</v>
      </c>
      <c r="AB1348" s="35">
        <f t="shared" si="132"/>
        <v>0</v>
      </c>
    </row>
    <row r="1349" spans="1:28">
      <c r="A1349" s="35">
        <v>1338</v>
      </c>
      <c r="B1349" s="35">
        <v>3.7782893456138447E-4</v>
      </c>
      <c r="C1349" s="232">
        <v>72.459999999999994</v>
      </c>
      <c r="D1349" s="35">
        <v>5.0589114491160201</v>
      </c>
      <c r="E1349" s="232">
        <v>44.93</v>
      </c>
      <c r="F1349" s="35">
        <v>5.0498757861966892</v>
      </c>
      <c r="G1349" s="232">
        <v>14858</v>
      </c>
      <c r="H1349" s="35">
        <v>9.1534871437410494</v>
      </c>
      <c r="I1349" s="232">
        <v>15402.82</v>
      </c>
      <c r="J1349" s="35">
        <v>7.8016947123807885</v>
      </c>
      <c r="K1349" s="232">
        <v>18337.86</v>
      </c>
      <c r="L1349" s="35">
        <v>8.7022836349026491</v>
      </c>
      <c r="M1349" s="232">
        <v>44697.1</v>
      </c>
      <c r="N1349" s="35">
        <v>7.5083980639746102</v>
      </c>
      <c r="P1349" s="232">
        <v>-27.53</v>
      </c>
      <c r="Q1349" s="35">
        <v>9.0356629193308891E-3</v>
      </c>
      <c r="R1349" s="232">
        <v>544.82000000000005</v>
      </c>
      <c r="S1349" s="35">
        <v>1.3517924313602609</v>
      </c>
      <c r="T1349" s="232">
        <v>26359.24</v>
      </c>
      <c r="U1349" s="35">
        <v>1.1938855709280389</v>
      </c>
      <c r="W1349" s="35">
        <f t="shared" si="127"/>
        <v>479.31314596654443</v>
      </c>
      <c r="X1349" s="35">
        <f t="shared" si="128"/>
        <v>67044.801568013034</v>
      </c>
      <c r="Y1349" s="35">
        <f t="shared" si="129"/>
        <v>33335.038546401949</v>
      </c>
      <c r="Z1349" s="35">
        <f t="shared" si="130"/>
        <v>0</v>
      </c>
      <c r="AA1349" s="35">
        <f t="shared" si="131"/>
        <v>1</v>
      </c>
      <c r="AB1349" s="35">
        <f t="shared" si="132"/>
        <v>0</v>
      </c>
    </row>
    <row r="1350" spans="1:28">
      <c r="A1350" s="35">
        <v>1339</v>
      </c>
      <c r="B1350" s="35">
        <v>4.6852583984402507E-4</v>
      </c>
      <c r="C1350" s="232">
        <v>74.13</v>
      </c>
      <c r="D1350" s="35">
        <v>5.0601573229545869</v>
      </c>
      <c r="E1350" s="232">
        <v>43.9</v>
      </c>
      <c r="F1350" s="35">
        <v>5.049990479663828</v>
      </c>
      <c r="G1350" s="232">
        <v>11659.96</v>
      </c>
      <c r="H1350" s="35">
        <v>8.1905956982318671</v>
      </c>
      <c r="I1350" s="232">
        <v>12522.31</v>
      </c>
      <c r="J1350" s="35">
        <v>7.3335557765418704</v>
      </c>
      <c r="K1350" s="232">
        <v>16769.650000000001</v>
      </c>
      <c r="L1350" s="35">
        <v>8.4769847648782175</v>
      </c>
      <c r="M1350" s="232">
        <v>42750.94</v>
      </c>
      <c r="N1350" s="35">
        <v>7.4544927766216418</v>
      </c>
      <c r="P1350" s="232">
        <v>-30.23</v>
      </c>
      <c r="Q1350" s="35">
        <v>1.0166843290758898E-2</v>
      </c>
      <c r="R1350" s="232">
        <v>862.35</v>
      </c>
      <c r="S1350" s="35">
        <v>0.85703992168999665</v>
      </c>
      <c r="T1350" s="232">
        <v>25981.279999999999</v>
      </c>
      <c r="U1350" s="35">
        <v>1.0224919882565757</v>
      </c>
      <c r="W1350" s="35">
        <f t="shared" si="127"/>
        <v>538.5721645379449</v>
      </c>
      <c r="X1350" s="35">
        <f t="shared" si="128"/>
        <v>41989.646084499836</v>
      </c>
      <c r="Y1350" s="35">
        <f t="shared" si="129"/>
        <v>25143.319412828787</v>
      </c>
      <c r="Z1350" s="35">
        <f t="shared" si="130"/>
        <v>0</v>
      </c>
      <c r="AA1350" s="35">
        <f t="shared" si="131"/>
        <v>1</v>
      </c>
      <c r="AB1350" s="35">
        <f t="shared" si="132"/>
        <v>0</v>
      </c>
    </row>
    <row r="1351" spans="1:28">
      <c r="A1351" s="35">
        <v>1340</v>
      </c>
      <c r="B1351" s="35">
        <v>4.2728462716913287E-4</v>
      </c>
      <c r="C1351" s="232">
        <v>60.14</v>
      </c>
      <c r="D1351" s="35">
        <v>5.0615790085673558</v>
      </c>
      <c r="E1351" s="232">
        <v>39.15</v>
      </c>
      <c r="F1351" s="35">
        <v>5.0518817720052098</v>
      </c>
      <c r="G1351" s="232">
        <v>10492.84</v>
      </c>
      <c r="H1351" s="35">
        <v>9.1534426734134708</v>
      </c>
      <c r="I1351" s="232">
        <v>12326.94</v>
      </c>
      <c r="J1351" s="35">
        <v>8.8956693525135186</v>
      </c>
      <c r="K1351" s="232">
        <v>15377.89</v>
      </c>
      <c r="L1351" s="35">
        <v>8.668969163395678</v>
      </c>
      <c r="M1351" s="232">
        <v>41531.379999999997</v>
      </c>
      <c r="N1351" s="35">
        <v>7.5511114390459007</v>
      </c>
      <c r="P1351" s="232">
        <v>-20.99</v>
      </c>
      <c r="Q1351" s="35">
        <v>9.6972365621459389E-3</v>
      </c>
      <c r="R1351" s="232">
        <v>1834.09</v>
      </c>
      <c r="S1351" s="35">
        <v>0.2577733208999522</v>
      </c>
      <c r="T1351" s="232">
        <v>26153.48</v>
      </c>
      <c r="U1351" s="35">
        <v>1.1178577243497774</v>
      </c>
      <c r="W1351" s="35">
        <f t="shared" si="127"/>
        <v>505.85182810729697</v>
      </c>
      <c r="X1351" s="35">
        <f t="shared" si="128"/>
        <v>11054.57604499761</v>
      </c>
      <c r="Y1351" s="35">
        <f t="shared" si="129"/>
        <v>29739.406217488871</v>
      </c>
      <c r="Z1351" s="35">
        <f t="shared" si="130"/>
        <v>0</v>
      </c>
      <c r="AA1351" s="35">
        <f t="shared" si="131"/>
        <v>0</v>
      </c>
      <c r="AB1351" s="35">
        <f t="shared" si="132"/>
        <v>1</v>
      </c>
    </row>
    <row r="1352" spans="1:28">
      <c r="A1352" s="35">
        <v>1341</v>
      </c>
      <c r="B1352" s="35">
        <v>4.6117038337412097E-4</v>
      </c>
      <c r="C1352" s="232">
        <v>78.75</v>
      </c>
      <c r="D1352" s="35">
        <v>5.0643293511342531</v>
      </c>
      <c r="E1352" s="232">
        <v>54.21</v>
      </c>
      <c r="F1352" s="35">
        <v>5.0548729606289227</v>
      </c>
      <c r="G1352" s="232">
        <v>13615.06</v>
      </c>
      <c r="H1352" s="35">
        <v>9.3545956774241699</v>
      </c>
      <c r="I1352" s="232">
        <v>15539.32</v>
      </c>
      <c r="J1352" s="35">
        <v>8.8270764357534794</v>
      </c>
      <c r="K1352" s="232">
        <v>15210.33</v>
      </c>
      <c r="L1352" s="35">
        <v>8.6781095926729197</v>
      </c>
      <c r="M1352" s="232">
        <v>41314.92</v>
      </c>
      <c r="N1352" s="35">
        <v>7.5878281877794986</v>
      </c>
      <c r="P1352" s="232">
        <v>-24.53</v>
      </c>
      <c r="Q1352" s="35">
        <v>9.4563905053304254E-3</v>
      </c>
      <c r="R1352" s="232">
        <v>1924.26</v>
      </c>
      <c r="S1352" s="35">
        <v>0.52751924167069042</v>
      </c>
      <c r="T1352" s="232">
        <v>26104.58</v>
      </c>
      <c r="U1352" s="35">
        <v>1.0902814048934211</v>
      </c>
      <c r="W1352" s="35">
        <f t="shared" si="127"/>
        <v>497.34952526652125</v>
      </c>
      <c r="X1352" s="35">
        <f t="shared" si="128"/>
        <v>24451.702083534521</v>
      </c>
      <c r="Y1352" s="35">
        <f t="shared" si="129"/>
        <v>28409.490244671055</v>
      </c>
      <c r="Z1352" s="35">
        <f t="shared" si="130"/>
        <v>0</v>
      </c>
      <c r="AA1352" s="35">
        <f t="shared" si="131"/>
        <v>0</v>
      </c>
      <c r="AB1352" s="35">
        <f t="shared" si="132"/>
        <v>1</v>
      </c>
    </row>
    <row r="1353" spans="1:28">
      <c r="A1353" s="35">
        <v>1342</v>
      </c>
      <c r="B1353" s="35">
        <v>4.3092220528901E-4</v>
      </c>
      <c r="C1353" s="232">
        <v>68.72</v>
      </c>
      <c r="D1353" s="35">
        <v>5.0610661484173125</v>
      </c>
      <c r="E1353" s="232">
        <v>46.56</v>
      </c>
      <c r="F1353" s="35">
        <v>5.0523694027692683</v>
      </c>
      <c r="G1353" s="232">
        <v>12024.09</v>
      </c>
      <c r="H1353" s="35">
        <v>8.7844531249263937</v>
      </c>
      <c r="I1353" s="232">
        <v>13570.46</v>
      </c>
      <c r="J1353" s="35">
        <v>8.2406347867986387</v>
      </c>
      <c r="K1353" s="232">
        <v>16580.89</v>
      </c>
      <c r="L1353" s="35">
        <v>8.7290820598992518</v>
      </c>
      <c r="M1353" s="232">
        <v>42773.56</v>
      </c>
      <c r="N1353" s="35">
        <v>7.6378106980242348</v>
      </c>
      <c r="P1353" s="232">
        <v>-22.16</v>
      </c>
      <c r="Q1353" s="35">
        <v>8.6967456480442351E-3</v>
      </c>
      <c r="R1353" s="232">
        <v>1546.37</v>
      </c>
      <c r="S1353" s="35">
        <v>0.54381833812775504</v>
      </c>
      <c r="T1353" s="232">
        <v>26192.68</v>
      </c>
      <c r="U1353" s="35">
        <v>1.0912713618750169</v>
      </c>
      <c r="W1353" s="35">
        <f t="shared" si="127"/>
        <v>456.99728240221179</v>
      </c>
      <c r="X1353" s="35">
        <f t="shared" si="128"/>
        <v>25644.546906387754</v>
      </c>
      <c r="Y1353" s="35">
        <f t="shared" si="129"/>
        <v>28370.888093750844</v>
      </c>
      <c r="Z1353" s="35">
        <f t="shared" si="130"/>
        <v>0</v>
      </c>
      <c r="AA1353" s="35">
        <f t="shared" si="131"/>
        <v>0</v>
      </c>
      <c r="AB1353" s="35">
        <f t="shared" si="132"/>
        <v>1</v>
      </c>
    </row>
    <row r="1354" spans="1:28">
      <c r="A1354" s="35">
        <v>1343</v>
      </c>
      <c r="B1354" s="35">
        <v>4.8974806387702685E-4</v>
      </c>
      <c r="C1354" s="232">
        <v>92.84</v>
      </c>
      <c r="D1354" s="35">
        <v>5.0638330932504498</v>
      </c>
      <c r="E1354" s="232">
        <v>59.03</v>
      </c>
      <c r="F1354" s="35">
        <v>5.053372767240262</v>
      </c>
      <c r="G1354" s="232">
        <v>14310.74</v>
      </c>
      <c r="H1354" s="35">
        <v>8.6663203091275225</v>
      </c>
      <c r="I1354" s="232">
        <v>13241.86</v>
      </c>
      <c r="J1354" s="35">
        <v>6.4085606541313176</v>
      </c>
      <c r="K1354" s="232">
        <v>18979.349999999999</v>
      </c>
      <c r="L1354" s="35">
        <v>8.8773690009863184</v>
      </c>
      <c r="M1354" s="232">
        <v>45221.67</v>
      </c>
      <c r="N1354" s="35">
        <v>7.7561557663012799</v>
      </c>
      <c r="P1354" s="232">
        <v>-33.81</v>
      </c>
      <c r="Q1354" s="35">
        <v>1.046032601018787E-2</v>
      </c>
      <c r="R1354" s="232">
        <v>-1068.8800000000001</v>
      </c>
      <c r="S1354" s="35">
        <v>2.2577596549962049</v>
      </c>
      <c r="T1354" s="232">
        <v>26242.32</v>
      </c>
      <c r="U1354" s="35">
        <v>1.1212132346850385</v>
      </c>
      <c r="W1354" s="35">
        <f t="shared" si="127"/>
        <v>556.8263005093936</v>
      </c>
      <c r="X1354" s="35">
        <f t="shared" si="128"/>
        <v>113956.86274981024</v>
      </c>
      <c r="Y1354" s="35">
        <f t="shared" si="129"/>
        <v>29818.341734251924</v>
      </c>
      <c r="Z1354" s="35">
        <f t="shared" si="130"/>
        <v>0</v>
      </c>
      <c r="AA1354" s="35">
        <f t="shared" si="131"/>
        <v>1</v>
      </c>
      <c r="AB1354" s="35">
        <f t="shared" si="132"/>
        <v>0</v>
      </c>
    </row>
    <row r="1355" spans="1:28">
      <c r="A1355" s="35">
        <v>1344</v>
      </c>
      <c r="B1355" s="35">
        <v>4.1902156865747186E-4</v>
      </c>
      <c r="C1355" s="232">
        <v>58.86</v>
      </c>
      <c r="D1355" s="35">
        <v>5.0577575036236766</v>
      </c>
      <c r="E1355" s="232">
        <v>38.020000000000003</v>
      </c>
      <c r="F1355" s="35">
        <v>5.0495018787740715</v>
      </c>
      <c r="G1355" s="232">
        <v>10526.76</v>
      </c>
      <c r="H1355" s="35">
        <v>8.111670002541338</v>
      </c>
      <c r="I1355" s="232">
        <v>11444.57</v>
      </c>
      <c r="J1355" s="35">
        <v>6.9550319096499251</v>
      </c>
      <c r="K1355" s="232">
        <v>14363.21</v>
      </c>
      <c r="L1355" s="35">
        <v>8.5187414772115275</v>
      </c>
      <c r="M1355" s="232">
        <v>40359.67</v>
      </c>
      <c r="N1355" s="35">
        <v>7.432722563014722</v>
      </c>
      <c r="P1355" s="232">
        <v>-20.83</v>
      </c>
      <c r="Q1355" s="35">
        <v>8.2556248496050699E-3</v>
      </c>
      <c r="R1355" s="232">
        <v>917.8</v>
      </c>
      <c r="S1355" s="35">
        <v>1.1566380928914128</v>
      </c>
      <c r="T1355" s="232">
        <v>25996.46</v>
      </c>
      <c r="U1355" s="35">
        <v>1.0860189141968055</v>
      </c>
      <c r="W1355" s="35">
        <f t="shared" si="127"/>
        <v>433.61124248025345</v>
      </c>
      <c r="X1355" s="35">
        <f t="shared" si="128"/>
        <v>56914.104644570638</v>
      </c>
      <c r="Y1355" s="35">
        <f t="shared" si="129"/>
        <v>28304.485709840279</v>
      </c>
      <c r="Z1355" s="35">
        <f t="shared" si="130"/>
        <v>0</v>
      </c>
      <c r="AA1355" s="35">
        <f t="shared" si="131"/>
        <v>1</v>
      </c>
      <c r="AB1355" s="35">
        <f t="shared" si="132"/>
        <v>0</v>
      </c>
    </row>
    <row r="1356" spans="1:28">
      <c r="A1356" s="35">
        <v>1345</v>
      </c>
      <c r="B1356" s="35">
        <v>4.0428496605504275E-4</v>
      </c>
      <c r="C1356" s="232">
        <v>60.42</v>
      </c>
      <c r="D1356" s="35">
        <v>5.0585125543560183</v>
      </c>
      <c r="E1356" s="232">
        <v>38.049999999999997</v>
      </c>
      <c r="F1356" s="35">
        <v>5.0496416765884167</v>
      </c>
      <c r="G1356" s="232">
        <v>10797.75</v>
      </c>
      <c r="H1356" s="35">
        <v>8.5019157207299703</v>
      </c>
      <c r="I1356" s="232">
        <v>11695.23</v>
      </c>
      <c r="J1356" s="35">
        <v>7.5597612062845876</v>
      </c>
      <c r="K1356" s="232">
        <v>14641.77</v>
      </c>
      <c r="L1356" s="35">
        <v>8.8137264852892532</v>
      </c>
      <c r="M1356" s="232">
        <v>40616.449999999997</v>
      </c>
      <c r="N1356" s="35">
        <v>7.7762737520797867</v>
      </c>
      <c r="P1356" s="232">
        <v>-22.37</v>
      </c>
      <c r="Q1356" s="35">
        <v>8.8708777676016481E-3</v>
      </c>
      <c r="R1356" s="232">
        <v>897.47</v>
      </c>
      <c r="S1356" s="35">
        <v>0.94215451444538267</v>
      </c>
      <c r="T1356" s="232">
        <v>25974.68</v>
      </c>
      <c r="U1356" s="35">
        <v>1.0374527332094665</v>
      </c>
      <c r="W1356" s="35">
        <f t="shared" ref="W1356:W1419" si="133">$X$2*Q1356-P1356</f>
        <v>465.91388838008243</v>
      </c>
      <c r="X1356" s="35">
        <f t="shared" ref="X1356:X1419" si="134">$X$2*S1356-R1356</f>
        <v>46210.255722269132</v>
      </c>
      <c r="Y1356" s="35">
        <f t="shared" ref="Y1356:Y1419" si="135">$X$2*U1356-T1356</f>
        <v>25897.956660473326</v>
      </c>
      <c r="Z1356" s="35">
        <f t="shared" ref="Z1356:Z1419" si="136">IF(W1356=MAX($W1356:$Y1356), 1, 0)</f>
        <v>0</v>
      </c>
      <c r="AA1356" s="35">
        <f t="shared" ref="AA1356:AA1419" si="137">IF(X1356=MAX($W1356:$Y1356), 1, 0)</f>
        <v>1</v>
      </c>
      <c r="AB1356" s="35">
        <f t="shared" ref="AB1356:AB1419" si="138">IF(Y1356=MAX($W1356:$Y1356), 1, 0)</f>
        <v>0</v>
      </c>
    </row>
    <row r="1357" spans="1:28">
      <c r="A1357" s="35">
        <v>1346</v>
      </c>
      <c r="B1357" s="35">
        <v>5.5636326661712143E-4</v>
      </c>
      <c r="C1357" s="232">
        <v>95.82</v>
      </c>
      <c r="D1357" s="35">
        <v>5.0676291349940552</v>
      </c>
      <c r="E1357" s="232">
        <v>56.32</v>
      </c>
      <c r="F1357" s="35">
        <v>5.0542462841244378</v>
      </c>
      <c r="G1357" s="232">
        <v>12981.56</v>
      </c>
      <c r="H1357" s="35">
        <v>8.7619423384117336</v>
      </c>
      <c r="I1357" s="232">
        <v>13988.13</v>
      </c>
      <c r="J1357" s="35">
        <v>7.952470184035171</v>
      </c>
      <c r="K1357" s="232">
        <v>18373.03</v>
      </c>
      <c r="L1357" s="35">
        <v>8.8323414542407654</v>
      </c>
      <c r="M1357" s="232">
        <v>44495.62</v>
      </c>
      <c r="N1357" s="35">
        <v>7.6800425940535906</v>
      </c>
      <c r="P1357" s="232">
        <v>-39.5</v>
      </c>
      <c r="Q1357" s="35">
        <v>1.3382850869617435E-2</v>
      </c>
      <c r="R1357" s="232">
        <v>1006.58</v>
      </c>
      <c r="S1357" s="35">
        <v>0.80947215437656261</v>
      </c>
      <c r="T1357" s="232">
        <v>26122.59</v>
      </c>
      <c r="U1357" s="35">
        <v>1.1522988601871749</v>
      </c>
      <c r="W1357" s="35">
        <f t="shared" si="133"/>
        <v>708.64254348087172</v>
      </c>
      <c r="X1357" s="35">
        <f t="shared" si="134"/>
        <v>39467.027718828132</v>
      </c>
      <c r="Y1357" s="35">
        <f t="shared" si="135"/>
        <v>31492.353009358743</v>
      </c>
      <c r="Z1357" s="35">
        <f t="shared" si="136"/>
        <v>0</v>
      </c>
      <c r="AA1357" s="35">
        <f t="shared" si="137"/>
        <v>1</v>
      </c>
      <c r="AB1357" s="35">
        <f t="shared" si="138"/>
        <v>0</v>
      </c>
    </row>
    <row r="1358" spans="1:28">
      <c r="A1358" s="35">
        <v>1347</v>
      </c>
      <c r="B1358" s="35">
        <v>7.4126625951642655E-4</v>
      </c>
      <c r="C1358" s="232">
        <v>125.07</v>
      </c>
      <c r="D1358" s="35">
        <v>5.075410656185289</v>
      </c>
      <c r="E1358" s="232">
        <v>78.12</v>
      </c>
      <c r="F1358" s="35">
        <v>5.0602366735806639</v>
      </c>
      <c r="G1358" s="232">
        <v>12718.47</v>
      </c>
      <c r="H1358" s="35">
        <v>8.3765128264841096</v>
      </c>
      <c r="I1358" s="232">
        <v>13876.05</v>
      </c>
      <c r="J1358" s="35">
        <v>7.4227659248880915</v>
      </c>
      <c r="K1358" s="232">
        <v>16236.81</v>
      </c>
      <c r="L1358" s="35">
        <v>8.7469425586850793</v>
      </c>
      <c r="M1358" s="232">
        <v>42413.55</v>
      </c>
      <c r="N1358" s="35">
        <v>7.6187269091317669</v>
      </c>
      <c r="P1358" s="232">
        <v>-46.95</v>
      </c>
      <c r="Q1358" s="35">
        <v>1.5173982604625103E-2</v>
      </c>
      <c r="R1358" s="232">
        <v>1157.5899999999999</v>
      </c>
      <c r="S1358" s="35">
        <v>0.95374690159601805</v>
      </c>
      <c r="T1358" s="232">
        <v>26176.74</v>
      </c>
      <c r="U1358" s="35">
        <v>1.1282156495533124</v>
      </c>
      <c r="W1358" s="35">
        <f t="shared" si="133"/>
        <v>805.64913023125519</v>
      </c>
      <c r="X1358" s="35">
        <f t="shared" si="134"/>
        <v>46529.755079800903</v>
      </c>
      <c r="Y1358" s="35">
        <f t="shared" si="135"/>
        <v>30234.042477665618</v>
      </c>
      <c r="Z1358" s="35">
        <f t="shared" si="136"/>
        <v>0</v>
      </c>
      <c r="AA1358" s="35">
        <f t="shared" si="137"/>
        <v>1</v>
      </c>
      <c r="AB1358" s="35">
        <f t="shared" si="138"/>
        <v>0</v>
      </c>
    </row>
    <row r="1359" spans="1:28">
      <c r="A1359" s="35">
        <v>1348</v>
      </c>
      <c r="B1359" s="35">
        <v>4.5866130014815543E-4</v>
      </c>
      <c r="C1359" s="232">
        <v>55.87</v>
      </c>
      <c r="D1359" s="35">
        <v>5.0618933490858806</v>
      </c>
      <c r="E1359" s="232">
        <v>38.28</v>
      </c>
      <c r="F1359" s="35">
        <v>5.0527754440976071</v>
      </c>
      <c r="G1359" s="232">
        <v>9501.77</v>
      </c>
      <c r="H1359" s="35">
        <v>8.8179946139770049</v>
      </c>
      <c r="I1359" s="232">
        <v>10745.83</v>
      </c>
      <c r="J1359" s="35">
        <v>7.5234150613935737</v>
      </c>
      <c r="K1359" s="232">
        <v>11759.2</v>
      </c>
      <c r="L1359" s="35">
        <v>8.3615442972725553</v>
      </c>
      <c r="M1359" s="232">
        <v>37736.18</v>
      </c>
      <c r="N1359" s="35">
        <v>7.2452847037446482</v>
      </c>
      <c r="P1359" s="232">
        <v>-17.59</v>
      </c>
      <c r="Q1359" s="35">
        <v>9.1179049882734731E-3</v>
      </c>
      <c r="R1359" s="232">
        <v>1244.06</v>
      </c>
      <c r="S1359" s="35">
        <v>1.2945795525834312</v>
      </c>
      <c r="T1359" s="232">
        <v>25976.98</v>
      </c>
      <c r="U1359" s="35">
        <v>1.1162595935279072</v>
      </c>
      <c r="W1359" s="35">
        <f t="shared" si="133"/>
        <v>473.48524941367361</v>
      </c>
      <c r="X1359" s="35">
        <f t="shared" si="134"/>
        <v>63484.917629171563</v>
      </c>
      <c r="Y1359" s="35">
        <f t="shared" si="135"/>
        <v>29835.999676395357</v>
      </c>
      <c r="Z1359" s="35">
        <f t="shared" si="136"/>
        <v>0</v>
      </c>
      <c r="AA1359" s="35">
        <f t="shared" si="137"/>
        <v>1</v>
      </c>
      <c r="AB1359" s="35">
        <f t="shared" si="138"/>
        <v>0</v>
      </c>
    </row>
    <row r="1360" spans="1:28">
      <c r="A1360" s="35">
        <v>1349</v>
      </c>
      <c r="B1360" s="35">
        <v>4.980267821057538E-4</v>
      </c>
      <c r="C1360" s="232">
        <v>90.42</v>
      </c>
      <c r="D1360" s="35">
        <v>5.0629384080491873</v>
      </c>
      <c r="E1360" s="232">
        <v>56.72</v>
      </c>
      <c r="F1360" s="35">
        <v>5.0525989373564002</v>
      </c>
      <c r="G1360" s="232">
        <v>13640.09</v>
      </c>
      <c r="H1360" s="35">
        <v>8.5103542405574526</v>
      </c>
      <c r="I1360" s="232">
        <v>14112.48</v>
      </c>
      <c r="J1360" s="35">
        <v>7.3985333562733411</v>
      </c>
      <c r="K1360" s="232">
        <v>18870.310000000001</v>
      </c>
      <c r="L1360" s="35">
        <v>8.5647826436367378</v>
      </c>
      <c r="M1360" s="232">
        <v>45166.879999999997</v>
      </c>
      <c r="N1360" s="35">
        <v>7.5601115537145374</v>
      </c>
      <c r="P1360" s="232">
        <v>-33.71</v>
      </c>
      <c r="Q1360" s="35">
        <v>1.0339470692787067E-2</v>
      </c>
      <c r="R1360" s="232">
        <v>472.39</v>
      </c>
      <c r="S1360" s="35">
        <v>1.1118208842841115</v>
      </c>
      <c r="T1360" s="232">
        <v>26296.57</v>
      </c>
      <c r="U1360" s="35">
        <v>1.0046710899222004</v>
      </c>
      <c r="W1360" s="35">
        <f t="shared" si="133"/>
        <v>550.68353463935341</v>
      </c>
      <c r="X1360" s="35">
        <f t="shared" si="134"/>
        <v>55118.654214205577</v>
      </c>
      <c r="Y1360" s="35">
        <f t="shared" si="135"/>
        <v>23936.984496110024</v>
      </c>
      <c r="Z1360" s="35">
        <f t="shared" si="136"/>
        <v>0</v>
      </c>
      <c r="AA1360" s="35">
        <f t="shared" si="137"/>
        <v>1</v>
      </c>
      <c r="AB1360" s="35">
        <f t="shared" si="138"/>
        <v>0</v>
      </c>
    </row>
    <row r="1361" spans="1:28">
      <c r="A1361" s="35">
        <v>1350</v>
      </c>
      <c r="B1361" s="35">
        <v>6.4963332048428857E-4</v>
      </c>
      <c r="C1361" s="232">
        <v>100.16</v>
      </c>
      <c r="D1361" s="35">
        <v>5.0733309240186015</v>
      </c>
      <c r="E1361" s="232">
        <v>61.51</v>
      </c>
      <c r="F1361" s="35">
        <v>5.0583705872813232</v>
      </c>
      <c r="G1361" s="232">
        <v>11759.21</v>
      </c>
      <c r="H1361" s="35">
        <v>9.1711859180312256</v>
      </c>
      <c r="I1361" s="232">
        <v>12048.6</v>
      </c>
      <c r="J1361" s="35">
        <v>7.9257196396701524</v>
      </c>
      <c r="K1361" s="232">
        <v>16181.26</v>
      </c>
      <c r="L1361" s="35">
        <v>8.4349885370358137</v>
      </c>
      <c r="M1361" s="232">
        <v>42187.27</v>
      </c>
      <c r="N1361" s="35">
        <v>7.276973393782284</v>
      </c>
      <c r="P1361" s="232">
        <v>-38.65</v>
      </c>
      <c r="Q1361" s="35">
        <v>1.4960336737278368E-2</v>
      </c>
      <c r="R1361" s="232">
        <v>289.39</v>
      </c>
      <c r="S1361" s="35">
        <v>1.2454662783610733</v>
      </c>
      <c r="T1361" s="232">
        <v>26006.01</v>
      </c>
      <c r="U1361" s="35">
        <v>1.1580151432535297</v>
      </c>
      <c r="W1361" s="35">
        <f t="shared" si="133"/>
        <v>786.66683686391832</v>
      </c>
      <c r="X1361" s="35">
        <f t="shared" si="134"/>
        <v>61983.923918053661</v>
      </c>
      <c r="Y1361" s="35">
        <f t="shared" si="135"/>
        <v>31894.747162676485</v>
      </c>
      <c r="Z1361" s="35">
        <f t="shared" si="136"/>
        <v>0</v>
      </c>
      <c r="AA1361" s="35">
        <f t="shared" si="137"/>
        <v>1</v>
      </c>
      <c r="AB1361" s="35">
        <f t="shared" si="138"/>
        <v>0</v>
      </c>
    </row>
    <row r="1362" spans="1:28">
      <c r="A1362" s="35">
        <v>1351</v>
      </c>
      <c r="B1362" s="35">
        <v>6.5810770200125379E-4</v>
      </c>
      <c r="C1362" s="232">
        <v>72.010000000000005</v>
      </c>
      <c r="D1362" s="35">
        <v>5.072610720258238</v>
      </c>
      <c r="E1362" s="232">
        <v>44.82</v>
      </c>
      <c r="F1362" s="35">
        <v>5.0577467405610914</v>
      </c>
      <c r="G1362" s="232">
        <v>8541.5300000000007</v>
      </c>
      <c r="H1362" s="35">
        <v>8.8172036765714061</v>
      </c>
      <c r="I1362" s="232">
        <v>9603.25</v>
      </c>
      <c r="J1362" s="35">
        <v>6.7935062111349778</v>
      </c>
      <c r="K1362" s="232">
        <v>9689.89</v>
      </c>
      <c r="L1362" s="35">
        <v>8.6115320585466133</v>
      </c>
      <c r="M1362" s="232">
        <v>35492.44</v>
      </c>
      <c r="N1362" s="35">
        <v>7.4446574391272113</v>
      </c>
      <c r="P1362" s="232">
        <v>-27.19</v>
      </c>
      <c r="Q1362" s="35">
        <v>1.486397969714659E-2</v>
      </c>
      <c r="R1362" s="232">
        <v>1061.72</v>
      </c>
      <c r="S1362" s="35">
        <v>2.0236974654364284</v>
      </c>
      <c r="T1362" s="232">
        <v>25802.54</v>
      </c>
      <c r="U1362" s="35">
        <v>1.166874619419402</v>
      </c>
      <c r="W1362" s="35">
        <f t="shared" si="133"/>
        <v>770.38898485732955</v>
      </c>
      <c r="X1362" s="35">
        <f t="shared" si="134"/>
        <v>100123.15327182141</v>
      </c>
      <c r="Y1362" s="35">
        <f t="shared" si="135"/>
        <v>32541.190970970099</v>
      </c>
      <c r="Z1362" s="35">
        <f t="shared" si="136"/>
        <v>0</v>
      </c>
      <c r="AA1362" s="35">
        <f t="shared" si="137"/>
        <v>1</v>
      </c>
      <c r="AB1362" s="35">
        <f t="shared" si="138"/>
        <v>0</v>
      </c>
    </row>
    <row r="1363" spans="1:28">
      <c r="A1363" s="35">
        <v>1352</v>
      </c>
      <c r="B1363" s="35">
        <v>4.0956042084413689E-4</v>
      </c>
      <c r="C1363" s="232">
        <v>59.5</v>
      </c>
      <c r="D1363" s="35">
        <v>5.0592027483345507</v>
      </c>
      <c r="E1363" s="232">
        <v>39.89</v>
      </c>
      <c r="F1363" s="35">
        <v>5.0508800685691382</v>
      </c>
      <c r="G1363" s="232">
        <v>11065.48</v>
      </c>
      <c r="H1363" s="35">
        <v>8.8902670014313117</v>
      </c>
      <c r="I1363" s="232">
        <v>11216.99</v>
      </c>
      <c r="J1363" s="35">
        <v>7.1391532946817637</v>
      </c>
      <c r="K1363" s="232">
        <v>13752.18</v>
      </c>
      <c r="L1363" s="35">
        <v>8.2715610197852119</v>
      </c>
      <c r="M1363" s="232">
        <v>39679.599999999999</v>
      </c>
      <c r="N1363" s="35">
        <v>7.2261983914154522</v>
      </c>
      <c r="P1363" s="232">
        <v>-19.61</v>
      </c>
      <c r="Q1363" s="35">
        <v>8.3226797654125662E-3</v>
      </c>
      <c r="R1363" s="232">
        <v>151.51</v>
      </c>
      <c r="S1363" s="35">
        <v>1.7511137067495479</v>
      </c>
      <c r="T1363" s="232">
        <v>25927.43</v>
      </c>
      <c r="U1363" s="35">
        <v>1.0453626283697597</v>
      </c>
      <c r="W1363" s="35">
        <f t="shared" si="133"/>
        <v>435.74398827062834</v>
      </c>
      <c r="X1363" s="35">
        <f t="shared" si="134"/>
        <v>87404.175337477398</v>
      </c>
      <c r="Y1363" s="35">
        <f t="shared" si="135"/>
        <v>26340.701418487981</v>
      </c>
      <c r="Z1363" s="35">
        <f t="shared" si="136"/>
        <v>0</v>
      </c>
      <c r="AA1363" s="35">
        <f t="shared" si="137"/>
        <v>1</v>
      </c>
      <c r="AB1363" s="35">
        <f t="shared" si="138"/>
        <v>0</v>
      </c>
    </row>
    <row r="1364" spans="1:28">
      <c r="A1364" s="35">
        <v>1353</v>
      </c>
      <c r="B1364" s="35">
        <v>4.3896908859721191E-4</v>
      </c>
      <c r="C1364" s="232">
        <v>63.75</v>
      </c>
      <c r="D1364" s="35">
        <v>5.0614359476244521</v>
      </c>
      <c r="E1364" s="232">
        <v>40.85</v>
      </c>
      <c r="F1364" s="35">
        <v>5.0516377733807172</v>
      </c>
      <c r="G1364" s="232">
        <v>11054.06</v>
      </c>
      <c r="H1364" s="35">
        <v>8.7880366936963643</v>
      </c>
      <c r="I1364" s="232">
        <v>12156.32</v>
      </c>
      <c r="J1364" s="35">
        <v>7.7787200922548392</v>
      </c>
      <c r="K1364" s="232">
        <v>14526.7</v>
      </c>
      <c r="L1364" s="35">
        <v>8.8895680936028647</v>
      </c>
      <c r="M1364" s="232">
        <v>40481.620000000003</v>
      </c>
      <c r="N1364" s="35">
        <v>7.6839723940613158</v>
      </c>
      <c r="P1364" s="232">
        <v>-22.9</v>
      </c>
      <c r="Q1364" s="35">
        <v>9.7981742437349695E-3</v>
      </c>
      <c r="R1364" s="232">
        <v>1102.26</v>
      </c>
      <c r="S1364" s="35">
        <v>1.0093166014415251</v>
      </c>
      <c r="T1364" s="232">
        <v>25954.92</v>
      </c>
      <c r="U1364" s="35">
        <v>1.2055956995415489</v>
      </c>
      <c r="W1364" s="35">
        <f t="shared" si="133"/>
        <v>512.80871218674849</v>
      </c>
      <c r="X1364" s="35">
        <f t="shared" si="134"/>
        <v>49363.570072076254</v>
      </c>
      <c r="Y1364" s="35">
        <f t="shared" si="135"/>
        <v>34324.864977077443</v>
      </c>
      <c r="Z1364" s="35">
        <f t="shared" si="136"/>
        <v>0</v>
      </c>
      <c r="AA1364" s="35">
        <f t="shared" si="137"/>
        <v>1</v>
      </c>
      <c r="AB1364" s="35">
        <f t="shared" si="138"/>
        <v>0</v>
      </c>
    </row>
    <row r="1365" spans="1:28">
      <c r="A1365" s="35">
        <v>1354</v>
      </c>
      <c r="B1365" s="35">
        <v>4.4966060554652021E-4</v>
      </c>
      <c r="C1365" s="232">
        <v>55.13</v>
      </c>
      <c r="D1365" s="35">
        <v>5.0605611316480372</v>
      </c>
      <c r="E1365" s="232">
        <v>32.869999999999997</v>
      </c>
      <c r="F1365" s="35">
        <v>5.0499152529279385</v>
      </c>
      <c r="G1365" s="232">
        <v>10169.42</v>
      </c>
      <c r="H1365" s="35">
        <v>8.4924065173018288</v>
      </c>
      <c r="I1365" s="232">
        <v>12226.23</v>
      </c>
      <c r="J1365" s="35">
        <v>7.2274649270423597</v>
      </c>
      <c r="K1365" s="232">
        <v>10395.280000000001</v>
      </c>
      <c r="L1365" s="35">
        <v>8.6653908225184377</v>
      </c>
      <c r="M1365" s="232">
        <v>36292.94</v>
      </c>
      <c r="N1365" s="35">
        <v>7.5524300397369935</v>
      </c>
      <c r="P1365" s="232">
        <v>-22.26</v>
      </c>
      <c r="Q1365" s="35">
        <v>1.06458787200987E-2</v>
      </c>
      <c r="R1365" s="232">
        <v>2056.81</v>
      </c>
      <c r="S1365" s="35">
        <v>1.2649415902594692</v>
      </c>
      <c r="T1365" s="232">
        <v>25897.66</v>
      </c>
      <c r="U1365" s="35">
        <v>1.1129607827814443</v>
      </c>
      <c r="W1365" s="35">
        <f t="shared" si="133"/>
        <v>554.55393600493505</v>
      </c>
      <c r="X1365" s="35">
        <f t="shared" si="134"/>
        <v>61190.269512973464</v>
      </c>
      <c r="Y1365" s="35">
        <f t="shared" si="135"/>
        <v>29750.379139072214</v>
      </c>
      <c r="Z1365" s="35">
        <f t="shared" si="136"/>
        <v>0</v>
      </c>
      <c r="AA1365" s="35">
        <f t="shared" si="137"/>
        <v>1</v>
      </c>
      <c r="AB1365" s="35">
        <f t="shared" si="138"/>
        <v>0</v>
      </c>
    </row>
    <row r="1366" spans="1:28">
      <c r="A1366" s="35">
        <v>1355</v>
      </c>
      <c r="B1366" s="35">
        <v>5.6091983051642647E-4</v>
      </c>
      <c r="C1366" s="232">
        <v>69.88</v>
      </c>
      <c r="D1366" s="35">
        <v>5.0653016464402443</v>
      </c>
      <c r="E1366" s="232">
        <v>41.57</v>
      </c>
      <c r="F1366" s="35">
        <v>5.0527734209105688</v>
      </c>
      <c r="G1366" s="232">
        <v>9470.98</v>
      </c>
      <c r="H1366" s="35">
        <v>8.4288004715357179</v>
      </c>
      <c r="I1366" s="232">
        <v>11180.55</v>
      </c>
      <c r="J1366" s="35">
        <v>7.6002915988244935</v>
      </c>
      <c r="K1366" s="232">
        <v>10023.950000000001</v>
      </c>
      <c r="L1366" s="35">
        <v>8.4639825260380608</v>
      </c>
      <c r="M1366" s="232">
        <v>35913.24</v>
      </c>
      <c r="N1366" s="35">
        <v>7.4197723474490997</v>
      </c>
      <c r="P1366" s="232">
        <v>-28.31</v>
      </c>
      <c r="Q1366" s="35">
        <v>1.2528225529675474E-2</v>
      </c>
      <c r="R1366" s="232">
        <v>1709.57</v>
      </c>
      <c r="S1366" s="35">
        <v>0.82850887271122442</v>
      </c>
      <c r="T1366" s="232">
        <v>25889.29</v>
      </c>
      <c r="U1366" s="35">
        <v>1.044210178588961</v>
      </c>
      <c r="W1366" s="35">
        <f t="shared" si="133"/>
        <v>654.72127648377364</v>
      </c>
      <c r="X1366" s="35">
        <f t="shared" si="134"/>
        <v>39715.87363556122</v>
      </c>
      <c r="Y1366" s="35">
        <f t="shared" si="135"/>
        <v>26321.218929448049</v>
      </c>
      <c r="Z1366" s="35">
        <f t="shared" si="136"/>
        <v>0</v>
      </c>
      <c r="AA1366" s="35">
        <f t="shared" si="137"/>
        <v>1</v>
      </c>
      <c r="AB1366" s="35">
        <f t="shared" si="138"/>
        <v>0</v>
      </c>
    </row>
    <row r="1367" spans="1:28">
      <c r="A1367" s="35">
        <v>1356</v>
      </c>
      <c r="B1367" s="35">
        <v>5.1379568923926033E-4</v>
      </c>
      <c r="C1367" s="232">
        <v>98.6</v>
      </c>
      <c r="D1367" s="35">
        <v>5.0662751623518671</v>
      </c>
      <c r="E1367" s="232">
        <v>59.82</v>
      </c>
      <c r="F1367" s="35">
        <v>5.0540695953573103</v>
      </c>
      <c r="G1367" s="232">
        <v>14857.46</v>
      </c>
      <c r="H1367" s="35">
        <v>9.17450585910127</v>
      </c>
      <c r="I1367" s="232">
        <v>14847.61</v>
      </c>
      <c r="J1367" s="35">
        <v>7.8846664797777288</v>
      </c>
      <c r="K1367" s="232">
        <v>20388.28</v>
      </c>
      <c r="L1367" s="35">
        <v>8.726981477496814</v>
      </c>
      <c r="M1367" s="232">
        <v>46645.04</v>
      </c>
      <c r="N1367" s="35">
        <v>7.654533958089579</v>
      </c>
      <c r="P1367" s="232">
        <v>-38.78</v>
      </c>
      <c r="Q1367" s="35">
        <v>1.2205566994556882E-2</v>
      </c>
      <c r="R1367" s="232">
        <v>-9.85</v>
      </c>
      <c r="S1367" s="35">
        <v>1.2898393793235412</v>
      </c>
      <c r="T1367" s="232">
        <v>26256.76</v>
      </c>
      <c r="U1367" s="35">
        <v>1.0724475194072349</v>
      </c>
      <c r="W1367" s="35">
        <f t="shared" si="133"/>
        <v>649.05834972784407</v>
      </c>
      <c r="X1367" s="35">
        <f t="shared" si="134"/>
        <v>64501.818966177059</v>
      </c>
      <c r="Y1367" s="35">
        <f t="shared" si="135"/>
        <v>27365.615970361749</v>
      </c>
      <c r="Z1367" s="35">
        <f t="shared" si="136"/>
        <v>0</v>
      </c>
      <c r="AA1367" s="35">
        <f t="shared" si="137"/>
        <v>1</v>
      </c>
      <c r="AB1367" s="35">
        <f t="shared" si="138"/>
        <v>0</v>
      </c>
    </row>
    <row r="1368" spans="1:28">
      <c r="A1368" s="35">
        <v>1357</v>
      </c>
      <c r="B1368" s="35">
        <v>3.8177097605075956E-4</v>
      </c>
      <c r="C1368" s="232">
        <v>48.79</v>
      </c>
      <c r="D1368" s="35">
        <v>5.0566922857484489</v>
      </c>
      <c r="E1368" s="232">
        <v>37.74</v>
      </c>
      <c r="F1368" s="35">
        <v>5.0510310582530495</v>
      </c>
      <c r="G1368" s="232">
        <v>9952.39</v>
      </c>
      <c r="H1368" s="35">
        <v>8.4646222036199426</v>
      </c>
      <c r="I1368" s="232">
        <v>12484.49</v>
      </c>
      <c r="J1368" s="35">
        <v>9.0946452721138105</v>
      </c>
      <c r="K1368" s="232">
        <v>11167.83</v>
      </c>
      <c r="L1368" s="35">
        <v>8.2545980157534196</v>
      </c>
      <c r="M1368" s="232">
        <v>37147.07</v>
      </c>
      <c r="N1368" s="35">
        <v>7.2351083652619259</v>
      </c>
      <c r="P1368" s="232">
        <v>-11.05</v>
      </c>
      <c r="Q1368" s="35">
        <v>5.6612274953993236E-3</v>
      </c>
      <c r="R1368" s="232">
        <v>2532.1</v>
      </c>
      <c r="S1368" s="35">
        <v>-0.63002306849386791</v>
      </c>
      <c r="T1368" s="232">
        <v>25979.24</v>
      </c>
      <c r="U1368" s="35">
        <v>1.0194896504914936</v>
      </c>
      <c r="W1368" s="35">
        <f t="shared" si="133"/>
        <v>294.11137476996618</v>
      </c>
      <c r="X1368" s="35">
        <f t="shared" si="134"/>
        <v>-34033.253424693394</v>
      </c>
      <c r="Y1368" s="35">
        <f t="shared" si="135"/>
        <v>24995.242524574682</v>
      </c>
      <c r="Z1368" s="35">
        <f t="shared" si="136"/>
        <v>0</v>
      </c>
      <c r="AA1368" s="35">
        <f t="shared" si="137"/>
        <v>0</v>
      </c>
      <c r="AB1368" s="35">
        <f t="shared" si="138"/>
        <v>1</v>
      </c>
    </row>
    <row r="1369" spans="1:28">
      <c r="A1369" s="35">
        <v>1358</v>
      </c>
      <c r="B1369" s="35">
        <v>4.5052924138266892E-4</v>
      </c>
      <c r="C1369" s="232">
        <v>47.92</v>
      </c>
      <c r="D1369" s="35">
        <v>5.0594255428773778</v>
      </c>
      <c r="E1369" s="232">
        <v>30.38</v>
      </c>
      <c r="F1369" s="35">
        <v>5.049910991314392</v>
      </c>
      <c r="G1369" s="232">
        <v>8107.64</v>
      </c>
      <c r="H1369" s="35">
        <v>8.3352525468598007</v>
      </c>
      <c r="I1369" s="232">
        <v>9650.6200000000008</v>
      </c>
      <c r="J1369" s="35">
        <v>7.2281795220625398</v>
      </c>
      <c r="K1369" s="232">
        <v>9044.7099999999991</v>
      </c>
      <c r="L1369" s="35">
        <v>8.2037615117721874</v>
      </c>
      <c r="M1369" s="232">
        <v>34769.449999999997</v>
      </c>
      <c r="N1369" s="35">
        <v>7.0689069877203234</v>
      </c>
      <c r="P1369" s="232">
        <v>-17.54</v>
      </c>
      <c r="Q1369" s="35">
        <v>9.5145515629857513E-3</v>
      </c>
      <c r="R1369" s="232">
        <v>1542.98</v>
      </c>
      <c r="S1369" s="35">
        <v>1.1070730247972609</v>
      </c>
      <c r="T1369" s="232">
        <v>25724.74</v>
      </c>
      <c r="U1369" s="35">
        <v>1.1348545240518639</v>
      </c>
      <c r="W1369" s="35">
        <f t="shared" si="133"/>
        <v>493.2675781492876</v>
      </c>
      <c r="X1369" s="35">
        <f t="shared" si="134"/>
        <v>53810.671239863041</v>
      </c>
      <c r="Y1369" s="35">
        <f t="shared" si="135"/>
        <v>31017.986202593198</v>
      </c>
      <c r="Z1369" s="35">
        <f t="shared" si="136"/>
        <v>0</v>
      </c>
      <c r="AA1369" s="35">
        <f t="shared" si="137"/>
        <v>1</v>
      </c>
      <c r="AB1369" s="35">
        <f t="shared" si="138"/>
        <v>0</v>
      </c>
    </row>
    <row r="1370" spans="1:28">
      <c r="A1370" s="35">
        <v>1359</v>
      </c>
      <c r="B1370" s="35">
        <v>3.4038196045192324E-4</v>
      </c>
      <c r="C1370" s="232">
        <v>54.67</v>
      </c>
      <c r="D1370" s="35">
        <v>5.0556282653782683</v>
      </c>
      <c r="E1370" s="232">
        <v>34.26</v>
      </c>
      <c r="F1370" s="35">
        <v>5.0478297262644816</v>
      </c>
      <c r="G1370" s="232">
        <v>12565.56</v>
      </c>
      <c r="H1370" s="35">
        <v>8.8160238543777112</v>
      </c>
      <c r="I1370" s="232">
        <v>13138.38</v>
      </c>
      <c r="J1370" s="35">
        <v>7.2742160900066875</v>
      </c>
      <c r="K1370" s="232">
        <v>15741.67</v>
      </c>
      <c r="L1370" s="35">
        <v>8.5273879591711736</v>
      </c>
      <c r="M1370" s="232">
        <v>41800.83</v>
      </c>
      <c r="N1370" s="35">
        <v>7.4927329968142065</v>
      </c>
      <c r="P1370" s="232">
        <v>-20.420000000000002</v>
      </c>
      <c r="Q1370" s="35">
        <v>7.7985391137866955E-3</v>
      </c>
      <c r="R1370" s="232">
        <v>572.83000000000004</v>
      </c>
      <c r="S1370" s="35">
        <v>1.5418077643710237</v>
      </c>
      <c r="T1370" s="232">
        <v>26059.16</v>
      </c>
      <c r="U1370" s="35">
        <v>1.0346549623569672</v>
      </c>
      <c r="W1370" s="35">
        <f t="shared" si="133"/>
        <v>410.34695568933478</v>
      </c>
      <c r="X1370" s="35">
        <f t="shared" si="134"/>
        <v>76517.558218551188</v>
      </c>
      <c r="Y1370" s="35">
        <f t="shared" si="135"/>
        <v>25673.588117848358</v>
      </c>
      <c r="Z1370" s="35">
        <f t="shared" si="136"/>
        <v>0</v>
      </c>
      <c r="AA1370" s="35">
        <f t="shared" si="137"/>
        <v>1</v>
      </c>
      <c r="AB1370" s="35">
        <f t="shared" si="138"/>
        <v>0</v>
      </c>
    </row>
    <row r="1371" spans="1:28">
      <c r="A1371" s="35">
        <v>1360</v>
      </c>
      <c r="B1371" s="35">
        <v>4.4124511256795609E-4</v>
      </c>
      <c r="C1371" s="232">
        <v>72.739999999999995</v>
      </c>
      <c r="D1371" s="35">
        <v>5.0621181054518374</v>
      </c>
      <c r="E1371" s="232">
        <v>40.64</v>
      </c>
      <c r="F1371" s="35">
        <v>5.0502212848735537</v>
      </c>
      <c r="G1371" s="232">
        <v>12523.07</v>
      </c>
      <c r="H1371" s="35">
        <v>8.783078307843617</v>
      </c>
      <c r="I1371" s="232">
        <v>12022.58</v>
      </c>
      <c r="J1371" s="35">
        <v>6.9758537408442303</v>
      </c>
      <c r="K1371" s="232">
        <v>19244.669999999998</v>
      </c>
      <c r="L1371" s="35">
        <v>9.1627850068452013</v>
      </c>
      <c r="M1371" s="232">
        <v>45695.43</v>
      </c>
      <c r="N1371" s="35">
        <v>8.0190478506229717</v>
      </c>
      <c r="P1371" s="232">
        <v>-32.1</v>
      </c>
      <c r="Q1371" s="35">
        <v>1.1896820578283673E-2</v>
      </c>
      <c r="R1371" s="232">
        <v>-500.5</v>
      </c>
      <c r="S1371" s="35">
        <v>1.8072245669993867</v>
      </c>
      <c r="T1371" s="232">
        <v>26450.76</v>
      </c>
      <c r="U1371" s="35">
        <v>1.1437371562222296</v>
      </c>
      <c r="W1371" s="35">
        <f t="shared" si="133"/>
        <v>626.94102891418368</v>
      </c>
      <c r="X1371" s="35">
        <f t="shared" si="134"/>
        <v>90861.728349969329</v>
      </c>
      <c r="Y1371" s="35">
        <f t="shared" si="135"/>
        <v>30736.097811111478</v>
      </c>
      <c r="Z1371" s="35">
        <f t="shared" si="136"/>
        <v>0</v>
      </c>
      <c r="AA1371" s="35">
        <f t="shared" si="137"/>
        <v>1</v>
      </c>
      <c r="AB1371" s="35">
        <f t="shared" si="138"/>
        <v>0</v>
      </c>
    </row>
    <row r="1372" spans="1:28">
      <c r="A1372" s="35">
        <v>1361</v>
      </c>
      <c r="B1372" s="35">
        <v>3.3425199100203156E-4</v>
      </c>
      <c r="C1372" s="232">
        <v>55.36</v>
      </c>
      <c r="D1372" s="35">
        <v>5.0551118853868999</v>
      </c>
      <c r="E1372" s="232">
        <v>33.4</v>
      </c>
      <c r="F1372" s="35">
        <v>5.0471539695849135</v>
      </c>
      <c r="G1372" s="232">
        <v>12875.43</v>
      </c>
      <c r="H1372" s="35">
        <v>8.6042533122193845</v>
      </c>
      <c r="I1372" s="232">
        <v>13669.87</v>
      </c>
      <c r="J1372" s="35">
        <v>7.5064152626918634</v>
      </c>
      <c r="K1372" s="232">
        <v>18129.21</v>
      </c>
      <c r="L1372" s="35">
        <v>8.6982005745782587</v>
      </c>
      <c r="M1372" s="232">
        <v>44412.43</v>
      </c>
      <c r="N1372" s="35">
        <v>7.6644780070082508</v>
      </c>
      <c r="P1372" s="232">
        <v>-21.97</v>
      </c>
      <c r="Q1372" s="35">
        <v>7.9579158019864593E-3</v>
      </c>
      <c r="R1372" s="232">
        <v>794.44</v>
      </c>
      <c r="S1372" s="35">
        <v>1.0978380495275211</v>
      </c>
      <c r="T1372" s="232">
        <v>26283.22</v>
      </c>
      <c r="U1372" s="35">
        <v>1.0337225675700079</v>
      </c>
      <c r="W1372" s="35">
        <f t="shared" si="133"/>
        <v>419.86579009932302</v>
      </c>
      <c r="X1372" s="35">
        <f t="shared" si="134"/>
        <v>54097.462476376051</v>
      </c>
      <c r="Y1372" s="35">
        <f t="shared" si="135"/>
        <v>25402.908378500397</v>
      </c>
      <c r="Z1372" s="35">
        <f t="shared" si="136"/>
        <v>0</v>
      </c>
      <c r="AA1372" s="35">
        <f t="shared" si="137"/>
        <v>1</v>
      </c>
      <c r="AB1372" s="35">
        <f t="shared" si="138"/>
        <v>0</v>
      </c>
    </row>
    <row r="1373" spans="1:28">
      <c r="A1373" s="35">
        <v>1362</v>
      </c>
      <c r="B1373" s="35">
        <v>4.2103246495754279E-4</v>
      </c>
      <c r="C1373" s="232">
        <v>59.37</v>
      </c>
      <c r="D1373" s="35">
        <v>5.0590434611373976</v>
      </c>
      <c r="E1373" s="232">
        <v>40.799999999999997</v>
      </c>
      <c r="F1373" s="35">
        <v>5.0511331753376183</v>
      </c>
      <c r="G1373" s="232">
        <v>9940.2800000000007</v>
      </c>
      <c r="H1373" s="35">
        <v>8.3821082890470002</v>
      </c>
      <c r="I1373" s="232">
        <v>9040.9</v>
      </c>
      <c r="J1373" s="35">
        <v>6.6390838654830997</v>
      </c>
      <c r="K1373" s="232">
        <v>15992.14</v>
      </c>
      <c r="L1373" s="35">
        <v>8.6203911974631957</v>
      </c>
      <c r="M1373" s="232">
        <v>42178.720000000001</v>
      </c>
      <c r="N1373" s="35">
        <v>7.489199995432644</v>
      </c>
      <c r="P1373" s="232">
        <v>-18.57</v>
      </c>
      <c r="Q1373" s="35">
        <v>7.9102857997792597E-3</v>
      </c>
      <c r="R1373" s="232">
        <v>-899.38</v>
      </c>
      <c r="S1373" s="35">
        <v>1.7430244235639005</v>
      </c>
      <c r="T1373" s="232">
        <v>26186.58</v>
      </c>
      <c r="U1373" s="35">
        <v>1.1311912020305517</v>
      </c>
      <c r="W1373" s="35">
        <f t="shared" si="133"/>
        <v>414.08428998896301</v>
      </c>
      <c r="X1373" s="35">
        <f t="shared" si="134"/>
        <v>88050.601178195036</v>
      </c>
      <c r="Y1373" s="35">
        <f t="shared" si="135"/>
        <v>30372.980101527581</v>
      </c>
      <c r="Z1373" s="35">
        <f t="shared" si="136"/>
        <v>0</v>
      </c>
      <c r="AA1373" s="35">
        <f t="shared" si="137"/>
        <v>1</v>
      </c>
      <c r="AB1373" s="35">
        <f t="shared" si="138"/>
        <v>0</v>
      </c>
    </row>
    <row r="1374" spans="1:28">
      <c r="A1374" s="35">
        <v>1363</v>
      </c>
      <c r="B1374" s="35">
        <v>3.6228795436032182E-4</v>
      </c>
      <c r="C1374" s="232">
        <v>53.54</v>
      </c>
      <c r="D1374" s="35">
        <v>5.0589091699483921</v>
      </c>
      <c r="E1374" s="232">
        <v>33.229999999999997</v>
      </c>
      <c r="F1374" s="35">
        <v>5.0495139153322839</v>
      </c>
      <c r="G1374" s="232">
        <v>11010.29</v>
      </c>
      <c r="H1374" s="35">
        <v>9.3473937537332166</v>
      </c>
      <c r="I1374" s="232">
        <v>12039.16</v>
      </c>
      <c r="J1374" s="35">
        <v>8.4705453773057275</v>
      </c>
      <c r="K1374" s="232">
        <v>14831.17</v>
      </c>
      <c r="L1374" s="35">
        <v>8.9991865221186185</v>
      </c>
      <c r="M1374" s="232">
        <v>40796.71</v>
      </c>
      <c r="N1374" s="35">
        <v>7.8632480016103381</v>
      </c>
      <c r="P1374" s="232">
        <v>-20.3</v>
      </c>
      <c r="Q1374" s="35">
        <v>9.3952546161082395E-3</v>
      </c>
      <c r="R1374" s="232">
        <v>1028.8800000000001</v>
      </c>
      <c r="S1374" s="35">
        <v>0.87684837642748903</v>
      </c>
      <c r="T1374" s="232">
        <v>25965.54</v>
      </c>
      <c r="U1374" s="35">
        <v>1.1359385205082804</v>
      </c>
      <c r="W1374" s="35">
        <f t="shared" si="133"/>
        <v>490.062730805412</v>
      </c>
      <c r="X1374" s="35">
        <f t="shared" si="134"/>
        <v>42813.538821374452</v>
      </c>
      <c r="Y1374" s="35">
        <f t="shared" si="135"/>
        <v>30831.386025414016</v>
      </c>
      <c r="Z1374" s="35">
        <f t="shared" si="136"/>
        <v>0</v>
      </c>
      <c r="AA1374" s="35">
        <f t="shared" si="137"/>
        <v>1</v>
      </c>
      <c r="AB1374" s="35">
        <f t="shared" si="138"/>
        <v>0</v>
      </c>
    </row>
    <row r="1375" spans="1:28">
      <c r="A1375" s="35">
        <v>1364</v>
      </c>
      <c r="B1375" s="35">
        <v>4.1048994035016383E-4</v>
      </c>
      <c r="C1375" s="232">
        <v>47.46</v>
      </c>
      <c r="D1375" s="35">
        <v>5.0574094109415366</v>
      </c>
      <c r="E1375" s="232">
        <v>33.21</v>
      </c>
      <c r="F1375" s="35">
        <v>5.050057147165476</v>
      </c>
      <c r="G1375" s="232">
        <v>8720.16</v>
      </c>
      <c r="H1375" s="35">
        <v>8.258191188910363</v>
      </c>
      <c r="I1375" s="232">
        <v>9680.5</v>
      </c>
      <c r="J1375" s="35">
        <v>6.8457351207141341</v>
      </c>
      <c r="K1375" s="232">
        <v>11129.38</v>
      </c>
      <c r="L1375" s="35">
        <v>8.2927155329263549</v>
      </c>
      <c r="M1375" s="232">
        <v>36964.15</v>
      </c>
      <c r="N1375" s="35">
        <v>7.2413758349587667</v>
      </c>
      <c r="P1375" s="232">
        <v>-14.24</v>
      </c>
      <c r="Q1375" s="35">
        <v>7.3522637760605747E-3</v>
      </c>
      <c r="R1375" s="232">
        <v>960.34</v>
      </c>
      <c r="S1375" s="35">
        <v>1.4124560681962288</v>
      </c>
      <c r="T1375" s="232">
        <v>25834.77</v>
      </c>
      <c r="U1375" s="35">
        <v>1.0513396979675882</v>
      </c>
      <c r="W1375" s="35">
        <f t="shared" si="133"/>
        <v>381.85318880302873</v>
      </c>
      <c r="X1375" s="35">
        <f t="shared" si="134"/>
        <v>69662.463409811447</v>
      </c>
      <c r="Y1375" s="35">
        <f t="shared" si="135"/>
        <v>26732.214898379407</v>
      </c>
      <c r="Z1375" s="35">
        <f t="shared" si="136"/>
        <v>0</v>
      </c>
      <c r="AA1375" s="35">
        <f t="shared" si="137"/>
        <v>1</v>
      </c>
      <c r="AB1375" s="35">
        <f t="shared" si="138"/>
        <v>0</v>
      </c>
    </row>
    <row r="1376" spans="1:28">
      <c r="A1376" s="35">
        <v>1365</v>
      </c>
      <c r="B1376" s="35">
        <v>3.5082295729711965E-4</v>
      </c>
      <c r="C1376" s="232">
        <v>56.85</v>
      </c>
      <c r="D1376" s="35">
        <v>5.0560729969272531</v>
      </c>
      <c r="E1376" s="232">
        <v>36.17</v>
      </c>
      <c r="F1376" s="35">
        <v>5.0482998607376182</v>
      </c>
      <c r="G1376" s="232">
        <v>11805.75</v>
      </c>
      <c r="H1376" s="35">
        <v>8.6227078268428361</v>
      </c>
      <c r="I1376" s="232">
        <v>12312.53</v>
      </c>
      <c r="J1376" s="35">
        <v>7.5753752843932398</v>
      </c>
      <c r="K1376" s="232">
        <v>16895.07</v>
      </c>
      <c r="L1376" s="35">
        <v>8.6717358009701559</v>
      </c>
      <c r="M1376" s="232">
        <v>43111.1</v>
      </c>
      <c r="N1376" s="35">
        <v>7.5633778536035692</v>
      </c>
      <c r="P1376" s="232">
        <v>-20.68</v>
      </c>
      <c r="Q1376" s="35">
        <v>7.7731361896349327E-3</v>
      </c>
      <c r="R1376" s="232">
        <v>506.78</v>
      </c>
      <c r="S1376" s="35">
        <v>1.0473325424495963</v>
      </c>
      <c r="T1376" s="232">
        <v>26216.03</v>
      </c>
      <c r="U1376" s="35">
        <v>1.1083579473665868</v>
      </c>
      <c r="W1376" s="35">
        <f t="shared" si="133"/>
        <v>409.33680948174663</v>
      </c>
      <c r="X1376" s="35">
        <f t="shared" si="134"/>
        <v>51859.847122479812</v>
      </c>
      <c r="Y1376" s="35">
        <f t="shared" si="135"/>
        <v>29201.867368329338</v>
      </c>
      <c r="Z1376" s="35">
        <f t="shared" si="136"/>
        <v>0</v>
      </c>
      <c r="AA1376" s="35">
        <f t="shared" si="137"/>
        <v>1</v>
      </c>
      <c r="AB1376" s="35">
        <f t="shared" si="138"/>
        <v>0</v>
      </c>
    </row>
    <row r="1377" spans="1:28">
      <c r="A1377" s="35">
        <v>1366</v>
      </c>
      <c r="B1377" s="35">
        <v>5.2529614674412528E-4</v>
      </c>
      <c r="C1377" s="232">
        <v>94.77</v>
      </c>
      <c r="D1377" s="35">
        <v>5.0680700059264225</v>
      </c>
      <c r="E1377" s="232">
        <v>61.32</v>
      </c>
      <c r="F1377" s="35">
        <v>5.0562632943638137</v>
      </c>
      <c r="G1377" s="232">
        <v>13907.59</v>
      </c>
      <c r="H1377" s="35">
        <v>9.1770523294460897</v>
      </c>
      <c r="I1377" s="232">
        <v>14251.29</v>
      </c>
      <c r="J1377" s="35">
        <v>7.8286240548139041</v>
      </c>
      <c r="K1377" s="232">
        <v>19078.5</v>
      </c>
      <c r="L1377" s="35">
        <v>9.1807389672067501</v>
      </c>
      <c r="M1377" s="232">
        <v>45310.37</v>
      </c>
      <c r="N1377" s="35">
        <v>8.1189868957119202</v>
      </c>
      <c r="P1377" s="232">
        <v>-33.450000000000003</v>
      </c>
      <c r="Q1377" s="35">
        <v>1.1806711562608818E-2</v>
      </c>
      <c r="R1377" s="232">
        <v>343.7</v>
      </c>
      <c r="S1377" s="35">
        <v>1.3484282746321856</v>
      </c>
      <c r="T1377" s="232">
        <v>26231.86</v>
      </c>
      <c r="U1377" s="35">
        <v>1.0617520714948299</v>
      </c>
      <c r="W1377" s="35">
        <f t="shared" si="133"/>
        <v>623.78557813044097</v>
      </c>
      <c r="X1377" s="35">
        <f t="shared" si="134"/>
        <v>67077.713731609285</v>
      </c>
      <c r="Y1377" s="35">
        <f t="shared" si="135"/>
        <v>26855.743574741493</v>
      </c>
      <c r="Z1377" s="35">
        <f t="shared" si="136"/>
        <v>0</v>
      </c>
      <c r="AA1377" s="35">
        <f t="shared" si="137"/>
        <v>1</v>
      </c>
      <c r="AB1377" s="35">
        <f t="shared" si="138"/>
        <v>0</v>
      </c>
    </row>
    <row r="1378" spans="1:28">
      <c r="A1378" s="35">
        <v>1367</v>
      </c>
      <c r="B1378" s="35">
        <v>3.7041374691764621E-4</v>
      </c>
      <c r="C1378" s="232">
        <v>76.87</v>
      </c>
      <c r="D1378" s="35">
        <v>5.0564857684948814</v>
      </c>
      <c r="E1378" s="232">
        <v>48.39</v>
      </c>
      <c r="F1378" s="35">
        <v>5.0487236831463385</v>
      </c>
      <c r="G1378" s="232">
        <v>17270.490000000002</v>
      </c>
      <c r="H1378" s="35">
        <v>8.2386567811383316</v>
      </c>
      <c r="I1378" s="232">
        <v>19114.259999999998</v>
      </c>
      <c r="J1378" s="35">
        <v>7.1006061463806267</v>
      </c>
      <c r="K1378" s="232">
        <v>19463.34</v>
      </c>
      <c r="L1378" s="35">
        <v>8.8469496888669212</v>
      </c>
      <c r="M1378" s="232">
        <v>45827.72</v>
      </c>
      <c r="N1378" s="35">
        <v>7.681058671307774</v>
      </c>
      <c r="P1378" s="232">
        <v>-28.47</v>
      </c>
      <c r="Q1378" s="35">
        <v>7.7620853485429464E-3</v>
      </c>
      <c r="R1378" s="232">
        <v>1843.77</v>
      </c>
      <c r="S1378" s="35">
        <v>1.1380506347577048</v>
      </c>
      <c r="T1378" s="232">
        <v>26364.38</v>
      </c>
      <c r="U1378" s="35">
        <v>1.1658910175591473</v>
      </c>
      <c r="W1378" s="35">
        <f t="shared" si="133"/>
        <v>416.57426742714733</v>
      </c>
      <c r="X1378" s="35">
        <f t="shared" si="134"/>
        <v>55058.761737885245</v>
      </c>
      <c r="Y1378" s="35">
        <f t="shared" si="135"/>
        <v>31930.170877957364</v>
      </c>
      <c r="Z1378" s="35">
        <f t="shared" si="136"/>
        <v>0</v>
      </c>
      <c r="AA1378" s="35">
        <f t="shared" si="137"/>
        <v>1</v>
      </c>
      <c r="AB1378" s="35">
        <f t="shared" si="138"/>
        <v>0</v>
      </c>
    </row>
    <row r="1379" spans="1:28">
      <c r="A1379" s="35">
        <v>1368</v>
      </c>
      <c r="B1379" s="35">
        <v>4.1637981962807746E-4</v>
      </c>
      <c r="C1379" s="232">
        <v>62.93</v>
      </c>
      <c r="D1379" s="35">
        <v>5.0590228424576047</v>
      </c>
      <c r="E1379" s="232">
        <v>37.61</v>
      </c>
      <c r="F1379" s="35">
        <v>5.0493026400463137</v>
      </c>
      <c r="G1379" s="232">
        <v>12157.43</v>
      </c>
      <c r="H1379" s="35">
        <v>8.5959809879388906</v>
      </c>
      <c r="I1379" s="232">
        <v>13465.46</v>
      </c>
      <c r="J1379" s="35">
        <v>7.269463282469145</v>
      </c>
      <c r="K1379" s="232">
        <v>14634.42</v>
      </c>
      <c r="L1379" s="35">
        <v>8.5536672066876775</v>
      </c>
      <c r="M1379" s="232">
        <v>40751.919999999998</v>
      </c>
      <c r="N1379" s="35">
        <v>7.524160322475371</v>
      </c>
      <c r="P1379" s="232">
        <v>-25.33</v>
      </c>
      <c r="Q1379" s="35">
        <v>9.7202024112910124E-3</v>
      </c>
      <c r="R1379" s="232">
        <v>1308.03</v>
      </c>
      <c r="S1379" s="35">
        <v>1.3265177054697457</v>
      </c>
      <c r="T1379" s="232">
        <v>26117.5</v>
      </c>
      <c r="U1379" s="35">
        <v>1.0295068842123065</v>
      </c>
      <c r="W1379" s="35">
        <f t="shared" si="133"/>
        <v>511.3401205645506</v>
      </c>
      <c r="X1379" s="35">
        <f t="shared" si="134"/>
        <v>65017.855273487279</v>
      </c>
      <c r="Y1379" s="35">
        <f t="shared" si="135"/>
        <v>25357.844210615323</v>
      </c>
      <c r="Z1379" s="35">
        <f t="shared" si="136"/>
        <v>0</v>
      </c>
      <c r="AA1379" s="35">
        <f t="shared" si="137"/>
        <v>1</v>
      </c>
      <c r="AB1379" s="35">
        <f t="shared" si="138"/>
        <v>0</v>
      </c>
    </row>
    <row r="1380" spans="1:28">
      <c r="A1380" s="35">
        <v>1369</v>
      </c>
      <c r="B1380" s="35">
        <v>3.9187160610940899E-4</v>
      </c>
      <c r="C1380" s="232">
        <v>46.23</v>
      </c>
      <c r="D1380" s="35">
        <v>5.0598043361077139</v>
      </c>
      <c r="E1380" s="232">
        <v>25.27</v>
      </c>
      <c r="F1380" s="35">
        <v>5.0481505601814689</v>
      </c>
      <c r="G1380" s="232">
        <v>9121.7099999999991</v>
      </c>
      <c r="H1380" s="35">
        <v>9.0431534085060168</v>
      </c>
      <c r="I1380" s="232">
        <v>10552.52</v>
      </c>
      <c r="J1380" s="35">
        <v>7.5722137317079392</v>
      </c>
      <c r="K1380" s="232">
        <v>9731.93</v>
      </c>
      <c r="L1380" s="35">
        <v>9.1735567890097833</v>
      </c>
      <c r="M1380" s="232">
        <v>35629.79</v>
      </c>
      <c r="N1380" s="35">
        <v>8.061223491864892</v>
      </c>
      <c r="P1380" s="232">
        <v>-20.96</v>
      </c>
      <c r="Q1380" s="35">
        <v>1.1653775926244947E-2</v>
      </c>
      <c r="R1380" s="232">
        <v>1430.81</v>
      </c>
      <c r="S1380" s="35">
        <v>1.4709396767980776</v>
      </c>
      <c r="T1380" s="232">
        <v>25897.86</v>
      </c>
      <c r="U1380" s="35">
        <v>1.1123332971448914</v>
      </c>
      <c r="W1380" s="35">
        <f t="shared" si="133"/>
        <v>603.64879631224744</v>
      </c>
      <c r="X1380" s="35">
        <f t="shared" si="134"/>
        <v>72116.173839903888</v>
      </c>
      <c r="Y1380" s="35">
        <f t="shared" si="135"/>
        <v>29718.80485724457</v>
      </c>
      <c r="Z1380" s="35">
        <f t="shared" si="136"/>
        <v>0</v>
      </c>
      <c r="AA1380" s="35">
        <f t="shared" si="137"/>
        <v>1</v>
      </c>
      <c r="AB1380" s="35">
        <f t="shared" si="138"/>
        <v>0</v>
      </c>
    </row>
    <row r="1381" spans="1:28">
      <c r="A1381" s="35">
        <v>1370</v>
      </c>
      <c r="B1381" s="35">
        <v>4.626790099770961E-4</v>
      </c>
      <c r="C1381" s="232">
        <v>56.07</v>
      </c>
      <c r="D1381" s="35">
        <v>5.061245847254078</v>
      </c>
      <c r="E1381" s="232">
        <v>34.64</v>
      </c>
      <c r="F1381" s="35">
        <v>5.0508100857024356</v>
      </c>
      <c r="G1381" s="232">
        <v>9968.44</v>
      </c>
      <c r="H1381" s="35">
        <v>8.558387854767</v>
      </c>
      <c r="I1381" s="232">
        <v>11796.48</v>
      </c>
      <c r="J1381" s="35">
        <v>7.3870164490914476</v>
      </c>
      <c r="K1381" s="232">
        <v>11217.5</v>
      </c>
      <c r="L1381" s="35">
        <v>8.5418445469596396</v>
      </c>
      <c r="M1381" s="232">
        <v>37091.550000000003</v>
      </c>
      <c r="N1381" s="35">
        <v>7.3850354950475685</v>
      </c>
      <c r="P1381" s="232">
        <v>-21.42</v>
      </c>
      <c r="Q1381" s="35">
        <v>1.0435761551642386E-2</v>
      </c>
      <c r="R1381" s="232">
        <v>1828.03</v>
      </c>
      <c r="S1381" s="35">
        <v>1.1713714056755524</v>
      </c>
      <c r="T1381" s="232">
        <v>25874.04</v>
      </c>
      <c r="U1381" s="35">
        <v>1.1568090519120711</v>
      </c>
      <c r="W1381" s="35">
        <f t="shared" si="133"/>
        <v>543.20807758211924</v>
      </c>
      <c r="X1381" s="35">
        <f t="shared" si="134"/>
        <v>56740.54028377762</v>
      </c>
      <c r="Y1381" s="35">
        <f t="shared" si="135"/>
        <v>31966.41259560355</v>
      </c>
      <c r="Z1381" s="35">
        <f t="shared" si="136"/>
        <v>0</v>
      </c>
      <c r="AA1381" s="35">
        <f t="shared" si="137"/>
        <v>1</v>
      </c>
      <c r="AB1381" s="35">
        <f t="shared" si="138"/>
        <v>0</v>
      </c>
    </row>
    <row r="1382" spans="1:28">
      <c r="A1382" s="35">
        <v>1371</v>
      </c>
      <c r="B1382" s="35">
        <v>4.9941712313195108E-4</v>
      </c>
      <c r="C1382" s="232">
        <v>77.55</v>
      </c>
      <c r="D1382" s="35">
        <v>5.0653862972811252</v>
      </c>
      <c r="E1382" s="232">
        <v>49.82</v>
      </c>
      <c r="F1382" s="35">
        <v>5.0542696767219617</v>
      </c>
      <c r="G1382" s="232">
        <v>11669.8</v>
      </c>
      <c r="H1382" s="35">
        <v>8.9543397524785515</v>
      </c>
      <c r="I1382" s="232">
        <v>12659.16</v>
      </c>
      <c r="J1382" s="35">
        <v>7.8251447463817021</v>
      </c>
      <c r="K1382" s="232">
        <v>14416.26</v>
      </c>
      <c r="L1382" s="35">
        <v>8.8585313896475029</v>
      </c>
      <c r="M1382" s="232">
        <v>40446.839999999997</v>
      </c>
      <c r="N1382" s="35">
        <v>7.6902358086396072</v>
      </c>
      <c r="P1382" s="232">
        <v>-27.72</v>
      </c>
      <c r="Q1382" s="35">
        <v>1.1116620559163515E-2</v>
      </c>
      <c r="R1382" s="232">
        <v>989.36</v>
      </c>
      <c r="S1382" s="35">
        <v>1.1291950060968494</v>
      </c>
      <c r="T1382" s="232">
        <v>26030.59</v>
      </c>
      <c r="U1382" s="35">
        <v>1.1682955810078957</v>
      </c>
      <c r="W1382" s="35">
        <f t="shared" si="133"/>
        <v>583.55102795817572</v>
      </c>
      <c r="X1382" s="35">
        <f t="shared" si="134"/>
        <v>55470.390304842469</v>
      </c>
      <c r="Y1382" s="35">
        <f t="shared" si="135"/>
        <v>32384.189050394783</v>
      </c>
      <c r="Z1382" s="35">
        <f t="shared" si="136"/>
        <v>0</v>
      </c>
      <c r="AA1382" s="35">
        <f t="shared" si="137"/>
        <v>1</v>
      </c>
      <c r="AB1382" s="35">
        <f t="shared" si="138"/>
        <v>0</v>
      </c>
    </row>
    <row r="1383" spans="1:28">
      <c r="A1383" s="35">
        <v>1372</v>
      </c>
      <c r="B1383" s="35">
        <v>6.0316680403049716E-4</v>
      </c>
      <c r="C1383" s="232">
        <v>78.12</v>
      </c>
      <c r="D1383" s="35">
        <v>5.0689263299016947</v>
      </c>
      <c r="E1383" s="232">
        <v>40.33</v>
      </c>
      <c r="F1383" s="35">
        <v>5.0524729418522725</v>
      </c>
      <c r="G1383" s="232">
        <v>10219.06</v>
      </c>
      <c r="H1383" s="35">
        <v>8.7751368716080975</v>
      </c>
      <c r="I1383" s="232">
        <v>11479.35</v>
      </c>
      <c r="J1383" s="35">
        <v>7.6374155929963594</v>
      </c>
      <c r="K1383" s="232">
        <v>12765.89</v>
      </c>
      <c r="L1383" s="35">
        <v>8.5947086781080948</v>
      </c>
      <c r="M1383" s="232">
        <v>38760.120000000003</v>
      </c>
      <c r="N1383" s="35">
        <v>7.5454117972425676</v>
      </c>
      <c r="P1383" s="232">
        <v>-37.79</v>
      </c>
      <c r="Q1383" s="35">
        <v>1.6453388049422202E-2</v>
      </c>
      <c r="R1383" s="232">
        <v>1260.29</v>
      </c>
      <c r="S1383" s="35">
        <v>1.1377212786117381</v>
      </c>
      <c r="T1383" s="232">
        <v>25994.240000000002</v>
      </c>
      <c r="U1383" s="35">
        <v>1.0492968808655272</v>
      </c>
      <c r="W1383" s="35">
        <f t="shared" si="133"/>
        <v>860.45940247111002</v>
      </c>
      <c r="X1383" s="35">
        <f t="shared" si="134"/>
        <v>55625.773930586904</v>
      </c>
      <c r="Y1383" s="35">
        <f t="shared" si="135"/>
        <v>26470.604043276358</v>
      </c>
      <c r="Z1383" s="35">
        <f t="shared" si="136"/>
        <v>0</v>
      </c>
      <c r="AA1383" s="35">
        <f t="shared" si="137"/>
        <v>1</v>
      </c>
      <c r="AB1383" s="35">
        <f t="shared" si="138"/>
        <v>0</v>
      </c>
    </row>
    <row r="1384" spans="1:28">
      <c r="A1384" s="35">
        <v>1373</v>
      </c>
      <c r="B1384" s="35">
        <v>3.7532337454514696E-4</v>
      </c>
      <c r="C1384" s="232">
        <v>54.37</v>
      </c>
      <c r="D1384" s="35">
        <v>5.0576419244591611</v>
      </c>
      <c r="E1384" s="232">
        <v>33.770000000000003</v>
      </c>
      <c r="F1384" s="35">
        <v>5.04884049000853</v>
      </c>
      <c r="G1384" s="232">
        <v>10902.45</v>
      </c>
      <c r="H1384" s="35">
        <v>8.7820958019847133</v>
      </c>
      <c r="I1384" s="232">
        <v>11484.15</v>
      </c>
      <c r="J1384" s="35">
        <v>7.4046786353723517</v>
      </c>
      <c r="K1384" s="232">
        <v>14286.24</v>
      </c>
      <c r="L1384" s="35">
        <v>8.5785548605126358</v>
      </c>
      <c r="M1384" s="232">
        <v>40354.57</v>
      </c>
      <c r="N1384" s="35">
        <v>7.4011886092302275</v>
      </c>
      <c r="P1384" s="232">
        <v>-20.61</v>
      </c>
      <c r="Q1384" s="35">
        <v>8.8014344506310849E-3</v>
      </c>
      <c r="R1384" s="232">
        <v>581.70000000000005</v>
      </c>
      <c r="S1384" s="35">
        <v>1.3774171666123616</v>
      </c>
      <c r="T1384" s="232">
        <v>26068.33</v>
      </c>
      <c r="U1384" s="35">
        <v>1.1773662512824083</v>
      </c>
      <c r="W1384" s="35">
        <f t="shared" si="133"/>
        <v>460.68172253155427</v>
      </c>
      <c r="X1384" s="35">
        <f t="shared" si="134"/>
        <v>68289.158330618084</v>
      </c>
      <c r="Y1384" s="35">
        <f t="shared" si="135"/>
        <v>32799.982564120415</v>
      </c>
      <c r="Z1384" s="35">
        <f t="shared" si="136"/>
        <v>0</v>
      </c>
      <c r="AA1384" s="35">
        <f t="shared" si="137"/>
        <v>1</v>
      </c>
      <c r="AB1384" s="35">
        <f t="shared" si="138"/>
        <v>0</v>
      </c>
    </row>
    <row r="1385" spans="1:28">
      <c r="A1385" s="35">
        <v>1374</v>
      </c>
      <c r="B1385" s="35">
        <v>4.4261711337739414E-4</v>
      </c>
      <c r="C1385" s="232">
        <v>80.44</v>
      </c>
      <c r="D1385" s="35">
        <v>5.0622827196698656</v>
      </c>
      <c r="E1385" s="232">
        <v>46.73</v>
      </c>
      <c r="F1385" s="35">
        <v>5.0509624077297781</v>
      </c>
      <c r="G1385" s="232">
        <v>13595.94</v>
      </c>
      <c r="H1385" s="35">
        <v>8.9770798600565165</v>
      </c>
      <c r="I1385" s="232">
        <v>13461.7</v>
      </c>
      <c r="J1385" s="35">
        <v>7.5519858361735857</v>
      </c>
      <c r="K1385" s="232">
        <v>19192.21</v>
      </c>
      <c r="L1385" s="35">
        <v>8.8379129984334419</v>
      </c>
      <c r="M1385" s="232">
        <v>45450.26</v>
      </c>
      <c r="N1385" s="35">
        <v>7.6744494093806148</v>
      </c>
      <c r="P1385" s="232">
        <v>-33.72</v>
      </c>
      <c r="Q1385" s="35">
        <v>1.1320311940087535E-2</v>
      </c>
      <c r="R1385" s="232">
        <v>-134.22999999999999</v>
      </c>
      <c r="S1385" s="35">
        <v>1.4250940238829308</v>
      </c>
      <c r="T1385" s="232">
        <v>26258.06</v>
      </c>
      <c r="U1385" s="35">
        <v>1.1634635890528271</v>
      </c>
      <c r="W1385" s="35">
        <f t="shared" si="133"/>
        <v>599.73559700437681</v>
      </c>
      <c r="X1385" s="35">
        <f t="shared" si="134"/>
        <v>71388.931194146542</v>
      </c>
      <c r="Y1385" s="35">
        <f t="shared" si="135"/>
        <v>31915.119452641356</v>
      </c>
      <c r="Z1385" s="35">
        <f t="shared" si="136"/>
        <v>0</v>
      </c>
      <c r="AA1385" s="35">
        <f t="shared" si="137"/>
        <v>1</v>
      </c>
      <c r="AB1385" s="35">
        <f t="shared" si="138"/>
        <v>0</v>
      </c>
    </row>
    <row r="1386" spans="1:28">
      <c r="A1386" s="35">
        <v>1375</v>
      </c>
      <c r="B1386" s="35">
        <v>6.5022983811913182E-4</v>
      </c>
      <c r="C1386" s="232">
        <v>107.06</v>
      </c>
      <c r="D1386" s="35">
        <v>5.0748706479480568</v>
      </c>
      <c r="E1386" s="232">
        <v>61.2</v>
      </c>
      <c r="F1386" s="35">
        <v>5.0577743634537189</v>
      </c>
      <c r="G1386" s="232">
        <v>12758.98</v>
      </c>
      <c r="H1386" s="35">
        <v>9.4075135020249849</v>
      </c>
      <c r="I1386" s="232">
        <v>13146.37</v>
      </c>
      <c r="J1386" s="35">
        <v>7.9420420949722708</v>
      </c>
      <c r="K1386" s="232">
        <v>15871.37</v>
      </c>
      <c r="L1386" s="35">
        <v>8.6987489327329488</v>
      </c>
      <c r="M1386" s="232">
        <v>42064.65</v>
      </c>
      <c r="N1386" s="35">
        <v>7.6294227544127615</v>
      </c>
      <c r="P1386" s="232">
        <v>-45.87</v>
      </c>
      <c r="Q1386" s="35">
        <v>1.7096284494337866E-2</v>
      </c>
      <c r="R1386" s="232">
        <v>387.39</v>
      </c>
      <c r="S1386" s="35">
        <v>1.4654714070527142</v>
      </c>
      <c r="T1386" s="232">
        <v>26193.29</v>
      </c>
      <c r="U1386" s="35">
        <v>1.0693261783201873</v>
      </c>
      <c r="W1386" s="35">
        <f t="shared" si="133"/>
        <v>900.68422471689325</v>
      </c>
      <c r="X1386" s="35">
        <f t="shared" si="134"/>
        <v>72886.180352635711</v>
      </c>
      <c r="Y1386" s="35">
        <f t="shared" si="135"/>
        <v>27273.018916009365</v>
      </c>
      <c r="Z1386" s="35">
        <f t="shared" si="136"/>
        <v>0</v>
      </c>
      <c r="AA1386" s="35">
        <f t="shared" si="137"/>
        <v>1</v>
      </c>
      <c r="AB1386" s="35">
        <f t="shared" si="138"/>
        <v>0</v>
      </c>
    </row>
    <row r="1387" spans="1:28">
      <c r="A1387" s="35">
        <v>1376</v>
      </c>
      <c r="B1387" s="35">
        <v>4.6910828674151528E-4</v>
      </c>
      <c r="C1387" s="232">
        <v>65.88</v>
      </c>
      <c r="D1387" s="35">
        <v>5.0629841365102193</v>
      </c>
      <c r="E1387" s="232">
        <v>38.79</v>
      </c>
      <c r="F1387" s="35">
        <v>5.0512832526331248</v>
      </c>
      <c r="G1387" s="232">
        <v>10893.67</v>
      </c>
      <c r="H1387" s="35">
        <v>8.7413767006460219</v>
      </c>
      <c r="I1387" s="232">
        <v>11458.03</v>
      </c>
      <c r="J1387" s="35">
        <v>7.0544636979329853</v>
      </c>
      <c r="K1387" s="232">
        <v>14593.42</v>
      </c>
      <c r="L1387" s="35">
        <v>8.950197087173116</v>
      </c>
      <c r="M1387" s="232">
        <v>40814.089999999997</v>
      </c>
      <c r="N1387" s="35">
        <v>7.8156798139792487</v>
      </c>
      <c r="P1387" s="232">
        <v>-27.09</v>
      </c>
      <c r="Q1387" s="35">
        <v>1.1700883877094448E-2</v>
      </c>
      <c r="R1387" s="232">
        <v>564.36</v>
      </c>
      <c r="S1387" s="35">
        <v>1.6869130027130366</v>
      </c>
      <c r="T1387" s="232">
        <v>26220.67</v>
      </c>
      <c r="U1387" s="35">
        <v>1.1345172731938673</v>
      </c>
      <c r="W1387" s="35">
        <f t="shared" si="133"/>
        <v>612.13419385472241</v>
      </c>
      <c r="X1387" s="35">
        <f t="shared" si="134"/>
        <v>83781.290135651827</v>
      </c>
      <c r="Y1387" s="35">
        <f t="shared" si="135"/>
        <v>30505.193659693366</v>
      </c>
      <c r="Z1387" s="35">
        <f t="shared" si="136"/>
        <v>0</v>
      </c>
      <c r="AA1387" s="35">
        <f t="shared" si="137"/>
        <v>1</v>
      </c>
      <c r="AB1387" s="35">
        <f t="shared" si="138"/>
        <v>0</v>
      </c>
    </row>
    <row r="1388" spans="1:28">
      <c r="A1388" s="35">
        <v>1377</v>
      </c>
      <c r="B1388" s="35">
        <v>4.962343951021575E-4</v>
      </c>
      <c r="C1388" s="232">
        <v>55.18</v>
      </c>
      <c r="D1388" s="35">
        <v>5.0648864436221803</v>
      </c>
      <c r="E1388" s="232">
        <v>35.1</v>
      </c>
      <c r="F1388" s="35">
        <v>5.0532837439775014</v>
      </c>
      <c r="G1388" s="232">
        <v>9082.23</v>
      </c>
      <c r="H1388" s="35">
        <v>9.0575295560153837</v>
      </c>
      <c r="I1388" s="232">
        <v>11285.92</v>
      </c>
      <c r="J1388" s="35">
        <v>8.2678618794905372</v>
      </c>
      <c r="K1388" s="232">
        <v>8200.06</v>
      </c>
      <c r="L1388" s="35">
        <v>8.6191168996458618</v>
      </c>
      <c r="M1388" s="232">
        <v>33870.089999999997</v>
      </c>
      <c r="N1388" s="35">
        <v>7.5328360813561783</v>
      </c>
      <c r="P1388" s="232">
        <v>-20.079999999999998</v>
      </c>
      <c r="Q1388" s="35">
        <v>1.1602699644678971E-2</v>
      </c>
      <c r="R1388" s="232">
        <v>2203.6799999999998</v>
      </c>
      <c r="S1388" s="35">
        <v>0.78966767652484648</v>
      </c>
      <c r="T1388" s="232">
        <v>25670.02</v>
      </c>
      <c r="U1388" s="35">
        <v>1.0862808182896835</v>
      </c>
      <c r="W1388" s="35">
        <f t="shared" si="133"/>
        <v>600.2149822339486</v>
      </c>
      <c r="X1388" s="35">
        <f t="shared" si="134"/>
        <v>37279.703826242323</v>
      </c>
      <c r="Y1388" s="35">
        <f t="shared" si="135"/>
        <v>28644.020914484176</v>
      </c>
      <c r="Z1388" s="35">
        <f t="shared" si="136"/>
        <v>0</v>
      </c>
      <c r="AA1388" s="35">
        <f t="shared" si="137"/>
        <v>1</v>
      </c>
      <c r="AB1388" s="35">
        <f t="shared" si="138"/>
        <v>0</v>
      </c>
    </row>
    <row r="1389" spans="1:28">
      <c r="A1389" s="35">
        <v>1378</v>
      </c>
      <c r="B1389" s="35">
        <v>3.9344625225040593E-4</v>
      </c>
      <c r="C1389" s="232">
        <v>72.400000000000006</v>
      </c>
      <c r="D1389" s="35">
        <v>5.0596710003258405</v>
      </c>
      <c r="E1389" s="232">
        <v>38.51</v>
      </c>
      <c r="F1389" s="35">
        <v>5.0483909354639378</v>
      </c>
      <c r="G1389" s="232">
        <v>13808.55</v>
      </c>
      <c r="H1389" s="35">
        <v>9.2604287852299034</v>
      </c>
      <c r="I1389" s="232">
        <v>14391.6</v>
      </c>
      <c r="J1389" s="35">
        <v>8.4978276532490344</v>
      </c>
      <c r="K1389" s="232">
        <v>19696.68</v>
      </c>
      <c r="L1389" s="35">
        <v>8.77690630895437</v>
      </c>
      <c r="M1389" s="232">
        <v>45665.46</v>
      </c>
      <c r="N1389" s="35">
        <v>7.7413596507950526</v>
      </c>
      <c r="P1389" s="232">
        <v>-33.880000000000003</v>
      </c>
      <c r="Q1389" s="35">
        <v>1.1280064861902694E-2</v>
      </c>
      <c r="R1389" s="232">
        <v>583.04999999999995</v>
      </c>
      <c r="S1389" s="35">
        <v>0.76260113198086898</v>
      </c>
      <c r="T1389" s="232">
        <v>25968.78</v>
      </c>
      <c r="U1389" s="35">
        <v>1.0355466581593173</v>
      </c>
      <c r="W1389" s="35">
        <f t="shared" si="133"/>
        <v>597.88324309513473</v>
      </c>
      <c r="X1389" s="35">
        <f t="shared" si="134"/>
        <v>37547.006599043445</v>
      </c>
      <c r="Y1389" s="35">
        <f t="shared" si="135"/>
        <v>25808.552907965866</v>
      </c>
      <c r="Z1389" s="35">
        <f t="shared" si="136"/>
        <v>0</v>
      </c>
      <c r="AA1389" s="35">
        <f t="shared" si="137"/>
        <v>1</v>
      </c>
      <c r="AB1389" s="35">
        <f t="shared" si="138"/>
        <v>0</v>
      </c>
    </row>
    <row r="1390" spans="1:28">
      <c r="A1390" s="35">
        <v>1379</v>
      </c>
      <c r="B1390" s="35">
        <v>5.4774518608369238E-4</v>
      </c>
      <c r="C1390" s="232">
        <v>99.27</v>
      </c>
      <c r="D1390" s="35">
        <v>5.0675868893457627</v>
      </c>
      <c r="E1390" s="232">
        <v>61.03</v>
      </c>
      <c r="F1390" s="35">
        <v>5.0550642251493674</v>
      </c>
      <c r="G1390" s="232">
        <v>13554.79</v>
      </c>
      <c r="H1390" s="35">
        <v>8.9571361706305925</v>
      </c>
      <c r="I1390" s="232">
        <v>14894.72</v>
      </c>
      <c r="J1390" s="35">
        <v>8.4834723471263978</v>
      </c>
      <c r="K1390" s="232">
        <v>20141.3</v>
      </c>
      <c r="L1390" s="35">
        <v>8.7758765588615102</v>
      </c>
      <c r="M1390" s="232">
        <v>46491.29</v>
      </c>
      <c r="N1390" s="35">
        <v>7.7132226448306831</v>
      </c>
      <c r="P1390" s="232">
        <v>-38.24</v>
      </c>
      <c r="Q1390" s="35">
        <v>1.2522664196395361E-2</v>
      </c>
      <c r="R1390" s="232">
        <v>1339.93</v>
      </c>
      <c r="S1390" s="35">
        <v>0.47366382350419478</v>
      </c>
      <c r="T1390" s="232">
        <v>26349.98</v>
      </c>
      <c r="U1390" s="35">
        <v>1.0626539140308271</v>
      </c>
      <c r="W1390" s="35">
        <f t="shared" si="133"/>
        <v>664.37320981976802</v>
      </c>
      <c r="X1390" s="35">
        <f t="shared" si="134"/>
        <v>22343.26117520974</v>
      </c>
      <c r="Y1390" s="35">
        <f t="shared" si="135"/>
        <v>26782.715701541358</v>
      </c>
      <c r="Z1390" s="35">
        <f t="shared" si="136"/>
        <v>0</v>
      </c>
      <c r="AA1390" s="35">
        <f t="shared" si="137"/>
        <v>0</v>
      </c>
      <c r="AB1390" s="35">
        <f t="shared" si="138"/>
        <v>1</v>
      </c>
    </row>
    <row r="1391" spans="1:28">
      <c r="A1391" s="35">
        <v>1380</v>
      </c>
      <c r="B1391" s="35">
        <v>4.1672999730524567E-4</v>
      </c>
      <c r="C1391" s="232">
        <v>50.51</v>
      </c>
      <c r="D1391" s="35">
        <v>5.060904881619245</v>
      </c>
      <c r="E1391" s="232">
        <v>31.89</v>
      </c>
      <c r="F1391" s="35">
        <v>5.0507678979165203</v>
      </c>
      <c r="G1391" s="232">
        <v>9567.49</v>
      </c>
      <c r="H1391" s="35">
        <v>9.1077581216746282</v>
      </c>
      <c r="I1391" s="232">
        <v>11019.92</v>
      </c>
      <c r="J1391" s="35">
        <v>7.7657961097402639</v>
      </c>
      <c r="K1391" s="232">
        <v>10889.12</v>
      </c>
      <c r="L1391" s="35">
        <v>8.8662279109151232</v>
      </c>
      <c r="M1391" s="232">
        <v>36772.120000000003</v>
      </c>
      <c r="N1391" s="35">
        <v>7.8272266098611452</v>
      </c>
      <c r="P1391" s="232">
        <v>-18.61</v>
      </c>
      <c r="Q1391" s="35">
        <v>1.0136983702724756E-2</v>
      </c>
      <c r="R1391" s="232">
        <v>1452.43</v>
      </c>
      <c r="S1391" s="35">
        <v>1.3419620119343643</v>
      </c>
      <c r="T1391" s="232">
        <v>25883</v>
      </c>
      <c r="U1391" s="35">
        <v>1.039001301053978</v>
      </c>
      <c r="W1391" s="35">
        <f t="shared" si="133"/>
        <v>525.45918513623781</v>
      </c>
      <c r="X1391" s="35">
        <f t="shared" si="134"/>
        <v>65645.670596718221</v>
      </c>
      <c r="Y1391" s="35">
        <f t="shared" si="135"/>
        <v>26067.065052698905</v>
      </c>
      <c r="Z1391" s="35">
        <f t="shared" si="136"/>
        <v>0</v>
      </c>
      <c r="AA1391" s="35">
        <f t="shared" si="137"/>
        <v>1</v>
      </c>
      <c r="AB1391" s="35">
        <f t="shared" si="138"/>
        <v>0</v>
      </c>
    </row>
    <row r="1392" spans="1:28">
      <c r="A1392" s="35">
        <v>1381</v>
      </c>
      <c r="B1392" s="35">
        <v>3.9879406494684608E-4</v>
      </c>
      <c r="C1392" s="232">
        <v>56.44</v>
      </c>
      <c r="D1392" s="35">
        <v>5.0577355873097467</v>
      </c>
      <c r="E1392" s="232">
        <v>35.4</v>
      </c>
      <c r="F1392" s="35">
        <v>5.0490616393163714</v>
      </c>
      <c r="G1392" s="232">
        <v>10920.55</v>
      </c>
      <c r="H1392" s="35">
        <v>8.6188419583676339</v>
      </c>
      <c r="I1392" s="232">
        <v>12105.58</v>
      </c>
      <c r="J1392" s="35">
        <v>7.4554227972703977</v>
      </c>
      <c r="K1392" s="232">
        <v>12888.7</v>
      </c>
      <c r="L1392" s="35">
        <v>8.3152437749988088</v>
      </c>
      <c r="M1392" s="232">
        <v>38975.99</v>
      </c>
      <c r="N1392" s="35">
        <v>7.2952602640509632</v>
      </c>
      <c r="P1392" s="232">
        <v>-21.05</v>
      </c>
      <c r="Q1392" s="35">
        <v>8.6739479933752861E-3</v>
      </c>
      <c r="R1392" s="232">
        <v>1185.02</v>
      </c>
      <c r="S1392" s="35">
        <v>1.1634191610972362</v>
      </c>
      <c r="T1392" s="232">
        <v>26087.29</v>
      </c>
      <c r="U1392" s="35">
        <v>1.0199835109478457</v>
      </c>
      <c r="W1392" s="35">
        <f t="shared" si="133"/>
        <v>454.74739966876433</v>
      </c>
      <c r="X1392" s="35">
        <f t="shared" si="134"/>
        <v>56985.938054861814</v>
      </c>
      <c r="Y1392" s="35">
        <f t="shared" si="135"/>
        <v>24911.885547392281</v>
      </c>
      <c r="Z1392" s="35">
        <f t="shared" si="136"/>
        <v>0</v>
      </c>
      <c r="AA1392" s="35">
        <f t="shared" si="137"/>
        <v>1</v>
      </c>
      <c r="AB1392" s="35">
        <f t="shared" si="138"/>
        <v>0</v>
      </c>
    </row>
    <row r="1393" spans="1:28">
      <c r="A1393" s="35">
        <v>1382</v>
      </c>
      <c r="B1393" s="35">
        <v>3.8451898751512591E-4</v>
      </c>
      <c r="C1393" s="232">
        <v>67.86</v>
      </c>
      <c r="D1393" s="35">
        <v>5.0592529901485985</v>
      </c>
      <c r="E1393" s="232">
        <v>40.28</v>
      </c>
      <c r="F1393" s="35">
        <v>5.049430824615861</v>
      </c>
      <c r="G1393" s="232">
        <v>13382.79</v>
      </c>
      <c r="H1393" s="35">
        <v>9.1019948815855258</v>
      </c>
      <c r="I1393" s="232">
        <v>14037.85</v>
      </c>
      <c r="J1393" s="35">
        <v>8.2147017756279244</v>
      </c>
      <c r="K1393" s="232">
        <v>19592.89</v>
      </c>
      <c r="L1393" s="35">
        <v>8.98488245317556</v>
      </c>
      <c r="M1393" s="232">
        <v>46008.17</v>
      </c>
      <c r="N1393" s="35">
        <v>7.942216012809812</v>
      </c>
      <c r="P1393" s="232">
        <v>-27.58</v>
      </c>
      <c r="Q1393" s="35">
        <v>9.8221655327375146E-3</v>
      </c>
      <c r="R1393" s="232">
        <v>655.05999999999995</v>
      </c>
      <c r="S1393" s="35">
        <v>0.88729310595760147</v>
      </c>
      <c r="T1393" s="232">
        <v>26415.279999999999</v>
      </c>
      <c r="U1393" s="35">
        <v>1.042666440365748</v>
      </c>
      <c r="W1393" s="35">
        <f t="shared" si="133"/>
        <v>518.6882766368758</v>
      </c>
      <c r="X1393" s="35">
        <f t="shared" si="134"/>
        <v>43709.595297880078</v>
      </c>
      <c r="Y1393" s="35">
        <f t="shared" si="135"/>
        <v>25718.0420182874</v>
      </c>
      <c r="Z1393" s="35">
        <f t="shared" si="136"/>
        <v>0</v>
      </c>
      <c r="AA1393" s="35">
        <f t="shared" si="137"/>
        <v>1</v>
      </c>
      <c r="AB1393" s="35">
        <f t="shared" si="138"/>
        <v>0</v>
      </c>
    </row>
    <row r="1394" spans="1:28">
      <c r="A1394" s="35">
        <v>1383</v>
      </c>
      <c r="B1394" s="35">
        <v>3.0508105596595042E-4</v>
      </c>
      <c r="C1394" s="232">
        <v>47.81</v>
      </c>
      <c r="D1394" s="35">
        <v>5.0552980379882877</v>
      </c>
      <c r="E1394" s="232">
        <v>30.15</v>
      </c>
      <c r="F1394" s="35">
        <v>5.0475485080750353</v>
      </c>
      <c r="G1394" s="232">
        <v>12701.7</v>
      </c>
      <c r="H1394" s="35">
        <v>9.3002518793848115</v>
      </c>
      <c r="I1394" s="232">
        <v>14787.14</v>
      </c>
      <c r="J1394" s="35">
        <v>8.9814402053269671</v>
      </c>
      <c r="K1394" s="232">
        <v>13812.99</v>
      </c>
      <c r="L1394" s="35">
        <v>8.8604188970495876</v>
      </c>
      <c r="M1394" s="232">
        <v>39764.94</v>
      </c>
      <c r="N1394" s="35">
        <v>7.7640869818014622</v>
      </c>
      <c r="P1394" s="232">
        <v>-17.66</v>
      </c>
      <c r="Q1394" s="35">
        <v>7.7495299132523954E-3</v>
      </c>
      <c r="R1394" s="232">
        <v>2085.44</v>
      </c>
      <c r="S1394" s="35">
        <v>0.31881167405784439</v>
      </c>
      <c r="T1394" s="232">
        <v>25951.95</v>
      </c>
      <c r="U1394" s="35">
        <v>1.0963319152481255</v>
      </c>
      <c r="W1394" s="35">
        <f t="shared" si="133"/>
        <v>405.13649566261978</v>
      </c>
      <c r="X1394" s="35">
        <f t="shared" si="134"/>
        <v>13855.143702892219</v>
      </c>
      <c r="Y1394" s="35">
        <f t="shared" si="135"/>
        <v>28864.645762406271</v>
      </c>
      <c r="Z1394" s="35">
        <f t="shared" si="136"/>
        <v>0</v>
      </c>
      <c r="AA1394" s="35">
        <f t="shared" si="137"/>
        <v>0</v>
      </c>
      <c r="AB1394" s="35">
        <f t="shared" si="138"/>
        <v>1</v>
      </c>
    </row>
    <row r="1395" spans="1:28">
      <c r="A1395" s="35">
        <v>1384</v>
      </c>
      <c r="B1395" s="35">
        <v>3.4589505187081367E-4</v>
      </c>
      <c r="C1395" s="232">
        <v>47.28</v>
      </c>
      <c r="D1395" s="35">
        <v>5.0555977335363425</v>
      </c>
      <c r="E1395" s="232">
        <v>30.81</v>
      </c>
      <c r="F1395" s="35">
        <v>5.0480704773385856</v>
      </c>
      <c r="G1395" s="232">
        <v>10613.81</v>
      </c>
      <c r="H1395" s="35">
        <v>8.6760003648228121</v>
      </c>
      <c r="I1395" s="232">
        <v>10731.88</v>
      </c>
      <c r="J1395" s="35">
        <v>6.5193157569002569</v>
      </c>
      <c r="K1395" s="232">
        <v>13382.4</v>
      </c>
      <c r="L1395" s="35">
        <v>8.4173470940135822</v>
      </c>
      <c r="M1395" s="232">
        <v>39213.54</v>
      </c>
      <c r="N1395" s="35">
        <v>7.3197959216978523</v>
      </c>
      <c r="P1395" s="232">
        <v>-16.47</v>
      </c>
      <c r="Q1395" s="35">
        <v>7.5272561977568486E-3</v>
      </c>
      <c r="R1395" s="232">
        <v>118.07</v>
      </c>
      <c r="S1395" s="35">
        <v>2.1566846079225552</v>
      </c>
      <c r="T1395" s="232">
        <v>25831.15</v>
      </c>
      <c r="U1395" s="35">
        <v>1.0975511723157299</v>
      </c>
      <c r="W1395" s="35">
        <f t="shared" si="133"/>
        <v>392.83280988784247</v>
      </c>
      <c r="X1395" s="35">
        <f t="shared" si="134"/>
        <v>107716.16039612776</v>
      </c>
      <c r="Y1395" s="35">
        <f t="shared" si="135"/>
        <v>29046.408615786488</v>
      </c>
      <c r="Z1395" s="35">
        <f t="shared" si="136"/>
        <v>0</v>
      </c>
      <c r="AA1395" s="35">
        <f t="shared" si="137"/>
        <v>1</v>
      </c>
      <c r="AB1395" s="35">
        <f t="shared" si="138"/>
        <v>0</v>
      </c>
    </row>
    <row r="1396" spans="1:28">
      <c r="A1396" s="35">
        <v>1385</v>
      </c>
      <c r="B1396" s="35">
        <v>3.315187535177219E-4</v>
      </c>
      <c r="C1396" s="232">
        <v>48.33</v>
      </c>
      <c r="D1396" s="35">
        <v>5.0563673184353135</v>
      </c>
      <c r="E1396" s="232">
        <v>32.950000000000003</v>
      </c>
      <c r="F1396" s="35">
        <v>5.0490982083211327</v>
      </c>
      <c r="G1396" s="232">
        <v>11758.35</v>
      </c>
      <c r="H1396" s="35">
        <v>9.0874411017118391</v>
      </c>
      <c r="I1396" s="232">
        <v>13189.62</v>
      </c>
      <c r="J1396" s="35">
        <v>7.6819172679251206</v>
      </c>
      <c r="K1396" s="232">
        <v>13892.65</v>
      </c>
      <c r="L1396" s="35">
        <v>8.8030763785878889</v>
      </c>
      <c r="M1396" s="232">
        <v>39997.83</v>
      </c>
      <c r="N1396" s="35">
        <v>7.7440447479977141</v>
      </c>
      <c r="P1396" s="232">
        <v>-15.39</v>
      </c>
      <c r="Q1396" s="35">
        <v>7.2691101141808545E-3</v>
      </c>
      <c r="R1396" s="232">
        <v>1431.27</v>
      </c>
      <c r="S1396" s="35">
        <v>1.4055238337867184</v>
      </c>
      <c r="T1396" s="232">
        <v>26105.18</v>
      </c>
      <c r="U1396" s="35">
        <v>1.0590316305901748</v>
      </c>
      <c r="W1396" s="35">
        <f t="shared" si="133"/>
        <v>378.8455057090427</v>
      </c>
      <c r="X1396" s="35">
        <f t="shared" si="134"/>
        <v>68844.921689335912</v>
      </c>
      <c r="Y1396" s="35">
        <f t="shared" si="135"/>
        <v>26846.401529508737</v>
      </c>
      <c r="Z1396" s="35">
        <f t="shared" si="136"/>
        <v>0</v>
      </c>
      <c r="AA1396" s="35">
        <f t="shared" si="137"/>
        <v>1</v>
      </c>
      <c r="AB1396" s="35">
        <f t="shared" si="138"/>
        <v>0</v>
      </c>
    </row>
    <row r="1397" spans="1:28">
      <c r="A1397" s="35">
        <v>1386</v>
      </c>
      <c r="B1397" s="35">
        <v>4.602630673766761E-4</v>
      </c>
      <c r="C1397" s="232">
        <v>73.05</v>
      </c>
      <c r="D1397" s="35">
        <v>5.0632797952461912</v>
      </c>
      <c r="E1397" s="232">
        <v>43.78</v>
      </c>
      <c r="F1397" s="35">
        <v>5.0518461385631843</v>
      </c>
      <c r="G1397" s="232">
        <v>12945.59</v>
      </c>
      <c r="H1397" s="35">
        <v>9.1851560903470446</v>
      </c>
      <c r="I1397" s="232">
        <v>14663.9</v>
      </c>
      <c r="J1397" s="35">
        <v>8.0070730764708795</v>
      </c>
      <c r="K1397" s="232">
        <v>13863.61</v>
      </c>
      <c r="L1397" s="35">
        <v>8.6824045977209092</v>
      </c>
      <c r="M1397" s="232">
        <v>39868.67</v>
      </c>
      <c r="N1397" s="35">
        <v>7.6382761928523539</v>
      </c>
      <c r="P1397" s="232">
        <v>-29.27</v>
      </c>
      <c r="Q1397" s="35">
        <v>1.1433656683006888E-2</v>
      </c>
      <c r="R1397" s="232">
        <v>1718.31</v>
      </c>
      <c r="S1397" s="35">
        <v>1.1780830138761651</v>
      </c>
      <c r="T1397" s="232">
        <v>26005.06</v>
      </c>
      <c r="U1397" s="35">
        <v>1.0441284048685553</v>
      </c>
      <c r="W1397" s="35">
        <f t="shared" si="133"/>
        <v>600.95283415034442</v>
      </c>
      <c r="X1397" s="35">
        <f t="shared" si="134"/>
        <v>57185.840693808255</v>
      </c>
      <c r="Y1397" s="35">
        <f t="shared" si="135"/>
        <v>26201.36024342776</v>
      </c>
      <c r="Z1397" s="35">
        <f t="shared" si="136"/>
        <v>0</v>
      </c>
      <c r="AA1397" s="35">
        <f t="shared" si="137"/>
        <v>1</v>
      </c>
      <c r="AB1397" s="35">
        <f t="shared" si="138"/>
        <v>0</v>
      </c>
    </row>
    <row r="1398" spans="1:28">
      <c r="A1398" s="35">
        <v>1387</v>
      </c>
      <c r="B1398" s="35">
        <v>2.7190717557000216E-4</v>
      </c>
      <c r="C1398" s="232">
        <v>39.770000000000003</v>
      </c>
      <c r="D1398" s="35">
        <v>5.05192957921009</v>
      </c>
      <c r="E1398" s="232">
        <v>26.36</v>
      </c>
      <c r="F1398" s="35">
        <v>5.0459190496588002</v>
      </c>
      <c r="G1398" s="232">
        <v>11276.36</v>
      </c>
      <c r="H1398" s="35">
        <v>8.7221294236998315</v>
      </c>
      <c r="I1398" s="232">
        <v>11668.46</v>
      </c>
      <c r="J1398" s="35">
        <v>6.9789497965470328</v>
      </c>
      <c r="K1398" s="232">
        <v>14232.32</v>
      </c>
      <c r="L1398" s="35">
        <v>8.510325161424376</v>
      </c>
      <c r="M1398" s="232">
        <v>40223.31</v>
      </c>
      <c r="N1398" s="35">
        <v>7.4251593619964851</v>
      </c>
      <c r="P1398" s="232">
        <v>-13.4</v>
      </c>
      <c r="Q1398" s="35">
        <v>6.0105295512897783E-3</v>
      </c>
      <c r="R1398" s="232">
        <v>392.1</v>
      </c>
      <c r="S1398" s="35">
        <v>1.7431796271527986</v>
      </c>
      <c r="T1398" s="232">
        <v>25990.98</v>
      </c>
      <c r="U1398" s="35">
        <v>1.0851657994278909</v>
      </c>
      <c r="W1398" s="35">
        <f t="shared" si="133"/>
        <v>313.92647756448889</v>
      </c>
      <c r="X1398" s="35">
        <f t="shared" si="134"/>
        <v>86766.881357639926</v>
      </c>
      <c r="Y1398" s="35">
        <f t="shared" si="135"/>
        <v>28267.309971394545</v>
      </c>
      <c r="Z1398" s="35">
        <f t="shared" si="136"/>
        <v>0</v>
      </c>
      <c r="AA1398" s="35">
        <f t="shared" si="137"/>
        <v>1</v>
      </c>
      <c r="AB1398" s="35">
        <f t="shared" si="138"/>
        <v>0</v>
      </c>
    </row>
    <row r="1399" spans="1:28">
      <c r="A1399" s="35">
        <v>1388</v>
      </c>
      <c r="B1399" s="35">
        <v>5.4935701944380799E-4</v>
      </c>
      <c r="C1399" s="232">
        <v>63.85</v>
      </c>
      <c r="D1399" s="35">
        <v>5.067241540267112</v>
      </c>
      <c r="E1399" s="232">
        <v>41.13</v>
      </c>
      <c r="F1399" s="35">
        <v>5.0551269912178363</v>
      </c>
      <c r="G1399" s="232">
        <v>8686.65</v>
      </c>
      <c r="H1399" s="35">
        <v>8.8458837566622517</v>
      </c>
      <c r="I1399" s="232">
        <v>9986.0499999999993</v>
      </c>
      <c r="J1399" s="35">
        <v>7.9369772085672139</v>
      </c>
      <c r="K1399" s="232">
        <v>11340.57</v>
      </c>
      <c r="L1399" s="35">
        <v>8.769256067021546</v>
      </c>
      <c r="M1399" s="232">
        <v>37236.660000000003</v>
      </c>
      <c r="N1399" s="35">
        <v>7.7131460939593346</v>
      </c>
      <c r="P1399" s="232">
        <v>-22.72</v>
      </c>
      <c r="Q1399" s="35">
        <v>1.211454904927578E-2</v>
      </c>
      <c r="R1399" s="232">
        <v>1299.4000000000001</v>
      </c>
      <c r="S1399" s="35">
        <v>0.90890654809503779</v>
      </c>
      <c r="T1399" s="232">
        <v>25896.080000000002</v>
      </c>
      <c r="U1399" s="35">
        <v>1.0561099730622114</v>
      </c>
      <c r="W1399" s="35">
        <f t="shared" si="133"/>
        <v>628.44745246378898</v>
      </c>
      <c r="X1399" s="35">
        <f t="shared" si="134"/>
        <v>44145.927404751885</v>
      </c>
      <c r="Y1399" s="35">
        <f t="shared" si="135"/>
        <v>26909.418653110573</v>
      </c>
      <c r="Z1399" s="35">
        <f t="shared" si="136"/>
        <v>0</v>
      </c>
      <c r="AA1399" s="35">
        <f t="shared" si="137"/>
        <v>1</v>
      </c>
      <c r="AB1399" s="35">
        <f t="shared" si="138"/>
        <v>0</v>
      </c>
    </row>
    <row r="1400" spans="1:28">
      <c r="A1400" s="35">
        <v>1389</v>
      </c>
      <c r="B1400" s="35">
        <v>3.8218850447164045E-4</v>
      </c>
      <c r="C1400" s="232">
        <v>49.14</v>
      </c>
      <c r="D1400" s="35">
        <v>5.057397617222871</v>
      </c>
      <c r="E1400" s="232">
        <v>31.57</v>
      </c>
      <c r="F1400" s="35">
        <v>5.0489827343671578</v>
      </c>
      <c r="G1400" s="232">
        <v>10547.39</v>
      </c>
      <c r="H1400" s="35">
        <v>8.7613694739389221</v>
      </c>
      <c r="I1400" s="232">
        <v>12156.76</v>
      </c>
      <c r="J1400" s="35">
        <v>7.0327148670439792</v>
      </c>
      <c r="K1400" s="232">
        <v>11625.6</v>
      </c>
      <c r="L1400" s="35">
        <v>8.2788693166000922</v>
      </c>
      <c r="M1400" s="232">
        <v>37531.18</v>
      </c>
      <c r="N1400" s="35">
        <v>7.1857920465051324</v>
      </c>
      <c r="P1400" s="232">
        <v>-17.57</v>
      </c>
      <c r="Q1400" s="35">
        <v>8.4148828557131239E-3</v>
      </c>
      <c r="R1400" s="232">
        <v>1609.38</v>
      </c>
      <c r="S1400" s="35">
        <v>1.7286546068949429</v>
      </c>
      <c r="T1400" s="232">
        <v>25905.57</v>
      </c>
      <c r="U1400" s="35">
        <v>1.0930772700949598</v>
      </c>
      <c r="W1400" s="35">
        <f t="shared" si="133"/>
        <v>438.3141427856562</v>
      </c>
      <c r="X1400" s="35">
        <f t="shared" si="134"/>
        <v>84823.350344747145</v>
      </c>
      <c r="Y1400" s="35">
        <f t="shared" si="135"/>
        <v>28748.293504747991</v>
      </c>
      <c r="Z1400" s="35">
        <f t="shared" si="136"/>
        <v>0</v>
      </c>
      <c r="AA1400" s="35">
        <f t="shared" si="137"/>
        <v>1</v>
      </c>
      <c r="AB1400" s="35">
        <f t="shared" si="138"/>
        <v>0</v>
      </c>
    </row>
    <row r="1401" spans="1:28">
      <c r="A1401" s="35">
        <v>1390</v>
      </c>
      <c r="B1401" s="35">
        <v>4.3672553714034658E-4</v>
      </c>
      <c r="C1401" s="232">
        <v>52.15</v>
      </c>
      <c r="D1401" s="35">
        <v>5.0609378717989957</v>
      </c>
      <c r="E1401" s="232">
        <v>31.96</v>
      </c>
      <c r="F1401" s="35">
        <v>5.0504103963062574</v>
      </c>
      <c r="G1401" s="232">
        <v>9354.42</v>
      </c>
      <c r="H1401" s="35">
        <v>8.8424259766403495</v>
      </c>
      <c r="I1401" s="232">
        <v>10534.65</v>
      </c>
      <c r="J1401" s="35">
        <v>7.0202557345285772</v>
      </c>
      <c r="K1401" s="232">
        <v>10498.72</v>
      </c>
      <c r="L1401" s="35">
        <v>8.6348479606372841</v>
      </c>
      <c r="M1401" s="232">
        <v>36512.49</v>
      </c>
      <c r="N1401" s="35">
        <v>7.5695544676712521</v>
      </c>
      <c r="P1401" s="232">
        <v>-20.190000000000001</v>
      </c>
      <c r="Q1401" s="35">
        <v>1.0527475492738247E-2</v>
      </c>
      <c r="R1401" s="232">
        <v>1180.23</v>
      </c>
      <c r="S1401" s="35">
        <v>1.8221702421117723</v>
      </c>
      <c r="T1401" s="232">
        <v>26013.77</v>
      </c>
      <c r="U1401" s="35">
        <v>1.065293492966032</v>
      </c>
      <c r="W1401" s="35">
        <f t="shared" si="133"/>
        <v>546.5637746369124</v>
      </c>
      <c r="X1401" s="35">
        <f t="shared" si="134"/>
        <v>89928.282105588616</v>
      </c>
      <c r="Y1401" s="35">
        <f t="shared" si="135"/>
        <v>27250.904648301603</v>
      </c>
      <c r="Z1401" s="35">
        <f t="shared" si="136"/>
        <v>0</v>
      </c>
      <c r="AA1401" s="35">
        <f t="shared" si="137"/>
        <v>1</v>
      </c>
      <c r="AB1401" s="35">
        <f t="shared" si="138"/>
        <v>0</v>
      </c>
    </row>
    <row r="1402" spans="1:28">
      <c r="A1402" s="35">
        <v>1391</v>
      </c>
      <c r="B1402" s="35">
        <v>3.8886457586354884E-4</v>
      </c>
      <c r="C1402" s="232">
        <v>64.81</v>
      </c>
      <c r="D1402" s="35">
        <v>5.0586121467239362</v>
      </c>
      <c r="E1402" s="232">
        <v>38.19</v>
      </c>
      <c r="F1402" s="35">
        <v>5.048943613825049</v>
      </c>
      <c r="G1402" s="232">
        <v>12723.36</v>
      </c>
      <c r="H1402" s="35">
        <v>8.8352749239784742</v>
      </c>
      <c r="I1402" s="232">
        <v>13993.41</v>
      </c>
      <c r="J1402" s="35">
        <v>8.0463904110908917</v>
      </c>
      <c r="K1402" s="232">
        <v>16388.11</v>
      </c>
      <c r="L1402" s="35">
        <v>8.6418104653993417</v>
      </c>
      <c r="M1402" s="232">
        <v>42567.199999999997</v>
      </c>
      <c r="N1402" s="35">
        <v>7.4166319771514848</v>
      </c>
      <c r="P1402" s="232">
        <v>-26.62</v>
      </c>
      <c r="Q1402" s="35">
        <v>9.6685328988872499E-3</v>
      </c>
      <c r="R1402" s="232">
        <v>1270.05</v>
      </c>
      <c r="S1402" s="35">
        <v>0.78888451288758255</v>
      </c>
      <c r="T1402" s="232">
        <v>26179.09</v>
      </c>
      <c r="U1402" s="35">
        <v>1.2251784882478569</v>
      </c>
      <c r="W1402" s="35">
        <f t="shared" si="133"/>
        <v>510.04664494436247</v>
      </c>
      <c r="X1402" s="35">
        <f t="shared" si="134"/>
        <v>38174.175644379124</v>
      </c>
      <c r="Y1402" s="35">
        <f t="shared" si="135"/>
        <v>35079.83441239284</v>
      </c>
      <c r="Z1402" s="35">
        <f t="shared" si="136"/>
        <v>0</v>
      </c>
      <c r="AA1402" s="35">
        <f t="shared" si="137"/>
        <v>1</v>
      </c>
      <c r="AB1402" s="35">
        <f t="shared" si="138"/>
        <v>0</v>
      </c>
    </row>
    <row r="1403" spans="1:28">
      <c r="A1403" s="35">
        <v>1392</v>
      </c>
      <c r="B1403" s="35">
        <v>4.8094151824240594E-4</v>
      </c>
      <c r="C1403" s="232">
        <v>91.58</v>
      </c>
      <c r="D1403" s="35">
        <v>5.0646187440391257</v>
      </c>
      <c r="E1403" s="232">
        <v>49.06</v>
      </c>
      <c r="F1403" s="35">
        <v>5.0511532906524916</v>
      </c>
      <c r="G1403" s="232">
        <v>14514.38</v>
      </c>
      <c r="H1403" s="35">
        <v>8.9504956613678122</v>
      </c>
      <c r="I1403" s="232">
        <v>15907.7</v>
      </c>
      <c r="J1403" s="35">
        <v>8.3766008722569811</v>
      </c>
      <c r="K1403" s="232">
        <v>19768.580000000002</v>
      </c>
      <c r="L1403" s="35">
        <v>9.1685993032752435</v>
      </c>
      <c r="M1403" s="232">
        <v>46111.92</v>
      </c>
      <c r="N1403" s="35">
        <v>8.0085812605234512</v>
      </c>
      <c r="P1403" s="232">
        <v>-42.53</v>
      </c>
      <c r="Q1403" s="35">
        <v>1.3465453386634074E-2</v>
      </c>
      <c r="R1403" s="232">
        <v>1393.32</v>
      </c>
      <c r="S1403" s="35">
        <v>0.57389478911083103</v>
      </c>
      <c r="T1403" s="232">
        <v>26343.34</v>
      </c>
      <c r="U1403" s="35">
        <v>1.1600180427517923</v>
      </c>
      <c r="W1403" s="35">
        <f t="shared" si="133"/>
        <v>715.80266933170367</v>
      </c>
      <c r="X1403" s="35">
        <f t="shared" si="134"/>
        <v>27301.419455541552</v>
      </c>
      <c r="Y1403" s="35">
        <f t="shared" si="135"/>
        <v>31657.562137589619</v>
      </c>
      <c r="Z1403" s="35">
        <f t="shared" si="136"/>
        <v>0</v>
      </c>
      <c r="AA1403" s="35">
        <f t="shared" si="137"/>
        <v>0</v>
      </c>
      <c r="AB1403" s="35">
        <f t="shared" si="138"/>
        <v>1</v>
      </c>
    </row>
    <row r="1404" spans="1:28">
      <c r="A1404" s="35">
        <v>1393</v>
      </c>
      <c r="B1404" s="35">
        <v>3.7596680988478129E-4</v>
      </c>
      <c r="C1404" s="232">
        <v>57.33</v>
      </c>
      <c r="D1404" s="35">
        <v>5.0581266598924657</v>
      </c>
      <c r="E1404" s="232">
        <v>30.78</v>
      </c>
      <c r="F1404" s="35">
        <v>5.0474790239113334</v>
      </c>
      <c r="G1404" s="232">
        <v>12238.94</v>
      </c>
      <c r="H1404" s="35">
        <v>8.9414305503303666</v>
      </c>
      <c r="I1404" s="232">
        <v>14315.74</v>
      </c>
      <c r="J1404" s="35">
        <v>8.730258760132779</v>
      </c>
      <c r="K1404" s="232">
        <v>14311.72</v>
      </c>
      <c r="L1404" s="35">
        <v>8.8363348835973152</v>
      </c>
      <c r="M1404" s="232">
        <v>40202.17</v>
      </c>
      <c r="N1404" s="35">
        <v>7.7336853958774299</v>
      </c>
      <c r="P1404" s="232">
        <v>-26.55</v>
      </c>
      <c r="Q1404" s="35">
        <v>1.0647635981132275E-2</v>
      </c>
      <c r="R1404" s="232">
        <v>2076.8000000000002</v>
      </c>
      <c r="S1404" s="35">
        <v>0.21117179019758758</v>
      </c>
      <c r="T1404" s="232">
        <v>25890.45</v>
      </c>
      <c r="U1404" s="35">
        <v>1.1026494877198854</v>
      </c>
      <c r="W1404" s="35">
        <f t="shared" si="133"/>
        <v>558.93179905661373</v>
      </c>
      <c r="X1404" s="35">
        <f t="shared" si="134"/>
        <v>8481.7895098793779</v>
      </c>
      <c r="Y1404" s="35">
        <f t="shared" si="135"/>
        <v>29242.024385994268</v>
      </c>
      <c r="Z1404" s="35">
        <f t="shared" si="136"/>
        <v>0</v>
      </c>
      <c r="AA1404" s="35">
        <f t="shared" si="137"/>
        <v>0</v>
      </c>
      <c r="AB1404" s="35">
        <f t="shared" si="138"/>
        <v>1</v>
      </c>
    </row>
    <row r="1405" spans="1:28">
      <c r="A1405" s="35">
        <v>1394</v>
      </c>
      <c r="B1405" s="35">
        <v>4.6090394227948916E-4</v>
      </c>
      <c r="C1405" s="232">
        <v>55.46</v>
      </c>
      <c r="D1405" s="35">
        <v>5.0628086908817567</v>
      </c>
      <c r="E1405" s="232">
        <v>33.590000000000003</v>
      </c>
      <c r="F1405" s="35">
        <v>5.0513528983785445</v>
      </c>
      <c r="G1405" s="232">
        <v>9804.18</v>
      </c>
      <c r="H1405" s="35">
        <v>8.8760853564614433</v>
      </c>
      <c r="I1405" s="232">
        <v>11516.87</v>
      </c>
      <c r="J1405" s="35">
        <v>7.4975793987120847</v>
      </c>
      <c r="K1405" s="232">
        <v>11044.19</v>
      </c>
      <c r="L1405" s="35">
        <v>8.8333669610257228</v>
      </c>
      <c r="M1405" s="232">
        <v>36979.47</v>
      </c>
      <c r="N1405" s="35">
        <v>7.6678696192364386</v>
      </c>
      <c r="P1405" s="232">
        <v>-21.87</v>
      </c>
      <c r="Q1405" s="35">
        <v>1.1455792503212159E-2</v>
      </c>
      <c r="R1405" s="232">
        <v>1712.69</v>
      </c>
      <c r="S1405" s="35">
        <v>1.3785059577493586</v>
      </c>
      <c r="T1405" s="232">
        <v>25935.279999999999</v>
      </c>
      <c r="U1405" s="35">
        <v>1.1654973417892842</v>
      </c>
      <c r="W1405" s="35">
        <f t="shared" si="133"/>
        <v>594.6596251606079</v>
      </c>
      <c r="X1405" s="35">
        <f t="shared" si="134"/>
        <v>67212.607887467922</v>
      </c>
      <c r="Y1405" s="35">
        <f t="shared" si="135"/>
        <v>32339.587089464214</v>
      </c>
      <c r="Z1405" s="35">
        <f t="shared" si="136"/>
        <v>0</v>
      </c>
      <c r="AA1405" s="35">
        <f t="shared" si="137"/>
        <v>1</v>
      </c>
      <c r="AB1405" s="35">
        <f t="shared" si="138"/>
        <v>0</v>
      </c>
    </row>
    <row r="1406" spans="1:28">
      <c r="A1406" s="35">
        <v>1395</v>
      </c>
      <c r="B1406" s="35">
        <v>4.084106064835221E-4</v>
      </c>
      <c r="C1406" s="232">
        <v>75.13</v>
      </c>
      <c r="D1406" s="35">
        <v>5.0605539715244072</v>
      </c>
      <c r="E1406" s="232">
        <v>49.08</v>
      </c>
      <c r="F1406" s="35">
        <v>5.051602528885943</v>
      </c>
      <c r="G1406" s="232">
        <v>14377.68</v>
      </c>
      <c r="H1406" s="35">
        <v>8.9435224266427475</v>
      </c>
      <c r="I1406" s="232">
        <v>15932.81</v>
      </c>
      <c r="J1406" s="35">
        <v>8.3080330034535486</v>
      </c>
      <c r="K1406" s="232">
        <v>18698.64</v>
      </c>
      <c r="L1406" s="35">
        <v>8.9658406733925951</v>
      </c>
      <c r="M1406" s="232">
        <v>45138.55</v>
      </c>
      <c r="N1406" s="35">
        <v>7.8235074062666712</v>
      </c>
      <c r="P1406" s="232">
        <v>-26.05</v>
      </c>
      <c r="Q1406" s="35">
        <v>8.9514426384642576E-3</v>
      </c>
      <c r="R1406" s="232">
        <v>1555.14</v>
      </c>
      <c r="S1406" s="35">
        <v>0.63548942318919899</v>
      </c>
      <c r="T1406" s="232">
        <v>26439.91</v>
      </c>
      <c r="U1406" s="35">
        <v>1.1423332671259239</v>
      </c>
      <c r="W1406" s="35">
        <f t="shared" si="133"/>
        <v>473.62213192321286</v>
      </c>
      <c r="X1406" s="35">
        <f t="shared" si="134"/>
        <v>30219.331159459951</v>
      </c>
      <c r="Y1406" s="35">
        <f t="shared" si="135"/>
        <v>30676.753356296194</v>
      </c>
      <c r="Z1406" s="35">
        <f t="shared" si="136"/>
        <v>0</v>
      </c>
      <c r="AA1406" s="35">
        <f t="shared" si="137"/>
        <v>0</v>
      </c>
      <c r="AB1406" s="35">
        <f t="shared" si="138"/>
        <v>1</v>
      </c>
    </row>
    <row r="1407" spans="1:28">
      <c r="A1407" s="35">
        <v>1396</v>
      </c>
      <c r="B1407" s="35">
        <v>3.6547215559287001E-4</v>
      </c>
      <c r="C1407" s="232">
        <v>76.7</v>
      </c>
      <c r="D1407" s="35">
        <v>5.0577786576162778</v>
      </c>
      <c r="E1407" s="232">
        <v>52.67</v>
      </c>
      <c r="F1407" s="35">
        <v>5.0506091033651863</v>
      </c>
      <c r="G1407" s="232">
        <v>16343.92</v>
      </c>
      <c r="H1407" s="35">
        <v>8.9484455432529675</v>
      </c>
      <c r="I1407" s="232">
        <v>18029.39</v>
      </c>
      <c r="J1407" s="35">
        <v>8.5217272653750378</v>
      </c>
      <c r="K1407" s="232">
        <v>20934.29</v>
      </c>
      <c r="L1407" s="35">
        <v>8.5522896780256481</v>
      </c>
      <c r="M1407" s="232">
        <v>47293.4</v>
      </c>
      <c r="N1407" s="35">
        <v>7.3855952301145349</v>
      </c>
      <c r="P1407" s="232">
        <v>-24.03</v>
      </c>
      <c r="Q1407" s="35">
        <v>7.1695542510914478E-3</v>
      </c>
      <c r="R1407" s="232">
        <v>1685.47</v>
      </c>
      <c r="S1407" s="35">
        <v>0.42671827787792971</v>
      </c>
      <c r="T1407" s="232">
        <v>26359.11</v>
      </c>
      <c r="U1407" s="35">
        <v>1.1666944479111132</v>
      </c>
      <c r="W1407" s="35">
        <f t="shared" si="133"/>
        <v>382.50771255457244</v>
      </c>
      <c r="X1407" s="35">
        <f t="shared" si="134"/>
        <v>19650.443893896485</v>
      </c>
      <c r="Y1407" s="35">
        <f t="shared" si="135"/>
        <v>31975.612395555661</v>
      </c>
      <c r="Z1407" s="35">
        <f t="shared" si="136"/>
        <v>0</v>
      </c>
      <c r="AA1407" s="35">
        <f t="shared" si="137"/>
        <v>0</v>
      </c>
      <c r="AB1407" s="35">
        <f t="shared" si="138"/>
        <v>1</v>
      </c>
    </row>
    <row r="1408" spans="1:28">
      <c r="A1408" s="35">
        <v>1397</v>
      </c>
      <c r="B1408" s="35">
        <v>3.9766924537382832E-4</v>
      </c>
      <c r="C1408" s="232">
        <v>59.97</v>
      </c>
      <c r="D1408" s="35">
        <v>5.0573022463705541</v>
      </c>
      <c r="E1408" s="232">
        <v>38.159999999999997</v>
      </c>
      <c r="F1408" s="35">
        <v>5.0490704670600932</v>
      </c>
      <c r="G1408" s="232">
        <v>11421.38</v>
      </c>
      <c r="H1408" s="35">
        <v>8.1974317196745048</v>
      </c>
      <c r="I1408" s="232">
        <v>13134.97</v>
      </c>
      <c r="J1408" s="35">
        <v>7.6943479862784834</v>
      </c>
      <c r="K1408" s="232">
        <v>15004.49</v>
      </c>
      <c r="L1408" s="35">
        <v>8.6531278246716195</v>
      </c>
      <c r="M1408" s="232">
        <v>41132.080000000002</v>
      </c>
      <c r="N1408" s="35">
        <v>7.5219800231246907</v>
      </c>
      <c r="P1408" s="232">
        <v>-21.81</v>
      </c>
      <c r="Q1408" s="35">
        <v>8.2317793104609294E-3</v>
      </c>
      <c r="R1408" s="232">
        <v>1713.59</v>
      </c>
      <c r="S1408" s="35">
        <v>0.50308373339602142</v>
      </c>
      <c r="T1408" s="232">
        <v>26127.59</v>
      </c>
      <c r="U1408" s="35">
        <v>1.1311478015469287</v>
      </c>
      <c r="W1408" s="35">
        <f t="shared" si="133"/>
        <v>433.39896552304646</v>
      </c>
      <c r="X1408" s="35">
        <f t="shared" si="134"/>
        <v>23440.596669801071</v>
      </c>
      <c r="Y1408" s="35">
        <f t="shared" si="135"/>
        <v>30429.800077346434</v>
      </c>
      <c r="Z1408" s="35">
        <f t="shared" si="136"/>
        <v>0</v>
      </c>
      <c r="AA1408" s="35">
        <f t="shared" si="137"/>
        <v>0</v>
      </c>
      <c r="AB1408" s="35">
        <f t="shared" si="138"/>
        <v>1</v>
      </c>
    </row>
    <row r="1409" spans="1:28">
      <c r="A1409" s="35">
        <v>1398</v>
      </c>
      <c r="B1409" s="35">
        <v>4.8366213493644672E-4</v>
      </c>
      <c r="C1409" s="232">
        <v>88.67</v>
      </c>
      <c r="D1409" s="35">
        <v>5.065195384266393</v>
      </c>
      <c r="E1409" s="232">
        <v>58.26</v>
      </c>
      <c r="F1409" s="35">
        <v>5.0547143316473999</v>
      </c>
      <c r="G1409" s="232">
        <v>14169.8</v>
      </c>
      <c r="H1409" s="35">
        <v>9.2694131077204336</v>
      </c>
      <c r="I1409" s="232">
        <v>16237.5</v>
      </c>
      <c r="J1409" s="35">
        <v>9.1374680872377727</v>
      </c>
      <c r="K1409" s="232">
        <v>17714.96</v>
      </c>
      <c r="L1409" s="35">
        <v>8.7429690539732032</v>
      </c>
      <c r="M1409" s="232">
        <v>43970.22</v>
      </c>
      <c r="N1409" s="35">
        <v>7.6637804331632005</v>
      </c>
      <c r="P1409" s="232">
        <v>-30.41</v>
      </c>
      <c r="Q1409" s="35">
        <v>1.0481052618993125E-2</v>
      </c>
      <c r="R1409" s="232">
        <v>2067.6999999999998</v>
      </c>
      <c r="S1409" s="35">
        <v>0.13194502048266088</v>
      </c>
      <c r="T1409" s="232">
        <v>26255.26</v>
      </c>
      <c r="U1409" s="35">
        <v>1.0791886208100028</v>
      </c>
      <c r="W1409" s="35">
        <f t="shared" si="133"/>
        <v>554.46263094965627</v>
      </c>
      <c r="X1409" s="35">
        <f t="shared" si="134"/>
        <v>4529.5510241330439</v>
      </c>
      <c r="Y1409" s="35">
        <f t="shared" si="135"/>
        <v>27704.171040500139</v>
      </c>
      <c r="Z1409" s="35">
        <f t="shared" si="136"/>
        <v>0</v>
      </c>
      <c r="AA1409" s="35">
        <f t="shared" si="137"/>
        <v>0</v>
      </c>
      <c r="AB1409" s="35">
        <f t="shared" si="138"/>
        <v>1</v>
      </c>
    </row>
    <row r="1410" spans="1:28">
      <c r="A1410" s="35">
        <v>1399</v>
      </c>
      <c r="B1410" s="35">
        <v>5.436073866444957E-4</v>
      </c>
      <c r="C1410" s="232">
        <v>54.86</v>
      </c>
      <c r="D1410" s="35">
        <v>5.0663054354986379</v>
      </c>
      <c r="E1410" s="232">
        <v>39.229999999999997</v>
      </c>
      <c r="F1410" s="35">
        <v>5.0563237266613719</v>
      </c>
      <c r="G1410" s="232">
        <v>7350.06</v>
      </c>
      <c r="H1410" s="35">
        <v>8.5690435119024322</v>
      </c>
      <c r="I1410" s="232">
        <v>8616.66</v>
      </c>
      <c r="J1410" s="35">
        <v>7.4315887301412946</v>
      </c>
      <c r="K1410" s="232">
        <v>9621.9699999999993</v>
      </c>
      <c r="L1410" s="35">
        <v>8.752648806885567</v>
      </c>
      <c r="M1410" s="232">
        <v>35439.35</v>
      </c>
      <c r="N1410" s="35">
        <v>7.6104632681291537</v>
      </c>
      <c r="P1410" s="232">
        <v>-15.63</v>
      </c>
      <c r="Q1410" s="35">
        <v>9.9817088372660123E-3</v>
      </c>
      <c r="R1410" s="232">
        <v>1266.5999999999999</v>
      </c>
      <c r="S1410" s="35">
        <v>1.1374547817611376</v>
      </c>
      <c r="T1410" s="232">
        <v>25817.38</v>
      </c>
      <c r="U1410" s="35">
        <v>1.1421855387564133</v>
      </c>
      <c r="W1410" s="35">
        <f t="shared" si="133"/>
        <v>514.71544186330061</v>
      </c>
      <c r="X1410" s="35">
        <f t="shared" si="134"/>
        <v>55606.13908805688</v>
      </c>
      <c r="Y1410" s="35">
        <f t="shared" si="135"/>
        <v>31291.896937820664</v>
      </c>
      <c r="Z1410" s="35">
        <f t="shared" si="136"/>
        <v>0</v>
      </c>
      <c r="AA1410" s="35">
        <f t="shared" si="137"/>
        <v>1</v>
      </c>
      <c r="AB1410" s="35">
        <f t="shared" si="138"/>
        <v>0</v>
      </c>
    </row>
    <row r="1411" spans="1:28">
      <c r="A1411" s="35">
        <v>1400</v>
      </c>
      <c r="B1411" s="35">
        <v>3.9281669925342593E-4</v>
      </c>
      <c r="C1411" s="232">
        <v>50.26</v>
      </c>
      <c r="D1411" s="35">
        <v>5.0580738910584566</v>
      </c>
      <c r="E1411" s="232">
        <v>32.01</v>
      </c>
      <c r="F1411" s="35">
        <v>5.0492878454070267</v>
      </c>
      <c r="G1411" s="232">
        <v>9593.9</v>
      </c>
      <c r="H1411" s="35">
        <v>8.6245433144577941</v>
      </c>
      <c r="I1411" s="232">
        <v>10714.58</v>
      </c>
      <c r="J1411" s="35">
        <v>7.2704792053709948</v>
      </c>
      <c r="K1411" s="232">
        <v>10911.69</v>
      </c>
      <c r="L1411" s="35">
        <v>8.6790921113414505</v>
      </c>
      <c r="M1411" s="232">
        <v>36744.67</v>
      </c>
      <c r="N1411" s="35">
        <v>7.6209967217565371</v>
      </c>
      <c r="P1411" s="232">
        <v>-18.25</v>
      </c>
      <c r="Q1411" s="35">
        <v>8.7860456514299301E-3</v>
      </c>
      <c r="R1411" s="232">
        <v>1120.67</v>
      </c>
      <c r="S1411" s="35">
        <v>1.3540641090867993</v>
      </c>
      <c r="T1411" s="232">
        <v>25832.97</v>
      </c>
      <c r="U1411" s="35">
        <v>1.0580953895849134</v>
      </c>
      <c r="W1411" s="35">
        <f t="shared" si="133"/>
        <v>457.55228257149651</v>
      </c>
      <c r="X1411" s="35">
        <f t="shared" si="134"/>
        <v>66582.535454339974</v>
      </c>
      <c r="Y1411" s="35">
        <f t="shared" si="135"/>
        <v>27071.799479245674</v>
      </c>
      <c r="Z1411" s="35">
        <f t="shared" si="136"/>
        <v>0</v>
      </c>
      <c r="AA1411" s="35">
        <f t="shared" si="137"/>
        <v>1</v>
      </c>
      <c r="AB1411" s="35">
        <f t="shared" si="138"/>
        <v>0</v>
      </c>
    </row>
    <row r="1412" spans="1:28">
      <c r="A1412" s="35">
        <v>1401</v>
      </c>
      <c r="B1412" s="35">
        <v>3.8469675767573586E-4</v>
      </c>
      <c r="C1412" s="232">
        <v>69.790000000000006</v>
      </c>
      <c r="D1412" s="35">
        <v>5.0589035845387675</v>
      </c>
      <c r="E1412" s="232">
        <v>44.68</v>
      </c>
      <c r="F1412" s="35">
        <v>5.0502525041987933</v>
      </c>
      <c r="G1412" s="232">
        <v>13618.34</v>
      </c>
      <c r="H1412" s="35">
        <v>8.8517027526759851</v>
      </c>
      <c r="I1412" s="232">
        <v>14274.97</v>
      </c>
      <c r="J1412" s="35">
        <v>7.7679044921916303</v>
      </c>
      <c r="K1412" s="232">
        <v>18481.66</v>
      </c>
      <c r="L1412" s="35">
        <v>8.9914431285869156</v>
      </c>
      <c r="M1412" s="232">
        <v>44868.29</v>
      </c>
      <c r="N1412" s="35">
        <v>7.9246177010885201</v>
      </c>
      <c r="P1412" s="232">
        <v>-25.11</v>
      </c>
      <c r="Q1412" s="35">
        <v>8.6510803399741931E-3</v>
      </c>
      <c r="R1412" s="232">
        <v>656.63</v>
      </c>
      <c r="S1412" s="35">
        <v>1.0837982604843548</v>
      </c>
      <c r="T1412" s="232">
        <v>26386.63</v>
      </c>
      <c r="U1412" s="35">
        <v>1.0668254274983955</v>
      </c>
      <c r="W1412" s="35">
        <f t="shared" si="133"/>
        <v>457.66401699870966</v>
      </c>
      <c r="X1412" s="35">
        <f t="shared" si="134"/>
        <v>53533.283024217744</v>
      </c>
      <c r="Y1412" s="35">
        <f t="shared" si="135"/>
        <v>26954.641374919771</v>
      </c>
      <c r="Z1412" s="35">
        <f t="shared" si="136"/>
        <v>0</v>
      </c>
      <c r="AA1412" s="35">
        <f t="shared" si="137"/>
        <v>1</v>
      </c>
      <c r="AB1412" s="35">
        <f t="shared" si="138"/>
        <v>0</v>
      </c>
    </row>
    <row r="1413" spans="1:28">
      <c r="A1413" s="35">
        <v>1402</v>
      </c>
      <c r="B1413" s="35">
        <v>5.4310327632833832E-4</v>
      </c>
      <c r="C1413" s="232">
        <v>74.11</v>
      </c>
      <c r="D1413" s="35">
        <v>5.0668144466103477</v>
      </c>
      <c r="E1413" s="232">
        <v>44.85</v>
      </c>
      <c r="F1413" s="35">
        <v>5.0539767081715219</v>
      </c>
      <c r="G1413" s="232">
        <v>10973.6</v>
      </c>
      <c r="H1413" s="35">
        <v>8.9085912239924738</v>
      </c>
      <c r="I1413" s="232">
        <v>12889.19</v>
      </c>
      <c r="J1413" s="35">
        <v>7.5920063199038115</v>
      </c>
      <c r="K1413" s="232">
        <v>10657.94</v>
      </c>
      <c r="L1413" s="35">
        <v>8.694310324288109</v>
      </c>
      <c r="M1413" s="232">
        <v>36531.43</v>
      </c>
      <c r="N1413" s="35">
        <v>7.6054498745222325</v>
      </c>
      <c r="P1413" s="232">
        <v>-29.26</v>
      </c>
      <c r="Q1413" s="35">
        <v>1.2837738438825852E-2</v>
      </c>
      <c r="R1413" s="232">
        <v>1915.59</v>
      </c>
      <c r="S1413" s="35">
        <v>1.3165849040886624</v>
      </c>
      <c r="T1413" s="232">
        <v>25873.5</v>
      </c>
      <c r="U1413" s="35">
        <v>1.0888604497658765</v>
      </c>
      <c r="W1413" s="35">
        <f t="shared" si="133"/>
        <v>671.14692194129259</v>
      </c>
      <c r="X1413" s="35">
        <f t="shared" si="134"/>
        <v>63913.655204433118</v>
      </c>
      <c r="Y1413" s="35">
        <f t="shared" si="135"/>
        <v>28569.522488293827</v>
      </c>
      <c r="Z1413" s="35">
        <f t="shared" si="136"/>
        <v>0</v>
      </c>
      <c r="AA1413" s="35">
        <f t="shared" si="137"/>
        <v>1</v>
      </c>
      <c r="AB1413" s="35">
        <f t="shared" si="138"/>
        <v>0</v>
      </c>
    </row>
    <row r="1414" spans="1:28">
      <c r="A1414" s="35">
        <v>1403</v>
      </c>
      <c r="B1414" s="35">
        <v>4.137596455987525E-4</v>
      </c>
      <c r="C1414" s="232">
        <v>78.14</v>
      </c>
      <c r="D1414" s="35">
        <v>5.0586127022895209</v>
      </c>
      <c r="E1414" s="232">
        <v>42.37</v>
      </c>
      <c r="F1414" s="35">
        <v>5.0481698884624731</v>
      </c>
      <c r="G1414" s="232">
        <v>14515.97</v>
      </c>
      <c r="H1414" s="35">
        <v>8.3918518220455631</v>
      </c>
      <c r="I1414" s="232">
        <v>16975.509999999998</v>
      </c>
      <c r="J1414" s="35">
        <v>8.539157644671409</v>
      </c>
      <c r="K1414" s="232">
        <v>21557.43</v>
      </c>
      <c r="L1414" s="35">
        <v>8.8113552633085419</v>
      </c>
      <c r="M1414" s="232">
        <v>47950.63</v>
      </c>
      <c r="N1414" s="35">
        <v>7.6795092983170319</v>
      </c>
      <c r="P1414" s="232">
        <v>-35.770000000000003</v>
      </c>
      <c r="Q1414" s="35">
        <v>1.0442813827047814E-2</v>
      </c>
      <c r="R1414" s="232">
        <v>2459.54</v>
      </c>
      <c r="S1414" s="35">
        <v>-0.14730582262584591</v>
      </c>
      <c r="T1414" s="232">
        <v>26393.200000000001</v>
      </c>
      <c r="U1414" s="35">
        <v>1.13184596499151</v>
      </c>
      <c r="W1414" s="35">
        <f t="shared" si="133"/>
        <v>557.9106913523907</v>
      </c>
      <c r="X1414" s="35">
        <f t="shared" si="134"/>
        <v>-9824.831131292296</v>
      </c>
      <c r="Y1414" s="35">
        <f t="shared" si="135"/>
        <v>30199.098249575498</v>
      </c>
      <c r="Z1414" s="35">
        <f t="shared" si="136"/>
        <v>0</v>
      </c>
      <c r="AA1414" s="35">
        <f t="shared" si="137"/>
        <v>0</v>
      </c>
      <c r="AB1414" s="35">
        <f t="shared" si="138"/>
        <v>1</v>
      </c>
    </row>
    <row r="1415" spans="1:28">
      <c r="A1415" s="35">
        <v>1404</v>
      </c>
      <c r="B1415" s="35">
        <v>5.5545879022256273E-4</v>
      </c>
      <c r="C1415" s="232">
        <v>84.72</v>
      </c>
      <c r="D1415" s="35">
        <v>5.0661883252023721</v>
      </c>
      <c r="E1415" s="232">
        <v>56.59</v>
      </c>
      <c r="F1415" s="35">
        <v>5.0555794715548075</v>
      </c>
      <c r="G1415" s="232">
        <v>10382.11</v>
      </c>
      <c r="H1415" s="35">
        <v>8.3869734754231562</v>
      </c>
      <c r="I1415" s="232">
        <v>9860.3799999999992</v>
      </c>
      <c r="J1415" s="35">
        <v>6.8230232114677722</v>
      </c>
      <c r="K1415" s="232">
        <v>15459.18</v>
      </c>
      <c r="L1415" s="35">
        <v>8.8454214597933873</v>
      </c>
      <c r="M1415" s="232">
        <v>41562.400000000001</v>
      </c>
      <c r="N1415" s="35">
        <v>7.7624671545359041</v>
      </c>
      <c r="P1415" s="232">
        <v>-28.13</v>
      </c>
      <c r="Q1415" s="35">
        <v>1.0608853647564587E-2</v>
      </c>
      <c r="R1415" s="232">
        <v>-521.73</v>
      </c>
      <c r="S1415" s="35">
        <v>1.5639502639553839</v>
      </c>
      <c r="T1415" s="232">
        <v>26103.22</v>
      </c>
      <c r="U1415" s="35">
        <v>1.0829543052574833</v>
      </c>
      <c r="W1415" s="35">
        <f t="shared" si="133"/>
        <v>558.57268237822939</v>
      </c>
      <c r="X1415" s="35">
        <f t="shared" si="134"/>
        <v>78719.243197769189</v>
      </c>
      <c r="Y1415" s="35">
        <f t="shared" si="135"/>
        <v>28044.495262874159</v>
      </c>
      <c r="Z1415" s="35">
        <f t="shared" si="136"/>
        <v>0</v>
      </c>
      <c r="AA1415" s="35">
        <f t="shared" si="137"/>
        <v>1</v>
      </c>
      <c r="AB1415" s="35">
        <f t="shared" si="138"/>
        <v>0</v>
      </c>
    </row>
    <row r="1416" spans="1:28">
      <c r="A1416" s="35">
        <v>1405</v>
      </c>
      <c r="B1416" s="35">
        <v>4.0417155114505049E-4</v>
      </c>
      <c r="C1416" s="232">
        <v>56.18</v>
      </c>
      <c r="D1416" s="35">
        <v>5.0600739848194802</v>
      </c>
      <c r="E1416" s="232">
        <v>35.04</v>
      </c>
      <c r="F1416" s="35">
        <v>5.0502920597546019</v>
      </c>
      <c r="G1416" s="232">
        <v>10851.53</v>
      </c>
      <c r="H1416" s="35">
        <v>8.977456308293009</v>
      </c>
      <c r="I1416" s="232">
        <v>12212.9</v>
      </c>
      <c r="J1416" s="35">
        <v>7.8284417075767747</v>
      </c>
      <c r="K1416" s="232">
        <v>13050.73</v>
      </c>
      <c r="L1416" s="35">
        <v>8.9439164663061135</v>
      </c>
      <c r="M1416" s="232">
        <v>39102.629999999997</v>
      </c>
      <c r="N1416" s="35">
        <v>7.8215835172426669</v>
      </c>
      <c r="P1416" s="232">
        <v>-21.15</v>
      </c>
      <c r="Q1416" s="35">
        <v>9.7819250648782941E-3</v>
      </c>
      <c r="R1416" s="232">
        <v>1361.37</v>
      </c>
      <c r="S1416" s="35">
        <v>1.1490146007162343</v>
      </c>
      <c r="T1416" s="232">
        <v>26051.9</v>
      </c>
      <c r="U1416" s="35">
        <v>1.1223329490634466</v>
      </c>
      <c r="W1416" s="35">
        <f t="shared" si="133"/>
        <v>510.24625324391468</v>
      </c>
      <c r="X1416" s="35">
        <f t="shared" si="134"/>
        <v>56089.360035811711</v>
      </c>
      <c r="Y1416" s="35">
        <f t="shared" si="135"/>
        <v>30064.747453172327</v>
      </c>
      <c r="Z1416" s="35">
        <f t="shared" si="136"/>
        <v>0</v>
      </c>
      <c r="AA1416" s="35">
        <f t="shared" si="137"/>
        <v>1</v>
      </c>
      <c r="AB1416" s="35">
        <f t="shared" si="138"/>
        <v>0</v>
      </c>
    </row>
    <row r="1417" spans="1:28">
      <c r="A1417" s="35">
        <v>1406</v>
      </c>
      <c r="B1417" s="35">
        <v>3.3899009814933318E-4</v>
      </c>
      <c r="C1417" s="232">
        <v>43.83</v>
      </c>
      <c r="D1417" s="35">
        <v>5.0564389719839538</v>
      </c>
      <c r="E1417" s="232">
        <v>26.25</v>
      </c>
      <c r="F1417" s="35">
        <v>5.0474646423840692</v>
      </c>
      <c r="G1417" s="232">
        <v>10883.99</v>
      </c>
      <c r="H1417" s="35">
        <v>9.0312384438571307</v>
      </c>
      <c r="I1417" s="232">
        <v>13236.39</v>
      </c>
      <c r="J1417" s="35">
        <v>9.4862391373157635</v>
      </c>
      <c r="K1417" s="232">
        <v>12564.2</v>
      </c>
      <c r="L1417" s="35">
        <v>8.8714658887658295</v>
      </c>
      <c r="M1417" s="232">
        <v>38539.449999999997</v>
      </c>
      <c r="N1417" s="35">
        <v>7.7805910516445662</v>
      </c>
      <c r="P1417" s="232">
        <v>-17.579999999999998</v>
      </c>
      <c r="Q1417" s="35">
        <v>8.974329599884534E-3</v>
      </c>
      <c r="R1417" s="232">
        <v>2352.4</v>
      </c>
      <c r="S1417" s="35">
        <v>-0.45500069345863281</v>
      </c>
      <c r="T1417" s="232">
        <v>25975.25</v>
      </c>
      <c r="U1417" s="35">
        <v>1.0908748371212633</v>
      </c>
      <c r="W1417" s="35">
        <f t="shared" si="133"/>
        <v>466.29647999422667</v>
      </c>
      <c r="X1417" s="35">
        <f t="shared" si="134"/>
        <v>-25102.434672931642</v>
      </c>
      <c r="Y1417" s="35">
        <f t="shared" si="135"/>
        <v>28568.491856063163</v>
      </c>
      <c r="Z1417" s="35">
        <f t="shared" si="136"/>
        <v>0</v>
      </c>
      <c r="AA1417" s="35">
        <f t="shared" si="137"/>
        <v>0</v>
      </c>
      <c r="AB1417" s="35">
        <f t="shared" si="138"/>
        <v>1</v>
      </c>
    </row>
    <row r="1418" spans="1:28">
      <c r="A1418" s="35">
        <v>1407</v>
      </c>
      <c r="B1418" s="35">
        <v>4.1594077707742617E-4</v>
      </c>
      <c r="C1418" s="232">
        <v>53.51</v>
      </c>
      <c r="D1418" s="35">
        <v>5.0593308976539682</v>
      </c>
      <c r="E1418" s="232">
        <v>36.770000000000003</v>
      </c>
      <c r="F1418" s="35">
        <v>5.0511702197846908</v>
      </c>
      <c r="G1418" s="232">
        <v>9841.4500000000007</v>
      </c>
      <c r="H1418" s="35">
        <v>8.7201950528732741</v>
      </c>
      <c r="I1418" s="232">
        <v>10869.02</v>
      </c>
      <c r="J1418" s="35">
        <v>7.5972272980971853</v>
      </c>
      <c r="K1418" s="232">
        <v>13161.35</v>
      </c>
      <c r="L1418" s="35">
        <v>8.4707661757960953</v>
      </c>
      <c r="M1418" s="232">
        <v>39178.559999999998</v>
      </c>
      <c r="N1418" s="35">
        <v>7.3836824483452945</v>
      </c>
      <c r="P1418" s="232">
        <v>-16.73</v>
      </c>
      <c r="Q1418" s="35">
        <v>8.1606778692773219E-3</v>
      </c>
      <c r="R1418" s="232">
        <v>1027.58</v>
      </c>
      <c r="S1418" s="35">
        <v>1.1229677547760888</v>
      </c>
      <c r="T1418" s="232">
        <v>26017.21</v>
      </c>
      <c r="U1418" s="35">
        <v>1.0870837274508007</v>
      </c>
      <c r="W1418" s="35">
        <f t="shared" si="133"/>
        <v>424.76389346386611</v>
      </c>
      <c r="X1418" s="35">
        <f t="shared" si="134"/>
        <v>55120.80773880444</v>
      </c>
      <c r="Y1418" s="35">
        <f t="shared" si="135"/>
        <v>28336.976372540041</v>
      </c>
      <c r="Z1418" s="35">
        <f t="shared" si="136"/>
        <v>0</v>
      </c>
      <c r="AA1418" s="35">
        <f t="shared" si="137"/>
        <v>1</v>
      </c>
      <c r="AB1418" s="35">
        <f t="shared" si="138"/>
        <v>0</v>
      </c>
    </row>
    <row r="1419" spans="1:28">
      <c r="A1419" s="35">
        <v>1408</v>
      </c>
      <c r="B1419" s="35">
        <v>3.1909508424630739E-4</v>
      </c>
      <c r="C1419" s="232">
        <v>49.03</v>
      </c>
      <c r="D1419" s="35">
        <v>5.0551744426443799</v>
      </c>
      <c r="E1419" s="232">
        <v>28.37</v>
      </c>
      <c r="F1419" s="35">
        <v>5.0466151282567004</v>
      </c>
      <c r="G1419" s="232">
        <v>11716.08</v>
      </c>
      <c r="H1419" s="35">
        <v>9.0244847376557082</v>
      </c>
      <c r="I1419" s="232">
        <v>11390.49</v>
      </c>
      <c r="J1419" s="35">
        <v>7.0539577938669549</v>
      </c>
      <c r="K1419" s="232">
        <v>15079.65</v>
      </c>
      <c r="L1419" s="35">
        <v>8.8071023119807936</v>
      </c>
      <c r="M1419" s="232">
        <v>41338.33</v>
      </c>
      <c r="N1419" s="35">
        <v>7.6584228325174966</v>
      </c>
      <c r="P1419" s="232">
        <v>-20.66</v>
      </c>
      <c r="Q1419" s="35">
        <v>8.5593143876794286E-3</v>
      </c>
      <c r="R1419" s="232">
        <v>-325.58999999999997</v>
      </c>
      <c r="S1419" s="35">
        <v>1.9705269437887534</v>
      </c>
      <c r="T1419" s="232">
        <v>26258.67</v>
      </c>
      <c r="U1419" s="35">
        <v>1.1486794794632971</v>
      </c>
      <c r="W1419" s="35">
        <f t="shared" si="133"/>
        <v>448.62571938397144</v>
      </c>
      <c r="X1419" s="35">
        <f t="shared" si="134"/>
        <v>98851.937189437667</v>
      </c>
      <c r="Y1419" s="35">
        <f t="shared" si="135"/>
        <v>31175.303973164853</v>
      </c>
      <c r="Z1419" s="35">
        <f t="shared" si="136"/>
        <v>0</v>
      </c>
      <c r="AA1419" s="35">
        <f t="shared" si="137"/>
        <v>1</v>
      </c>
      <c r="AB1419" s="35">
        <f t="shared" si="138"/>
        <v>0</v>
      </c>
    </row>
    <row r="1420" spans="1:28">
      <c r="A1420" s="35">
        <v>1409</v>
      </c>
      <c r="B1420" s="35">
        <v>4.3473738447540012E-4</v>
      </c>
      <c r="C1420" s="232">
        <v>69.709999999999994</v>
      </c>
      <c r="D1420" s="35">
        <v>5.058970357313691</v>
      </c>
      <c r="E1420" s="232">
        <v>42.83</v>
      </c>
      <c r="F1420" s="35">
        <v>5.0497475112515735</v>
      </c>
      <c r="G1420" s="232">
        <v>12150.39</v>
      </c>
      <c r="H1420" s="35">
        <v>8.2098198358456855</v>
      </c>
      <c r="I1420" s="232">
        <v>12546.42</v>
      </c>
      <c r="J1420" s="35">
        <v>6.578608721231789</v>
      </c>
      <c r="K1420" s="232">
        <v>15731.71</v>
      </c>
      <c r="L1420" s="35">
        <v>8.6227862302041416</v>
      </c>
      <c r="M1420" s="232">
        <v>41965.58</v>
      </c>
      <c r="N1420" s="35">
        <v>7.5437795646357397</v>
      </c>
      <c r="P1420" s="232">
        <v>-26.88</v>
      </c>
      <c r="Q1420" s="35">
        <v>9.2228460621175401E-3</v>
      </c>
      <c r="R1420" s="232">
        <v>396.03</v>
      </c>
      <c r="S1420" s="35">
        <v>1.6312111146138966</v>
      </c>
      <c r="T1420" s="232">
        <v>26233.87</v>
      </c>
      <c r="U1420" s="35">
        <v>1.0790066655684019</v>
      </c>
      <c r="W1420" s="35">
        <f t="shared" ref="W1420:W1483" si="139">$X$2*Q1420-P1420</f>
        <v>488.02230310587697</v>
      </c>
      <c r="X1420" s="35">
        <f t="shared" ref="X1420:X1483" si="140">$X$2*S1420-R1420</f>
        <v>81164.525730694833</v>
      </c>
      <c r="Y1420" s="35">
        <f t="shared" ref="Y1420:Y1483" si="141">$X$2*U1420-T1420</f>
        <v>27716.463278420091</v>
      </c>
      <c r="Z1420" s="35">
        <f t="shared" ref="Z1420:Z1483" si="142">IF(W1420=MAX($W1420:$Y1420), 1, 0)</f>
        <v>0</v>
      </c>
      <c r="AA1420" s="35">
        <f t="shared" ref="AA1420:AA1483" si="143">IF(X1420=MAX($W1420:$Y1420), 1, 0)</f>
        <v>1</v>
      </c>
      <c r="AB1420" s="35">
        <f t="shared" ref="AB1420:AB1483" si="144">IF(Y1420=MAX($W1420:$Y1420), 1, 0)</f>
        <v>0</v>
      </c>
    </row>
    <row r="1421" spans="1:28">
      <c r="A1421" s="35">
        <v>1410</v>
      </c>
      <c r="B1421" s="35">
        <v>4.6422621111719131E-4</v>
      </c>
      <c r="C1421" s="232">
        <v>79.56</v>
      </c>
      <c r="D1421" s="35">
        <v>5.0628764481983843</v>
      </c>
      <c r="E1421" s="232">
        <v>56.44</v>
      </c>
      <c r="F1421" s="35">
        <v>5.0544763984087968</v>
      </c>
      <c r="G1421" s="232">
        <v>13129.28</v>
      </c>
      <c r="H1421" s="35">
        <v>8.746773227257437</v>
      </c>
      <c r="I1421" s="232">
        <v>13457.91</v>
      </c>
      <c r="J1421" s="35">
        <v>7.2954735648851123</v>
      </c>
      <c r="K1421" s="232">
        <v>18331.96</v>
      </c>
      <c r="L1421" s="35">
        <v>8.75552007296025</v>
      </c>
      <c r="M1421" s="232">
        <v>44694.31</v>
      </c>
      <c r="N1421" s="35">
        <v>7.6412479480138877</v>
      </c>
      <c r="P1421" s="232">
        <v>-23.12</v>
      </c>
      <c r="Q1421" s="35">
        <v>8.400049789587527E-3</v>
      </c>
      <c r="R1421" s="232">
        <v>328.63</v>
      </c>
      <c r="S1421" s="35">
        <v>1.4512996623723247</v>
      </c>
      <c r="T1421" s="232">
        <v>26362.35</v>
      </c>
      <c r="U1421" s="35">
        <v>1.1142721249463623</v>
      </c>
      <c r="W1421" s="35">
        <f t="shared" si="139"/>
        <v>443.12248947937633</v>
      </c>
      <c r="X1421" s="35">
        <f t="shared" si="140"/>
        <v>72236.353118616229</v>
      </c>
      <c r="Y1421" s="35">
        <f t="shared" si="141"/>
        <v>29351.256247318117</v>
      </c>
      <c r="Z1421" s="35">
        <f t="shared" si="142"/>
        <v>0</v>
      </c>
      <c r="AA1421" s="35">
        <f t="shared" si="143"/>
        <v>1</v>
      </c>
      <c r="AB1421" s="35">
        <f t="shared" si="144"/>
        <v>0</v>
      </c>
    </row>
    <row r="1422" spans="1:28">
      <c r="A1422" s="35">
        <v>1411</v>
      </c>
      <c r="B1422" s="35">
        <v>3.9194201126464611E-4</v>
      </c>
      <c r="C1422" s="232">
        <v>60.64</v>
      </c>
      <c r="D1422" s="35">
        <v>5.0574924809458652</v>
      </c>
      <c r="E1422" s="232">
        <v>37.86</v>
      </c>
      <c r="F1422" s="35">
        <v>5.0489578088739249</v>
      </c>
      <c r="G1422" s="232">
        <v>11944.56</v>
      </c>
      <c r="H1422" s="35">
        <v>8.5026362225756671</v>
      </c>
      <c r="I1422" s="232">
        <v>11887.26</v>
      </c>
      <c r="J1422" s="35">
        <v>6.6152889053408312</v>
      </c>
      <c r="K1422" s="232">
        <v>15929.52</v>
      </c>
      <c r="L1422" s="35">
        <v>8.4928075283748523</v>
      </c>
      <c r="M1422" s="232">
        <v>41973.85</v>
      </c>
      <c r="N1422" s="35">
        <v>7.3802276750999463</v>
      </c>
      <c r="P1422" s="232">
        <v>-22.78</v>
      </c>
      <c r="Q1422" s="35">
        <v>8.5346720719403635E-3</v>
      </c>
      <c r="R1422" s="232">
        <v>-57.3</v>
      </c>
      <c r="S1422" s="35">
        <v>1.8873473172348358</v>
      </c>
      <c r="T1422" s="232">
        <v>26044.33</v>
      </c>
      <c r="U1422" s="35">
        <v>1.112579853274906</v>
      </c>
      <c r="W1422" s="35">
        <f t="shared" si="139"/>
        <v>449.51360359701812</v>
      </c>
      <c r="X1422" s="35">
        <f t="shared" si="140"/>
        <v>94424.6658617418</v>
      </c>
      <c r="Y1422" s="35">
        <f t="shared" si="141"/>
        <v>29584.662663745301</v>
      </c>
      <c r="Z1422" s="35">
        <f t="shared" si="142"/>
        <v>0</v>
      </c>
      <c r="AA1422" s="35">
        <f t="shared" si="143"/>
        <v>1</v>
      </c>
      <c r="AB1422" s="35">
        <f t="shared" si="144"/>
        <v>0</v>
      </c>
    </row>
    <row r="1423" spans="1:28">
      <c r="A1423" s="35">
        <v>1412</v>
      </c>
      <c r="B1423" s="35">
        <v>4.1811825296202945E-4</v>
      </c>
      <c r="C1423" s="232">
        <v>50.41</v>
      </c>
      <c r="D1423" s="35">
        <v>5.0585093181997172</v>
      </c>
      <c r="E1423" s="232">
        <v>32.51</v>
      </c>
      <c r="F1423" s="35">
        <v>5.0497043161933917</v>
      </c>
      <c r="G1423" s="232">
        <v>9485.25</v>
      </c>
      <c r="H1423" s="35">
        <v>8.4591610917926143</v>
      </c>
      <c r="I1423" s="232">
        <v>10286.75</v>
      </c>
      <c r="J1423" s="35">
        <v>6.7167970282190179</v>
      </c>
      <c r="K1423" s="232">
        <v>12424.64</v>
      </c>
      <c r="L1423" s="35">
        <v>8.3519893991352685</v>
      </c>
      <c r="M1423" s="232">
        <v>38415.279999999999</v>
      </c>
      <c r="N1423" s="35">
        <v>7.2692453269292221</v>
      </c>
      <c r="P1423" s="232">
        <v>-17.89</v>
      </c>
      <c r="Q1423" s="35">
        <v>8.8050020063255019E-3</v>
      </c>
      <c r="R1423" s="232">
        <v>801.51</v>
      </c>
      <c r="S1423" s="35">
        <v>1.7423640635735964</v>
      </c>
      <c r="T1423" s="232">
        <v>25990.639999999999</v>
      </c>
      <c r="U1423" s="35">
        <v>1.0827440722060464</v>
      </c>
      <c r="W1423" s="35">
        <f t="shared" si="139"/>
        <v>458.1401003162751</v>
      </c>
      <c r="X1423" s="35">
        <f t="shared" si="140"/>
        <v>86316.693178679823</v>
      </c>
      <c r="Y1423" s="35">
        <f t="shared" si="141"/>
        <v>28146.563610302321</v>
      </c>
      <c r="Z1423" s="35">
        <f t="shared" si="142"/>
        <v>0</v>
      </c>
      <c r="AA1423" s="35">
        <f t="shared" si="143"/>
        <v>1</v>
      </c>
      <c r="AB1423" s="35">
        <f t="shared" si="144"/>
        <v>0</v>
      </c>
    </row>
    <row r="1424" spans="1:28">
      <c r="A1424" s="35">
        <v>1413</v>
      </c>
      <c r="B1424" s="35">
        <v>4.0464247169264017E-4</v>
      </c>
      <c r="C1424" s="232">
        <v>49.26</v>
      </c>
      <c r="D1424" s="35">
        <v>5.0573717497291826</v>
      </c>
      <c r="E1424" s="232">
        <v>30.08</v>
      </c>
      <c r="F1424" s="35">
        <v>5.0483544692949804</v>
      </c>
      <c r="G1424" s="232">
        <v>9409.2199999999993</v>
      </c>
      <c r="H1424" s="35">
        <v>8.3162041888045479</v>
      </c>
      <c r="I1424" s="232">
        <v>10312.75</v>
      </c>
      <c r="J1424" s="35">
        <v>6.4755486858849816</v>
      </c>
      <c r="K1424" s="232">
        <v>10869.38</v>
      </c>
      <c r="L1424" s="35">
        <v>8.5069107849936874</v>
      </c>
      <c r="M1424" s="232">
        <v>36626.870000000003</v>
      </c>
      <c r="N1424" s="35">
        <v>7.4522827314011097</v>
      </c>
      <c r="P1424" s="232">
        <v>-19.170000000000002</v>
      </c>
      <c r="Q1424" s="35">
        <v>9.0172804342021351E-3</v>
      </c>
      <c r="R1424" s="232">
        <v>903.54</v>
      </c>
      <c r="S1424" s="35">
        <v>1.8406555029195664</v>
      </c>
      <c r="T1424" s="232">
        <v>25757.49</v>
      </c>
      <c r="U1424" s="35">
        <v>1.0546280535925776</v>
      </c>
      <c r="W1424" s="35">
        <f t="shared" si="139"/>
        <v>470.03402171010674</v>
      </c>
      <c r="X1424" s="35">
        <f t="shared" si="140"/>
        <v>91129.235145978324</v>
      </c>
      <c r="Y1424" s="35">
        <f t="shared" si="141"/>
        <v>26973.91267962888</v>
      </c>
      <c r="Z1424" s="35">
        <f t="shared" si="142"/>
        <v>0</v>
      </c>
      <c r="AA1424" s="35">
        <f t="shared" si="143"/>
        <v>1</v>
      </c>
      <c r="AB1424" s="35">
        <f t="shared" si="144"/>
        <v>0</v>
      </c>
    </row>
    <row r="1425" spans="1:28">
      <c r="A1425" s="35">
        <v>1414</v>
      </c>
      <c r="B1425" s="35">
        <v>4.2273429009584293E-4</v>
      </c>
      <c r="C1425" s="232">
        <v>53.13</v>
      </c>
      <c r="D1425" s="35">
        <v>5.0611050184897675</v>
      </c>
      <c r="E1425" s="232">
        <v>36.21</v>
      </c>
      <c r="F1425" s="35">
        <v>5.0521235229660464</v>
      </c>
      <c r="G1425" s="232">
        <v>9686.33</v>
      </c>
      <c r="H1425" s="35">
        <v>8.8561003960797038</v>
      </c>
      <c r="I1425" s="232">
        <v>11210.42</v>
      </c>
      <c r="J1425" s="35">
        <v>7.8556411479203909</v>
      </c>
      <c r="K1425" s="232">
        <v>11915.79</v>
      </c>
      <c r="L1425" s="35">
        <v>9.0687021126330478</v>
      </c>
      <c r="M1425" s="232">
        <v>37968.910000000003</v>
      </c>
      <c r="N1425" s="35">
        <v>7.9895152093452184</v>
      </c>
      <c r="P1425" s="232">
        <v>-16.920000000000002</v>
      </c>
      <c r="Q1425" s="35">
        <v>8.9814955237210725E-3</v>
      </c>
      <c r="R1425" s="232">
        <v>1524.09</v>
      </c>
      <c r="S1425" s="35">
        <v>1.0004592481593129</v>
      </c>
      <c r="T1425" s="232">
        <v>26053.11</v>
      </c>
      <c r="U1425" s="35">
        <v>1.0791869032878294</v>
      </c>
      <c r="W1425" s="35">
        <f t="shared" si="139"/>
        <v>465.99477618605363</v>
      </c>
      <c r="X1425" s="35">
        <f t="shared" si="140"/>
        <v>48498.872407965646</v>
      </c>
      <c r="Y1425" s="35">
        <f t="shared" si="141"/>
        <v>27906.235164391466</v>
      </c>
      <c r="Z1425" s="35">
        <f t="shared" si="142"/>
        <v>0</v>
      </c>
      <c r="AA1425" s="35">
        <f t="shared" si="143"/>
        <v>1</v>
      </c>
      <c r="AB1425" s="35">
        <f t="shared" si="144"/>
        <v>0</v>
      </c>
    </row>
    <row r="1426" spans="1:28">
      <c r="A1426" s="35">
        <v>1415</v>
      </c>
      <c r="B1426" s="35">
        <v>5.4564386592392822E-4</v>
      </c>
      <c r="C1426" s="232">
        <v>88.34</v>
      </c>
      <c r="D1426" s="35">
        <v>5.0673667677794931</v>
      </c>
      <c r="E1426" s="232">
        <v>55.7</v>
      </c>
      <c r="F1426" s="35">
        <v>5.0552673074429766</v>
      </c>
      <c r="G1426" s="232">
        <v>12544.41</v>
      </c>
      <c r="H1426" s="35">
        <v>8.9673204106867548</v>
      </c>
      <c r="I1426" s="232">
        <v>12884.37</v>
      </c>
      <c r="J1426" s="35">
        <v>7.4329893617355118</v>
      </c>
      <c r="K1426" s="232">
        <v>16554.810000000001</v>
      </c>
      <c r="L1426" s="35">
        <v>8.5849111297630625</v>
      </c>
      <c r="M1426" s="232">
        <v>42742.02</v>
      </c>
      <c r="N1426" s="35">
        <v>7.4696591282130633</v>
      </c>
      <c r="P1426" s="232">
        <v>-32.630000000000003</v>
      </c>
      <c r="Q1426" s="35">
        <v>1.2099460336516543E-2</v>
      </c>
      <c r="R1426" s="232">
        <v>339.96</v>
      </c>
      <c r="S1426" s="35">
        <v>1.5343310489512429</v>
      </c>
      <c r="T1426" s="232">
        <v>26187.21</v>
      </c>
      <c r="U1426" s="35">
        <v>1.1152520015499992</v>
      </c>
      <c r="W1426" s="35">
        <f t="shared" si="139"/>
        <v>637.60301682582713</v>
      </c>
      <c r="X1426" s="35">
        <f t="shared" si="140"/>
        <v>76376.592447562143</v>
      </c>
      <c r="Y1426" s="35">
        <f t="shared" si="141"/>
        <v>29575.390077499957</v>
      </c>
      <c r="Z1426" s="35">
        <f t="shared" si="142"/>
        <v>0</v>
      </c>
      <c r="AA1426" s="35">
        <f t="shared" si="143"/>
        <v>1</v>
      </c>
      <c r="AB1426" s="35">
        <f t="shared" si="144"/>
        <v>0</v>
      </c>
    </row>
    <row r="1427" spans="1:28">
      <c r="A1427" s="35">
        <v>1416</v>
      </c>
      <c r="B1427" s="35">
        <v>3.5939998535671386E-4</v>
      </c>
      <c r="C1427" s="232">
        <v>70.3</v>
      </c>
      <c r="D1427" s="35">
        <v>5.0573418349811678</v>
      </c>
      <c r="E1427" s="232">
        <v>40.19</v>
      </c>
      <c r="F1427" s="35">
        <v>5.0480116726314872</v>
      </c>
      <c r="G1427" s="232">
        <v>14863.91</v>
      </c>
      <c r="H1427" s="35">
        <v>8.9514680526028041</v>
      </c>
      <c r="I1427" s="232">
        <v>13479.13</v>
      </c>
      <c r="J1427" s="35">
        <v>7.1725731796761254</v>
      </c>
      <c r="K1427" s="232">
        <v>22167.68</v>
      </c>
      <c r="L1427" s="35">
        <v>8.8500204603820727</v>
      </c>
      <c r="M1427" s="232">
        <v>48724.95</v>
      </c>
      <c r="N1427" s="35">
        <v>7.7457478025154325</v>
      </c>
      <c r="P1427" s="232">
        <v>-30.11</v>
      </c>
      <c r="Q1427" s="35">
        <v>9.3301623496806485E-3</v>
      </c>
      <c r="R1427" s="232">
        <v>-1384.78</v>
      </c>
      <c r="S1427" s="35">
        <v>1.7788948729266787</v>
      </c>
      <c r="T1427" s="232">
        <v>26557.27</v>
      </c>
      <c r="U1427" s="35">
        <v>1.1042726578666402</v>
      </c>
      <c r="W1427" s="35">
        <f t="shared" si="139"/>
        <v>496.61811748403244</v>
      </c>
      <c r="X1427" s="35">
        <f t="shared" si="140"/>
        <v>90329.523646333939</v>
      </c>
      <c r="Y1427" s="35">
        <f t="shared" si="141"/>
        <v>28656.362893332011</v>
      </c>
      <c r="Z1427" s="35">
        <f t="shared" si="142"/>
        <v>0</v>
      </c>
      <c r="AA1427" s="35">
        <f t="shared" si="143"/>
        <v>1</v>
      </c>
      <c r="AB1427" s="35">
        <f t="shared" si="144"/>
        <v>0</v>
      </c>
    </row>
    <row r="1428" spans="1:28">
      <c r="A1428" s="35">
        <v>1417</v>
      </c>
      <c r="B1428" s="35">
        <v>4.9476057930009087E-4</v>
      </c>
      <c r="C1428" s="232">
        <v>72.849999999999994</v>
      </c>
      <c r="D1428" s="35">
        <v>5.0636794958220701</v>
      </c>
      <c r="E1428" s="232">
        <v>43.76</v>
      </c>
      <c r="F1428" s="35">
        <v>5.0520973143690604</v>
      </c>
      <c r="G1428" s="232">
        <v>11713.75</v>
      </c>
      <c r="H1428" s="35">
        <v>8.7020521550486762</v>
      </c>
      <c r="I1428" s="232">
        <v>12083.6</v>
      </c>
      <c r="J1428" s="35">
        <v>6.5800908699224374</v>
      </c>
      <c r="K1428" s="232">
        <v>15208</v>
      </c>
      <c r="L1428" s="35">
        <v>8.4713302565465565</v>
      </c>
      <c r="M1428" s="232">
        <v>41470.050000000003</v>
      </c>
      <c r="N1428" s="35">
        <v>7.2654422407233001</v>
      </c>
      <c r="P1428" s="232">
        <v>-29.09</v>
      </c>
      <c r="Q1428" s="35">
        <v>1.158218145300971E-2</v>
      </c>
      <c r="R1428" s="232">
        <v>369.85</v>
      </c>
      <c r="S1428" s="35">
        <v>2.1219612851262388</v>
      </c>
      <c r="T1428" s="232">
        <v>26262.05</v>
      </c>
      <c r="U1428" s="35">
        <v>1.2058880158232563</v>
      </c>
      <c r="W1428" s="35">
        <f t="shared" si="139"/>
        <v>608.1990726504855</v>
      </c>
      <c r="X1428" s="35">
        <f t="shared" si="140"/>
        <v>105728.21425631194</v>
      </c>
      <c r="Y1428" s="35">
        <f t="shared" si="141"/>
        <v>34032.350791162811</v>
      </c>
      <c r="Z1428" s="35">
        <f t="shared" si="142"/>
        <v>0</v>
      </c>
      <c r="AA1428" s="35">
        <f t="shared" si="143"/>
        <v>1</v>
      </c>
      <c r="AB1428" s="35">
        <f t="shared" si="144"/>
        <v>0</v>
      </c>
    </row>
    <row r="1429" spans="1:28">
      <c r="A1429" s="35">
        <v>1418</v>
      </c>
      <c r="B1429" s="35">
        <v>4.7280308483477196E-4</v>
      </c>
      <c r="C1429" s="232">
        <v>81.8</v>
      </c>
      <c r="D1429" s="35">
        <v>5.0619217061252568</v>
      </c>
      <c r="E1429" s="232">
        <v>48.72</v>
      </c>
      <c r="F1429" s="35">
        <v>5.0511384249479407</v>
      </c>
      <c r="G1429" s="232">
        <v>12641.92</v>
      </c>
      <c r="H1429" s="35">
        <v>8.3325950591674118</v>
      </c>
      <c r="I1429" s="232">
        <v>12678.11</v>
      </c>
      <c r="J1429" s="35">
        <v>6.9952967178393379</v>
      </c>
      <c r="K1429" s="232">
        <v>18906.310000000001</v>
      </c>
      <c r="L1429" s="35">
        <v>9.0227853723939813</v>
      </c>
      <c r="M1429" s="232">
        <v>45261.29</v>
      </c>
      <c r="N1429" s="35">
        <v>7.8664724766400278</v>
      </c>
      <c r="P1429" s="232">
        <v>-33.090000000000003</v>
      </c>
      <c r="Q1429" s="35">
        <v>1.0783281177316084E-2</v>
      </c>
      <c r="R1429" s="232">
        <v>36.200000000000003</v>
      </c>
      <c r="S1429" s="35">
        <v>1.3372983413280739</v>
      </c>
      <c r="T1429" s="232">
        <v>26354.99</v>
      </c>
      <c r="U1429" s="35">
        <v>1.1563128957539535</v>
      </c>
      <c r="W1429" s="35">
        <f t="shared" si="139"/>
        <v>572.25405886580427</v>
      </c>
      <c r="X1429" s="35">
        <f t="shared" si="140"/>
        <v>66828.717066403697</v>
      </c>
      <c r="Y1429" s="35">
        <f t="shared" si="141"/>
        <v>31460.654787697673</v>
      </c>
      <c r="Z1429" s="35">
        <f t="shared" si="142"/>
        <v>0</v>
      </c>
      <c r="AA1429" s="35">
        <f t="shared" si="143"/>
        <v>1</v>
      </c>
      <c r="AB1429" s="35">
        <f t="shared" si="144"/>
        <v>0</v>
      </c>
    </row>
    <row r="1430" spans="1:28">
      <c r="A1430" s="35">
        <v>1419</v>
      </c>
      <c r="B1430" s="35">
        <v>3.7715251981929694E-4</v>
      </c>
      <c r="C1430" s="232">
        <v>63.89</v>
      </c>
      <c r="D1430" s="35">
        <v>5.0570487440642484</v>
      </c>
      <c r="E1430" s="232">
        <v>43.08</v>
      </c>
      <c r="F1430" s="35">
        <v>5.0497207922560641</v>
      </c>
      <c r="G1430" s="232">
        <v>12999.15</v>
      </c>
      <c r="H1430" s="35">
        <v>8.54306930075564</v>
      </c>
      <c r="I1430" s="232">
        <v>13083.53</v>
      </c>
      <c r="J1430" s="35">
        <v>6.9754880621029089</v>
      </c>
      <c r="K1430" s="232">
        <v>17873.310000000001</v>
      </c>
      <c r="L1430" s="35">
        <v>8.4814668733391745</v>
      </c>
      <c r="M1430" s="232">
        <v>44044.13</v>
      </c>
      <c r="N1430" s="35">
        <v>7.408025535806928</v>
      </c>
      <c r="P1430" s="232">
        <v>-20.81</v>
      </c>
      <c r="Q1430" s="35">
        <v>7.327951808184352E-3</v>
      </c>
      <c r="R1430" s="232">
        <v>84.38</v>
      </c>
      <c r="S1430" s="35">
        <v>1.567581238652731</v>
      </c>
      <c r="T1430" s="232">
        <v>26170.82</v>
      </c>
      <c r="U1430" s="35">
        <v>1.0734413375322465</v>
      </c>
      <c r="W1430" s="35">
        <f t="shared" si="139"/>
        <v>387.20759040921763</v>
      </c>
      <c r="X1430" s="35">
        <f t="shared" si="140"/>
        <v>78294.681932636551</v>
      </c>
      <c r="Y1430" s="35">
        <f t="shared" si="141"/>
        <v>27501.24687661232</v>
      </c>
      <c r="Z1430" s="35">
        <f t="shared" si="142"/>
        <v>0</v>
      </c>
      <c r="AA1430" s="35">
        <f t="shared" si="143"/>
        <v>1</v>
      </c>
      <c r="AB1430" s="35">
        <f t="shared" si="144"/>
        <v>0</v>
      </c>
    </row>
    <row r="1431" spans="1:28">
      <c r="A1431" s="35">
        <v>1420</v>
      </c>
      <c r="B1431" s="35">
        <v>4.1872560928212567E-4</v>
      </c>
      <c r="C1431" s="232">
        <v>68.569999999999993</v>
      </c>
      <c r="D1431" s="35">
        <v>5.0574644151129604</v>
      </c>
      <c r="E1431" s="232">
        <v>42.77</v>
      </c>
      <c r="F1431" s="35">
        <v>5.0490673334430234</v>
      </c>
      <c r="G1431" s="232">
        <v>12013.32</v>
      </c>
      <c r="H1431" s="35">
        <v>8.198821461606153</v>
      </c>
      <c r="I1431" s="232">
        <v>12073.2</v>
      </c>
      <c r="J1431" s="35">
        <v>7.0100674395932634</v>
      </c>
      <c r="K1431" s="232">
        <v>18005.23</v>
      </c>
      <c r="L1431" s="35">
        <v>8.2164038973726665</v>
      </c>
      <c r="M1431" s="232">
        <v>44385.34</v>
      </c>
      <c r="N1431" s="35">
        <v>7.0734884260004343</v>
      </c>
      <c r="P1431" s="232">
        <v>-25.8</v>
      </c>
      <c r="Q1431" s="35">
        <v>8.3970816699370232E-3</v>
      </c>
      <c r="R1431" s="232">
        <v>59.87</v>
      </c>
      <c r="S1431" s="35">
        <v>1.1887540220128896</v>
      </c>
      <c r="T1431" s="232">
        <v>26380.11</v>
      </c>
      <c r="U1431" s="35">
        <v>1.1429154713722323</v>
      </c>
      <c r="W1431" s="35">
        <f t="shared" si="139"/>
        <v>445.65408349685117</v>
      </c>
      <c r="X1431" s="35">
        <f t="shared" si="140"/>
        <v>59377.831100644478</v>
      </c>
      <c r="Y1431" s="35">
        <f t="shared" si="141"/>
        <v>30765.663568611613</v>
      </c>
      <c r="Z1431" s="35">
        <f t="shared" si="142"/>
        <v>0</v>
      </c>
      <c r="AA1431" s="35">
        <f t="shared" si="143"/>
        <v>1</v>
      </c>
      <c r="AB1431" s="35">
        <f t="shared" si="144"/>
        <v>0</v>
      </c>
    </row>
    <row r="1432" spans="1:28">
      <c r="A1432" s="35">
        <v>1421</v>
      </c>
      <c r="B1432" s="35">
        <v>5.6669453341295917E-4</v>
      </c>
      <c r="C1432" s="232">
        <v>101.9</v>
      </c>
      <c r="D1432" s="35">
        <v>5.0668887418909341</v>
      </c>
      <c r="E1432" s="232">
        <v>59.93</v>
      </c>
      <c r="F1432" s="35">
        <v>5.0539137165644945</v>
      </c>
      <c r="G1432" s="232">
        <v>13840.37</v>
      </c>
      <c r="H1432" s="35">
        <v>8.5627739464558505</v>
      </c>
      <c r="I1432" s="232">
        <v>14202.68</v>
      </c>
      <c r="J1432" s="35">
        <v>7.1901488551960133</v>
      </c>
      <c r="K1432" s="232">
        <v>18425.509999999998</v>
      </c>
      <c r="L1432" s="35">
        <v>8.8247769788787416</v>
      </c>
      <c r="M1432" s="232">
        <v>44621.36</v>
      </c>
      <c r="N1432" s="35">
        <v>7.825208638066341</v>
      </c>
      <c r="P1432" s="232">
        <v>-41.98</v>
      </c>
      <c r="Q1432" s="35">
        <v>1.2975025326439571E-2</v>
      </c>
      <c r="R1432" s="232">
        <v>362.31</v>
      </c>
      <c r="S1432" s="35">
        <v>1.3726250912598372</v>
      </c>
      <c r="T1432" s="232">
        <v>26195.85</v>
      </c>
      <c r="U1432" s="35">
        <v>0.99956834081240054</v>
      </c>
      <c r="W1432" s="35">
        <f t="shared" si="139"/>
        <v>690.73126632197852</v>
      </c>
      <c r="X1432" s="35">
        <f t="shared" si="140"/>
        <v>68268.944562991863</v>
      </c>
      <c r="Y1432" s="35">
        <f t="shared" si="141"/>
        <v>23782.56704062003</v>
      </c>
      <c r="Z1432" s="35">
        <f t="shared" si="142"/>
        <v>0</v>
      </c>
      <c r="AA1432" s="35">
        <f t="shared" si="143"/>
        <v>1</v>
      </c>
      <c r="AB1432" s="35">
        <f t="shared" si="144"/>
        <v>0</v>
      </c>
    </row>
    <row r="1433" spans="1:28">
      <c r="A1433" s="35">
        <v>1422</v>
      </c>
      <c r="B1433" s="35">
        <v>5.1609830910070986E-4</v>
      </c>
      <c r="C1433" s="232">
        <v>77.86</v>
      </c>
      <c r="D1433" s="35">
        <v>5.0639594859306944</v>
      </c>
      <c r="E1433" s="232">
        <v>44.41</v>
      </c>
      <c r="F1433" s="35">
        <v>5.0515461638320129</v>
      </c>
      <c r="G1433" s="232">
        <v>12668.51</v>
      </c>
      <c r="H1433" s="35">
        <v>8.7645282532753512</v>
      </c>
      <c r="I1433" s="232">
        <v>14493.76</v>
      </c>
      <c r="J1433" s="35">
        <v>6.9221912304354696</v>
      </c>
      <c r="K1433" s="232">
        <v>13470.95</v>
      </c>
      <c r="L1433" s="35">
        <v>8.2441965557979824</v>
      </c>
      <c r="M1433" s="232">
        <v>39448.04</v>
      </c>
      <c r="N1433" s="35">
        <v>7.1476186628471448</v>
      </c>
      <c r="P1433" s="232">
        <v>-33.450000000000003</v>
      </c>
      <c r="Q1433" s="35">
        <v>1.2413322098681512E-2</v>
      </c>
      <c r="R1433" s="232">
        <v>1825.25</v>
      </c>
      <c r="S1433" s="35">
        <v>1.8423370228398817</v>
      </c>
      <c r="T1433" s="232">
        <v>25977.09</v>
      </c>
      <c r="U1433" s="35">
        <v>1.0965778929508376</v>
      </c>
      <c r="W1433" s="35">
        <f t="shared" si="139"/>
        <v>654.11610493407568</v>
      </c>
      <c r="X1433" s="35">
        <f t="shared" si="140"/>
        <v>90291.601141994077</v>
      </c>
      <c r="Y1433" s="35">
        <f t="shared" si="141"/>
        <v>28851.804647541878</v>
      </c>
      <c r="Z1433" s="35">
        <f t="shared" si="142"/>
        <v>0</v>
      </c>
      <c r="AA1433" s="35">
        <f t="shared" si="143"/>
        <v>1</v>
      </c>
      <c r="AB1433" s="35">
        <f t="shared" si="144"/>
        <v>0</v>
      </c>
    </row>
    <row r="1434" spans="1:28">
      <c r="A1434" s="35">
        <v>1423</v>
      </c>
      <c r="B1434" s="35">
        <v>6.4767489153838564E-4</v>
      </c>
      <c r="C1434" s="232">
        <v>101.93</v>
      </c>
      <c r="D1434" s="35">
        <v>5.0688005401489615</v>
      </c>
      <c r="E1434" s="232">
        <v>57.23</v>
      </c>
      <c r="F1434" s="35">
        <v>5.0541476806032657</v>
      </c>
      <c r="G1434" s="232">
        <v>11582.31</v>
      </c>
      <c r="H1434" s="35">
        <v>8.3437790209447975</v>
      </c>
      <c r="I1434" s="232">
        <v>11553.91</v>
      </c>
      <c r="J1434" s="35">
        <v>6.9546431598977128</v>
      </c>
      <c r="K1434" s="232">
        <v>15796.33</v>
      </c>
      <c r="L1434" s="35">
        <v>8.4881106427901294</v>
      </c>
      <c r="M1434" s="232">
        <v>41850.550000000003</v>
      </c>
      <c r="N1434" s="35">
        <v>7.4746124731685049</v>
      </c>
      <c r="P1434" s="232">
        <v>-44.7</v>
      </c>
      <c r="Q1434" s="35">
        <v>1.465285954569584E-2</v>
      </c>
      <c r="R1434" s="232">
        <v>-28.4</v>
      </c>
      <c r="S1434" s="35">
        <v>1.3891358610470848</v>
      </c>
      <c r="T1434" s="232">
        <v>26054.22</v>
      </c>
      <c r="U1434" s="35">
        <v>1.0134981696216245</v>
      </c>
      <c r="W1434" s="35">
        <f t="shared" si="139"/>
        <v>777.34297728479203</v>
      </c>
      <c r="X1434" s="35">
        <f t="shared" si="140"/>
        <v>69485.193052354225</v>
      </c>
      <c r="Y1434" s="35">
        <f t="shared" si="141"/>
        <v>24620.688481081226</v>
      </c>
      <c r="Z1434" s="35">
        <f t="shared" si="142"/>
        <v>0</v>
      </c>
      <c r="AA1434" s="35">
        <f t="shared" si="143"/>
        <v>1</v>
      </c>
      <c r="AB1434" s="35">
        <f t="shared" si="144"/>
        <v>0</v>
      </c>
    </row>
    <row r="1435" spans="1:28">
      <c r="A1435" s="35">
        <v>1424</v>
      </c>
      <c r="B1435" s="35">
        <v>5.0630046680821827E-4</v>
      </c>
      <c r="C1435" s="232">
        <v>84.71</v>
      </c>
      <c r="D1435" s="35">
        <v>5.0624109963910398</v>
      </c>
      <c r="E1435" s="232">
        <v>56.51</v>
      </c>
      <c r="F1435" s="35">
        <v>5.0531975301674628</v>
      </c>
      <c r="G1435" s="232">
        <v>12609.45</v>
      </c>
      <c r="H1435" s="35">
        <v>8.2362298390120028</v>
      </c>
      <c r="I1435" s="232">
        <v>12668.33</v>
      </c>
      <c r="J1435" s="35">
        <v>6.5274921672770354</v>
      </c>
      <c r="K1435" s="232">
        <v>16623.96</v>
      </c>
      <c r="L1435" s="35">
        <v>8.5007498601351763</v>
      </c>
      <c r="M1435" s="232">
        <v>42883.88</v>
      </c>
      <c r="N1435" s="35">
        <v>7.4273301260724898</v>
      </c>
      <c r="P1435" s="232">
        <v>-28.2</v>
      </c>
      <c r="Q1435" s="35">
        <v>9.2134662235769937E-3</v>
      </c>
      <c r="R1435" s="232">
        <v>58.88</v>
      </c>
      <c r="S1435" s="35">
        <v>1.7087376717349674</v>
      </c>
      <c r="T1435" s="232">
        <v>26259.919999999998</v>
      </c>
      <c r="U1435" s="35">
        <v>1.0734197340626865</v>
      </c>
      <c r="W1435" s="35">
        <f t="shared" si="139"/>
        <v>488.87331117884969</v>
      </c>
      <c r="X1435" s="35">
        <f t="shared" si="140"/>
        <v>85378.003586748368</v>
      </c>
      <c r="Y1435" s="35">
        <f t="shared" si="141"/>
        <v>27411.066703134326</v>
      </c>
      <c r="Z1435" s="35">
        <f t="shared" si="142"/>
        <v>0</v>
      </c>
      <c r="AA1435" s="35">
        <f t="shared" si="143"/>
        <v>1</v>
      </c>
      <c r="AB1435" s="35">
        <f t="shared" si="144"/>
        <v>0</v>
      </c>
    </row>
    <row r="1436" spans="1:28">
      <c r="A1436" s="35">
        <v>1425</v>
      </c>
      <c r="B1436" s="35">
        <v>4.625705227657706E-4</v>
      </c>
      <c r="C1436" s="232">
        <v>76.790000000000006</v>
      </c>
      <c r="D1436" s="35">
        <v>5.0623556078454754</v>
      </c>
      <c r="E1436" s="232">
        <v>51.68</v>
      </c>
      <c r="F1436" s="35">
        <v>5.0532004754570492</v>
      </c>
      <c r="G1436" s="232">
        <v>12574.54</v>
      </c>
      <c r="H1436" s="35">
        <v>8.8266839811735167</v>
      </c>
      <c r="I1436" s="232">
        <v>12958.29</v>
      </c>
      <c r="J1436" s="35">
        <v>7.581046001597838</v>
      </c>
      <c r="K1436" s="232">
        <v>17348.95</v>
      </c>
      <c r="L1436" s="35">
        <v>8.5981065816586515</v>
      </c>
      <c r="M1436" s="232">
        <v>43458.47</v>
      </c>
      <c r="N1436" s="35">
        <v>7.4825696058712854</v>
      </c>
      <c r="P1436" s="232">
        <v>-25.11</v>
      </c>
      <c r="Q1436" s="35">
        <v>9.1551323884262459E-3</v>
      </c>
      <c r="R1436" s="232">
        <v>383.75</v>
      </c>
      <c r="S1436" s="35">
        <v>1.2456379795756787</v>
      </c>
      <c r="T1436" s="232">
        <v>26109.52</v>
      </c>
      <c r="U1436" s="35">
        <v>1.1155369757873661</v>
      </c>
      <c r="W1436" s="35">
        <f t="shared" si="139"/>
        <v>482.86661942131229</v>
      </c>
      <c r="X1436" s="35">
        <f t="shared" si="140"/>
        <v>61898.148978783931</v>
      </c>
      <c r="Y1436" s="35">
        <f t="shared" si="141"/>
        <v>29667.328789368305</v>
      </c>
      <c r="Z1436" s="35">
        <f t="shared" si="142"/>
        <v>0</v>
      </c>
      <c r="AA1436" s="35">
        <f t="shared" si="143"/>
        <v>1</v>
      </c>
      <c r="AB1436" s="35">
        <f t="shared" si="144"/>
        <v>0</v>
      </c>
    </row>
    <row r="1437" spans="1:28">
      <c r="A1437" s="35">
        <v>1426</v>
      </c>
      <c r="B1437" s="35">
        <v>4.2124789229236285E-4</v>
      </c>
      <c r="C1437" s="232">
        <v>55.26</v>
      </c>
      <c r="D1437" s="35">
        <v>5.0597920097847586</v>
      </c>
      <c r="E1437" s="232">
        <v>35.71</v>
      </c>
      <c r="F1437" s="35">
        <v>5.0506066450764173</v>
      </c>
      <c r="G1437" s="232">
        <v>10477.969999999999</v>
      </c>
      <c r="H1437" s="35">
        <v>8.7227859681379805</v>
      </c>
      <c r="I1437" s="232">
        <v>12791.64</v>
      </c>
      <c r="J1437" s="35">
        <v>8.9348760352507046</v>
      </c>
      <c r="K1437" s="232">
        <v>11396.12</v>
      </c>
      <c r="L1437" s="35">
        <v>8.478371998288555</v>
      </c>
      <c r="M1437" s="232">
        <v>37264.629999999997</v>
      </c>
      <c r="N1437" s="35">
        <v>7.3996534193780654</v>
      </c>
      <c r="P1437" s="232">
        <v>-19.54</v>
      </c>
      <c r="Q1437" s="35">
        <v>9.1853647083413037E-3</v>
      </c>
      <c r="R1437" s="232">
        <v>2313.67</v>
      </c>
      <c r="S1437" s="35">
        <v>-0.21209006711272416</v>
      </c>
      <c r="T1437" s="232">
        <v>25868.5</v>
      </c>
      <c r="U1437" s="35">
        <v>1.0787185789104896</v>
      </c>
      <c r="W1437" s="35">
        <f t="shared" si="139"/>
        <v>478.80823541706519</v>
      </c>
      <c r="X1437" s="35">
        <f t="shared" si="140"/>
        <v>-12918.173355636209</v>
      </c>
      <c r="Y1437" s="35">
        <f t="shared" si="141"/>
        <v>28067.42894552448</v>
      </c>
      <c r="Z1437" s="35">
        <f t="shared" si="142"/>
        <v>0</v>
      </c>
      <c r="AA1437" s="35">
        <f t="shared" si="143"/>
        <v>0</v>
      </c>
      <c r="AB1437" s="35">
        <f t="shared" si="144"/>
        <v>1</v>
      </c>
    </row>
    <row r="1438" spans="1:28">
      <c r="A1438" s="35">
        <v>1427</v>
      </c>
      <c r="B1438" s="35">
        <v>5.2440586064383954E-4</v>
      </c>
      <c r="C1438" s="232">
        <v>89.77</v>
      </c>
      <c r="D1438" s="35">
        <v>5.0629043726631844</v>
      </c>
      <c r="E1438" s="232">
        <v>60.82</v>
      </c>
      <c r="F1438" s="35">
        <v>5.053826158858211</v>
      </c>
      <c r="G1438" s="232">
        <v>13372.05</v>
      </c>
      <c r="H1438" s="35">
        <v>8.2514881104300777</v>
      </c>
      <c r="I1438" s="232">
        <v>14529.09</v>
      </c>
      <c r="J1438" s="35">
        <v>7.2841188459926824</v>
      </c>
      <c r="K1438" s="232">
        <v>17550.599999999999</v>
      </c>
      <c r="L1438" s="35">
        <v>8.3116907414401826</v>
      </c>
      <c r="M1438" s="232">
        <v>43747.25</v>
      </c>
      <c r="N1438" s="35">
        <v>7.2515007062022523</v>
      </c>
      <c r="P1438" s="232">
        <v>-28.95</v>
      </c>
      <c r="Q1438" s="35">
        <v>9.0782138049734229E-3</v>
      </c>
      <c r="R1438" s="232">
        <v>1157.04</v>
      </c>
      <c r="S1438" s="35">
        <v>0.96736926443739524</v>
      </c>
      <c r="T1438" s="232">
        <v>26196.639999999999</v>
      </c>
      <c r="U1438" s="35">
        <v>1.0601900352379303</v>
      </c>
      <c r="W1438" s="35">
        <f t="shared" si="139"/>
        <v>482.86069024867112</v>
      </c>
      <c r="X1438" s="35">
        <f t="shared" si="140"/>
        <v>47211.423221869758</v>
      </c>
      <c r="Y1438" s="35">
        <f t="shared" si="141"/>
        <v>26812.861761896515</v>
      </c>
      <c r="Z1438" s="35">
        <f t="shared" si="142"/>
        <v>0</v>
      </c>
      <c r="AA1438" s="35">
        <f t="shared" si="143"/>
        <v>1</v>
      </c>
      <c r="AB1438" s="35">
        <f t="shared" si="144"/>
        <v>0</v>
      </c>
    </row>
    <row r="1439" spans="1:28">
      <c r="A1439" s="35">
        <v>1428</v>
      </c>
      <c r="B1439" s="35">
        <v>3.8946209023104424E-4</v>
      </c>
      <c r="C1439" s="232">
        <v>59.97</v>
      </c>
      <c r="D1439" s="35">
        <v>5.0596945665601805</v>
      </c>
      <c r="E1439" s="232">
        <v>37.28</v>
      </c>
      <c r="F1439" s="35">
        <v>5.050124505064935</v>
      </c>
      <c r="G1439" s="232">
        <v>12583.09</v>
      </c>
      <c r="H1439" s="35">
        <v>9.2455497209032576</v>
      </c>
      <c r="I1439" s="232">
        <v>14323.63</v>
      </c>
      <c r="J1439" s="35">
        <v>7.9162354264080532</v>
      </c>
      <c r="K1439" s="232">
        <v>13539.29</v>
      </c>
      <c r="L1439" s="35">
        <v>8.7634507511081665</v>
      </c>
      <c r="M1439" s="232">
        <v>39565.51</v>
      </c>
      <c r="N1439" s="35">
        <v>7.7421599331290913</v>
      </c>
      <c r="P1439" s="232">
        <v>-22.7</v>
      </c>
      <c r="Q1439" s="35">
        <v>9.5700614952454188E-3</v>
      </c>
      <c r="R1439" s="232">
        <v>1740.55</v>
      </c>
      <c r="S1439" s="35">
        <v>1.3293142944952043</v>
      </c>
      <c r="T1439" s="232">
        <v>26026.22</v>
      </c>
      <c r="U1439" s="35">
        <v>1.0212908179790752</v>
      </c>
      <c r="W1439" s="35">
        <f t="shared" si="139"/>
        <v>501.20307476227094</v>
      </c>
      <c r="X1439" s="35">
        <f t="shared" si="140"/>
        <v>64725.164724760209</v>
      </c>
      <c r="Y1439" s="35">
        <f t="shared" si="141"/>
        <v>25038.32089895376</v>
      </c>
      <c r="Z1439" s="35">
        <f t="shared" si="142"/>
        <v>0</v>
      </c>
      <c r="AA1439" s="35">
        <f t="shared" si="143"/>
        <v>1</v>
      </c>
      <c r="AB1439" s="35">
        <f t="shared" si="144"/>
        <v>0</v>
      </c>
    </row>
    <row r="1440" spans="1:28">
      <c r="A1440" s="35">
        <v>1429</v>
      </c>
      <c r="B1440" s="35">
        <v>3.1890311131688284E-4</v>
      </c>
      <c r="C1440" s="232">
        <v>40.619999999999997</v>
      </c>
      <c r="D1440" s="35">
        <v>5.0543666624688068</v>
      </c>
      <c r="E1440" s="232">
        <v>26.97</v>
      </c>
      <c r="F1440" s="35">
        <v>5.0473586304684268</v>
      </c>
      <c r="G1440" s="232">
        <v>10105.719999999999</v>
      </c>
      <c r="H1440" s="35">
        <v>8.7548699255504836</v>
      </c>
      <c r="I1440" s="232">
        <v>11351.03</v>
      </c>
      <c r="J1440" s="35">
        <v>6.976602791299805</v>
      </c>
      <c r="K1440" s="232">
        <v>11149.45</v>
      </c>
      <c r="L1440" s="35">
        <v>8.5305171936709865</v>
      </c>
      <c r="M1440" s="232">
        <v>36907.72</v>
      </c>
      <c r="N1440" s="35">
        <v>7.4934067015680599</v>
      </c>
      <c r="P1440" s="232">
        <v>-13.65</v>
      </c>
      <c r="Q1440" s="35">
        <v>7.0080320003800267E-3</v>
      </c>
      <c r="R1440" s="232">
        <v>1245.31</v>
      </c>
      <c r="S1440" s="35">
        <v>1.7782671342506786</v>
      </c>
      <c r="T1440" s="232">
        <v>25758.28</v>
      </c>
      <c r="U1440" s="35">
        <v>1.0371104921029266</v>
      </c>
      <c r="W1440" s="35">
        <f t="shared" si="139"/>
        <v>364.05160001900128</v>
      </c>
      <c r="X1440" s="35">
        <f t="shared" si="140"/>
        <v>87668.046712533935</v>
      </c>
      <c r="Y1440" s="35">
        <f t="shared" si="141"/>
        <v>26097.244605146334</v>
      </c>
      <c r="Z1440" s="35">
        <f t="shared" si="142"/>
        <v>0</v>
      </c>
      <c r="AA1440" s="35">
        <f t="shared" si="143"/>
        <v>1</v>
      </c>
      <c r="AB1440" s="35">
        <f t="shared" si="144"/>
        <v>0</v>
      </c>
    </row>
    <row r="1441" spans="1:28">
      <c r="A1441" s="35">
        <v>1430</v>
      </c>
      <c r="B1441" s="35">
        <v>4.4603993018643706E-4</v>
      </c>
      <c r="C1441" s="232">
        <v>60.37</v>
      </c>
      <c r="D1441" s="35">
        <v>5.0635681413871811</v>
      </c>
      <c r="E1441" s="232">
        <v>43.3</v>
      </c>
      <c r="F1441" s="35">
        <v>5.0547608255885166</v>
      </c>
      <c r="G1441" s="232">
        <v>10593.82</v>
      </c>
      <c r="H1441" s="35">
        <v>9.2730506576869427</v>
      </c>
      <c r="I1441" s="232">
        <v>12375.72</v>
      </c>
      <c r="J1441" s="35">
        <v>8.6526730402428189</v>
      </c>
      <c r="K1441" s="232">
        <v>12840.67</v>
      </c>
      <c r="L1441" s="35">
        <v>8.8213960081240117</v>
      </c>
      <c r="M1441" s="232">
        <v>38800.89</v>
      </c>
      <c r="N1441" s="35">
        <v>7.793671918352068</v>
      </c>
      <c r="P1441" s="232">
        <v>-17.07</v>
      </c>
      <c r="Q1441" s="35">
        <v>8.8073157986645612E-3</v>
      </c>
      <c r="R1441" s="232">
        <v>1781.9</v>
      </c>
      <c r="S1441" s="35">
        <v>0.62037761744412379</v>
      </c>
      <c r="T1441" s="232">
        <v>25960.22</v>
      </c>
      <c r="U1441" s="35">
        <v>1.0277240897719437</v>
      </c>
      <c r="W1441" s="35">
        <f t="shared" si="139"/>
        <v>457.43578993322802</v>
      </c>
      <c r="X1441" s="35">
        <f t="shared" si="140"/>
        <v>29236.980872206186</v>
      </c>
      <c r="Y1441" s="35">
        <f t="shared" si="141"/>
        <v>25425.984488597183</v>
      </c>
      <c r="Z1441" s="35">
        <f t="shared" si="142"/>
        <v>0</v>
      </c>
      <c r="AA1441" s="35">
        <f t="shared" si="143"/>
        <v>1</v>
      </c>
      <c r="AB1441" s="35">
        <f t="shared" si="144"/>
        <v>0</v>
      </c>
    </row>
    <row r="1442" spans="1:28">
      <c r="A1442" s="35">
        <v>1431</v>
      </c>
      <c r="B1442" s="35">
        <v>2.857701260166868E-4</v>
      </c>
      <c r="C1442" s="232">
        <v>48.84</v>
      </c>
      <c r="D1442" s="35">
        <v>5.0522771261665973</v>
      </c>
      <c r="E1442" s="232">
        <v>32.049999999999997</v>
      </c>
      <c r="F1442" s="35">
        <v>5.0462650568830636</v>
      </c>
      <c r="G1442" s="232">
        <v>13342.63</v>
      </c>
      <c r="H1442" s="35">
        <v>8.6681314829931839</v>
      </c>
      <c r="I1442" s="232">
        <v>14204.36</v>
      </c>
      <c r="J1442" s="35">
        <v>7.5229693268226514</v>
      </c>
      <c r="K1442" s="232">
        <v>17155.47</v>
      </c>
      <c r="L1442" s="35">
        <v>8.2921444444718624</v>
      </c>
      <c r="M1442" s="232">
        <v>43440.34</v>
      </c>
      <c r="N1442" s="35">
        <v>7.2212183574369044</v>
      </c>
      <c r="P1442" s="232">
        <v>-16.79</v>
      </c>
      <c r="Q1442" s="35">
        <v>6.0120692835337053E-3</v>
      </c>
      <c r="R1442" s="232">
        <v>861.73</v>
      </c>
      <c r="S1442" s="35">
        <v>1.1451621561705325</v>
      </c>
      <c r="T1442" s="232">
        <v>26284.87</v>
      </c>
      <c r="U1442" s="35">
        <v>1.070926087034958</v>
      </c>
      <c r="W1442" s="35">
        <f t="shared" si="139"/>
        <v>317.39346417668531</v>
      </c>
      <c r="X1442" s="35">
        <f t="shared" si="140"/>
        <v>56396.377808526624</v>
      </c>
      <c r="Y1442" s="35">
        <f t="shared" si="141"/>
        <v>27261.434351747896</v>
      </c>
      <c r="Z1442" s="35">
        <f t="shared" si="142"/>
        <v>0</v>
      </c>
      <c r="AA1442" s="35">
        <f t="shared" si="143"/>
        <v>1</v>
      </c>
      <c r="AB1442" s="35">
        <f t="shared" si="144"/>
        <v>0</v>
      </c>
    </row>
    <row r="1443" spans="1:28">
      <c r="A1443" s="35">
        <v>1432</v>
      </c>
      <c r="B1443" s="35">
        <v>2.9299419872721853E-4</v>
      </c>
      <c r="C1443" s="232">
        <v>45.25</v>
      </c>
      <c r="D1443" s="35">
        <v>5.0533727430031075</v>
      </c>
      <c r="E1443" s="232">
        <v>32.06</v>
      </c>
      <c r="F1443" s="35">
        <v>5.0476201740978208</v>
      </c>
      <c r="G1443" s="232">
        <v>12239.39</v>
      </c>
      <c r="H1443" s="35">
        <v>8.672506488452667</v>
      </c>
      <c r="I1443" s="232">
        <v>14255.78</v>
      </c>
      <c r="J1443" s="35">
        <v>8.3930624964669196</v>
      </c>
      <c r="K1443" s="232">
        <v>15295.93</v>
      </c>
      <c r="L1443" s="35">
        <v>8.8094726902381897</v>
      </c>
      <c r="M1443" s="232">
        <v>41417.949999999997</v>
      </c>
      <c r="N1443" s="35">
        <v>7.6931456396534035</v>
      </c>
      <c r="P1443" s="232">
        <v>-13.19</v>
      </c>
      <c r="Q1443" s="35">
        <v>5.7525689052866369E-3</v>
      </c>
      <c r="R1443" s="232">
        <v>2016.38</v>
      </c>
      <c r="S1443" s="35">
        <v>0.27944399198574743</v>
      </c>
      <c r="T1443" s="232">
        <v>26122.02</v>
      </c>
      <c r="U1443" s="35">
        <v>1.1163270505847862</v>
      </c>
      <c r="W1443" s="35">
        <f t="shared" si="139"/>
        <v>300.81844526433184</v>
      </c>
      <c r="X1443" s="35">
        <f t="shared" si="140"/>
        <v>11955.81959928737</v>
      </c>
      <c r="Y1443" s="35">
        <f t="shared" si="141"/>
        <v>29694.332529239309</v>
      </c>
      <c r="Z1443" s="35">
        <f t="shared" si="142"/>
        <v>0</v>
      </c>
      <c r="AA1443" s="35">
        <f t="shared" si="143"/>
        <v>0</v>
      </c>
      <c r="AB1443" s="35">
        <f t="shared" si="144"/>
        <v>1</v>
      </c>
    </row>
    <row r="1444" spans="1:28">
      <c r="A1444" s="35">
        <v>1433</v>
      </c>
      <c r="B1444" s="35">
        <v>4.0999583574263836E-4</v>
      </c>
      <c r="C1444" s="232">
        <v>60.47</v>
      </c>
      <c r="D1444" s="35">
        <v>5.0620934692138624</v>
      </c>
      <c r="E1444" s="232">
        <v>38.909999999999997</v>
      </c>
      <c r="F1444" s="35">
        <v>5.0520089016889855</v>
      </c>
      <c r="G1444" s="232">
        <v>11558.44</v>
      </c>
      <c r="H1444" s="35">
        <v>9.5737082391964545</v>
      </c>
      <c r="I1444" s="232">
        <v>12237.19</v>
      </c>
      <c r="J1444" s="35">
        <v>7.9573693927302021</v>
      </c>
      <c r="K1444" s="232">
        <v>13974.4</v>
      </c>
      <c r="L1444" s="35">
        <v>8.7530775579292115</v>
      </c>
      <c r="M1444" s="232">
        <v>39912.15</v>
      </c>
      <c r="N1444" s="35">
        <v>7.6694483592891016</v>
      </c>
      <c r="P1444" s="232">
        <v>-21.57</v>
      </c>
      <c r="Q1444" s="35">
        <v>1.0084567524876853E-2</v>
      </c>
      <c r="R1444" s="232">
        <v>678.75</v>
      </c>
      <c r="S1444" s="35">
        <v>1.6163388464662525</v>
      </c>
      <c r="T1444" s="232">
        <v>25937.74</v>
      </c>
      <c r="U1444" s="35">
        <v>1.0836291986401099</v>
      </c>
      <c r="W1444" s="35">
        <f t="shared" si="139"/>
        <v>525.79837624384265</v>
      </c>
      <c r="X1444" s="35">
        <f t="shared" si="140"/>
        <v>80138.192323312629</v>
      </c>
      <c r="Y1444" s="35">
        <f t="shared" si="141"/>
        <v>28243.71993200549</v>
      </c>
      <c r="Z1444" s="35">
        <f t="shared" si="142"/>
        <v>0</v>
      </c>
      <c r="AA1444" s="35">
        <f t="shared" si="143"/>
        <v>1</v>
      </c>
      <c r="AB1444" s="35">
        <f t="shared" si="144"/>
        <v>0</v>
      </c>
    </row>
    <row r="1445" spans="1:28">
      <c r="A1445" s="35">
        <v>1434</v>
      </c>
      <c r="B1445" s="35">
        <v>5.4849244336496739E-4</v>
      </c>
      <c r="C1445" s="232">
        <v>83.34</v>
      </c>
      <c r="D1445" s="35">
        <v>5.0696457942068474</v>
      </c>
      <c r="E1445" s="232">
        <v>48.52</v>
      </c>
      <c r="F1445" s="35">
        <v>5.0549954544286688</v>
      </c>
      <c r="G1445" s="232">
        <v>11968.88</v>
      </c>
      <c r="H1445" s="35">
        <v>9.5338425231101454</v>
      </c>
      <c r="I1445" s="232">
        <v>13523.9</v>
      </c>
      <c r="J1445" s="35">
        <v>8.8097925566715976</v>
      </c>
      <c r="K1445" s="232">
        <v>14489.2</v>
      </c>
      <c r="L1445" s="35">
        <v>8.6306476469659827</v>
      </c>
      <c r="M1445" s="232">
        <v>40680.75</v>
      </c>
      <c r="N1445" s="35">
        <v>7.4930591676315172</v>
      </c>
      <c r="P1445" s="232">
        <v>-34.82</v>
      </c>
      <c r="Q1445" s="35">
        <v>1.4650339778178534E-2</v>
      </c>
      <c r="R1445" s="232">
        <v>1555.01</v>
      </c>
      <c r="S1445" s="35">
        <v>0.7240499664385478</v>
      </c>
      <c r="T1445" s="232">
        <v>26191.55</v>
      </c>
      <c r="U1445" s="35">
        <v>1.1375884793344655</v>
      </c>
      <c r="W1445" s="35">
        <f t="shared" si="139"/>
        <v>767.33698890892674</v>
      </c>
      <c r="X1445" s="35">
        <f t="shared" si="140"/>
        <v>34647.488321927391</v>
      </c>
      <c r="Y1445" s="35">
        <f t="shared" si="141"/>
        <v>30687.873966723277</v>
      </c>
      <c r="Z1445" s="35">
        <f t="shared" si="142"/>
        <v>0</v>
      </c>
      <c r="AA1445" s="35">
        <f t="shared" si="143"/>
        <v>1</v>
      </c>
      <c r="AB1445" s="35">
        <f t="shared" si="144"/>
        <v>0</v>
      </c>
    </row>
    <row r="1446" spans="1:28">
      <c r="A1446" s="35">
        <v>1435</v>
      </c>
      <c r="B1446" s="35">
        <v>5.4031867502957187E-4</v>
      </c>
      <c r="C1446" s="232">
        <v>106.32</v>
      </c>
      <c r="D1446" s="35">
        <v>5.0690523830102157</v>
      </c>
      <c r="E1446" s="232">
        <v>74.069999999999993</v>
      </c>
      <c r="F1446" s="35">
        <v>5.0585358717933451</v>
      </c>
      <c r="G1446" s="232">
        <v>15053.15</v>
      </c>
      <c r="H1446" s="35">
        <v>9.3381543007527554</v>
      </c>
      <c r="I1446" s="232">
        <v>14877.83</v>
      </c>
      <c r="J1446" s="35">
        <v>7.9625248414194356</v>
      </c>
      <c r="K1446" s="232">
        <v>20819.419999999998</v>
      </c>
      <c r="L1446" s="35">
        <v>8.7828895676066345</v>
      </c>
      <c r="M1446" s="232">
        <v>47245.64</v>
      </c>
      <c r="N1446" s="35">
        <v>7.6852411932353357</v>
      </c>
      <c r="P1446" s="232">
        <v>-32.25</v>
      </c>
      <c r="Q1446" s="35">
        <v>1.0516511216870583E-2</v>
      </c>
      <c r="R1446" s="232">
        <v>-175.32</v>
      </c>
      <c r="S1446" s="35">
        <v>1.3756294593333198</v>
      </c>
      <c r="T1446" s="232">
        <v>26426.22</v>
      </c>
      <c r="U1446" s="35">
        <v>1.0976483743712988</v>
      </c>
      <c r="W1446" s="35">
        <f t="shared" si="139"/>
        <v>558.07556084352916</v>
      </c>
      <c r="X1446" s="35">
        <f t="shared" si="140"/>
        <v>68956.792966665991</v>
      </c>
      <c r="Y1446" s="35">
        <f t="shared" si="141"/>
        <v>28456.198718564941</v>
      </c>
      <c r="Z1446" s="35">
        <f t="shared" si="142"/>
        <v>0</v>
      </c>
      <c r="AA1446" s="35">
        <f t="shared" si="143"/>
        <v>1</v>
      </c>
      <c r="AB1446" s="35">
        <f t="shared" si="144"/>
        <v>0</v>
      </c>
    </row>
    <row r="1447" spans="1:28">
      <c r="A1447" s="35">
        <v>1436</v>
      </c>
      <c r="B1447" s="35">
        <v>4.0359680937146242E-4</v>
      </c>
      <c r="C1447" s="232">
        <v>82.57</v>
      </c>
      <c r="D1447" s="35">
        <v>5.060577691888291</v>
      </c>
      <c r="E1447" s="232">
        <v>57.95</v>
      </c>
      <c r="F1447" s="35">
        <v>5.0528163407687678</v>
      </c>
      <c r="G1447" s="232">
        <v>15913.03</v>
      </c>
      <c r="H1447" s="35">
        <v>9.1814239317889879</v>
      </c>
      <c r="I1447" s="232">
        <v>14953.05</v>
      </c>
      <c r="J1447" s="35">
        <v>7.1961380480412354</v>
      </c>
      <c r="K1447" s="232">
        <v>21599.439999999999</v>
      </c>
      <c r="L1447" s="35">
        <v>8.6173150591842607</v>
      </c>
      <c r="M1447" s="232">
        <v>47958.59</v>
      </c>
      <c r="N1447" s="35">
        <v>7.5706054587204319</v>
      </c>
      <c r="P1447" s="232">
        <v>-24.62</v>
      </c>
      <c r="Q1447" s="35">
        <v>7.7613511195231411E-3</v>
      </c>
      <c r="R1447" s="232">
        <v>-959.98</v>
      </c>
      <c r="S1447" s="35">
        <v>1.9852858837477525</v>
      </c>
      <c r="T1447" s="232">
        <v>26359.15</v>
      </c>
      <c r="U1447" s="35">
        <v>1.0467096004638288</v>
      </c>
      <c r="W1447" s="35">
        <f t="shared" si="139"/>
        <v>412.68755597615706</v>
      </c>
      <c r="X1447" s="35">
        <f t="shared" si="140"/>
        <v>100224.27418738762</v>
      </c>
      <c r="Y1447" s="35">
        <f t="shared" si="141"/>
        <v>25976.33002319144</v>
      </c>
      <c r="Z1447" s="35">
        <f t="shared" si="142"/>
        <v>0</v>
      </c>
      <c r="AA1447" s="35">
        <f t="shared" si="143"/>
        <v>1</v>
      </c>
      <c r="AB1447" s="35">
        <f t="shared" si="144"/>
        <v>0</v>
      </c>
    </row>
    <row r="1448" spans="1:28">
      <c r="A1448" s="35">
        <v>1437</v>
      </c>
      <c r="B1448" s="35">
        <v>3.8156220921068556E-4</v>
      </c>
      <c r="C1448" s="232">
        <v>51.16</v>
      </c>
      <c r="D1448" s="35">
        <v>5.0582900558718666</v>
      </c>
      <c r="E1448" s="232">
        <v>30.16</v>
      </c>
      <c r="F1448" s="35">
        <v>5.0484704037541013</v>
      </c>
      <c r="G1448" s="232">
        <v>10113.93</v>
      </c>
      <c r="H1448" s="35">
        <v>8.8890830645971857</v>
      </c>
      <c r="I1448" s="232">
        <v>10959.15</v>
      </c>
      <c r="J1448" s="35">
        <v>7.6617030240960009</v>
      </c>
      <c r="K1448" s="232">
        <v>13041.48</v>
      </c>
      <c r="L1448" s="35">
        <v>8.7327304639378589</v>
      </c>
      <c r="M1448" s="232">
        <v>39037.07</v>
      </c>
      <c r="N1448" s="35">
        <v>7.626391918985914</v>
      </c>
      <c r="P1448" s="232">
        <v>-21</v>
      </c>
      <c r="Q1448" s="35">
        <v>9.8196521177653651E-3</v>
      </c>
      <c r="R1448" s="232">
        <v>845.21</v>
      </c>
      <c r="S1448" s="35">
        <v>1.2273800405011848</v>
      </c>
      <c r="T1448" s="232">
        <v>25995.59</v>
      </c>
      <c r="U1448" s="35">
        <v>1.1063385449519449</v>
      </c>
      <c r="W1448" s="35">
        <f t="shared" si="139"/>
        <v>511.98260588826827</v>
      </c>
      <c r="X1448" s="35">
        <f t="shared" si="140"/>
        <v>60523.792025059236</v>
      </c>
      <c r="Y1448" s="35">
        <f t="shared" si="141"/>
        <v>29321.337247597246</v>
      </c>
      <c r="Z1448" s="35">
        <f t="shared" si="142"/>
        <v>0</v>
      </c>
      <c r="AA1448" s="35">
        <f t="shared" si="143"/>
        <v>1</v>
      </c>
      <c r="AB1448" s="35">
        <f t="shared" si="144"/>
        <v>0</v>
      </c>
    </row>
    <row r="1449" spans="1:28">
      <c r="A1449" s="35">
        <v>1438</v>
      </c>
      <c r="B1449" s="35">
        <v>4.6635088472490871E-4</v>
      </c>
      <c r="C1449" s="232">
        <v>70.349999999999994</v>
      </c>
      <c r="D1449" s="35">
        <v>5.0634537359854397</v>
      </c>
      <c r="E1449" s="232">
        <v>40.36</v>
      </c>
      <c r="F1449" s="35">
        <v>5.0512394558478722</v>
      </c>
      <c r="G1449" s="232">
        <v>11500.4</v>
      </c>
      <c r="H1449" s="35">
        <v>9.0297743154604095</v>
      </c>
      <c r="I1449" s="232">
        <v>13230.5</v>
      </c>
      <c r="J1449" s="35">
        <v>8.6316985690484973</v>
      </c>
      <c r="K1449" s="232">
        <v>15472.98</v>
      </c>
      <c r="L1449" s="35">
        <v>8.853054223865886</v>
      </c>
      <c r="M1449" s="232">
        <v>41522.050000000003</v>
      </c>
      <c r="N1449" s="35">
        <v>7.7051578062273194</v>
      </c>
      <c r="P1449" s="232">
        <v>-29.99</v>
      </c>
      <c r="Q1449" s="35">
        <v>1.2214280137567535E-2</v>
      </c>
      <c r="R1449" s="232">
        <v>1730.1</v>
      </c>
      <c r="S1449" s="35">
        <v>0.39807574641191223</v>
      </c>
      <c r="T1449" s="232">
        <v>26049.07</v>
      </c>
      <c r="U1449" s="35">
        <v>1.1478964176385666</v>
      </c>
      <c r="W1449" s="35">
        <f t="shared" si="139"/>
        <v>640.70400687837673</v>
      </c>
      <c r="X1449" s="35">
        <f t="shared" si="140"/>
        <v>18173.687320595614</v>
      </c>
      <c r="Y1449" s="35">
        <f t="shared" si="141"/>
        <v>31345.750881928332</v>
      </c>
      <c r="Z1449" s="35">
        <f t="shared" si="142"/>
        <v>0</v>
      </c>
      <c r="AA1449" s="35">
        <f t="shared" si="143"/>
        <v>0</v>
      </c>
      <c r="AB1449" s="35">
        <f t="shared" si="144"/>
        <v>1</v>
      </c>
    </row>
    <row r="1450" spans="1:28">
      <c r="A1450" s="35">
        <v>1439</v>
      </c>
      <c r="B1450" s="35">
        <v>3.9368126294845614E-4</v>
      </c>
      <c r="C1450" s="232">
        <v>68.099999999999994</v>
      </c>
      <c r="D1450" s="35">
        <v>5.0598296300774894</v>
      </c>
      <c r="E1450" s="232">
        <v>46.06</v>
      </c>
      <c r="F1450" s="35">
        <v>5.0515610794174792</v>
      </c>
      <c r="G1450" s="232">
        <v>13258.03</v>
      </c>
      <c r="H1450" s="35">
        <v>9.2115571555180598</v>
      </c>
      <c r="I1450" s="232">
        <v>14832.05</v>
      </c>
      <c r="J1450" s="35">
        <v>8.7191445407936872</v>
      </c>
      <c r="K1450" s="232">
        <v>16853.89</v>
      </c>
      <c r="L1450" s="35">
        <v>8.5821517942837353</v>
      </c>
      <c r="M1450" s="232">
        <v>42902.879999999997</v>
      </c>
      <c r="N1450" s="35">
        <v>7.4586276815116923</v>
      </c>
      <c r="P1450" s="232">
        <v>-22.04</v>
      </c>
      <c r="Q1450" s="35">
        <v>8.2685506600101988E-3</v>
      </c>
      <c r="R1450" s="232">
        <v>1574.02</v>
      </c>
      <c r="S1450" s="35">
        <v>0.49241261472437259</v>
      </c>
      <c r="T1450" s="232">
        <v>26048.98</v>
      </c>
      <c r="U1450" s="35">
        <v>1.123524112772043</v>
      </c>
      <c r="W1450" s="35">
        <f t="shared" si="139"/>
        <v>435.46753300050995</v>
      </c>
      <c r="X1450" s="35">
        <f t="shared" si="140"/>
        <v>23046.61073621863</v>
      </c>
      <c r="Y1450" s="35">
        <f t="shared" si="141"/>
        <v>30127.225638602151</v>
      </c>
      <c r="Z1450" s="35">
        <f t="shared" si="142"/>
        <v>0</v>
      </c>
      <c r="AA1450" s="35">
        <f t="shared" si="143"/>
        <v>0</v>
      </c>
      <c r="AB1450" s="35">
        <f t="shared" si="144"/>
        <v>1</v>
      </c>
    </row>
    <row r="1451" spans="1:28">
      <c r="A1451" s="35">
        <v>1440</v>
      </c>
      <c r="B1451" s="35">
        <v>6.3612145766245298E-4</v>
      </c>
      <c r="C1451" s="232">
        <v>107.31</v>
      </c>
      <c r="D1451" s="35">
        <v>5.0714528649097357</v>
      </c>
      <c r="E1451" s="232">
        <v>58.4</v>
      </c>
      <c r="F1451" s="35">
        <v>5.0550234806526877</v>
      </c>
      <c r="G1451" s="232">
        <v>13774.43</v>
      </c>
      <c r="H1451" s="35">
        <v>9.0577673600014865</v>
      </c>
      <c r="I1451" s="232">
        <v>15024.14</v>
      </c>
      <c r="J1451" s="35">
        <v>7.5196908226461057</v>
      </c>
      <c r="K1451" s="232">
        <v>15267.15</v>
      </c>
      <c r="L1451" s="35">
        <v>8.4480430832041105</v>
      </c>
      <c r="M1451" s="232">
        <v>41302.269999999997</v>
      </c>
      <c r="N1451" s="35">
        <v>7.3667005333391078</v>
      </c>
      <c r="P1451" s="232">
        <v>-48.91</v>
      </c>
      <c r="Q1451" s="35">
        <v>1.6429384257047985E-2</v>
      </c>
      <c r="R1451" s="232">
        <v>1249.7</v>
      </c>
      <c r="S1451" s="35">
        <v>1.5380765373553809</v>
      </c>
      <c r="T1451" s="232">
        <v>26035.119999999999</v>
      </c>
      <c r="U1451" s="35">
        <v>1.0813425498650027</v>
      </c>
      <c r="W1451" s="35">
        <f t="shared" si="139"/>
        <v>870.37921285239929</v>
      </c>
      <c r="X1451" s="35">
        <f t="shared" si="140"/>
        <v>75654.126867769039</v>
      </c>
      <c r="Y1451" s="35">
        <f t="shared" si="141"/>
        <v>28032.007493250134</v>
      </c>
      <c r="Z1451" s="35">
        <f t="shared" si="142"/>
        <v>0</v>
      </c>
      <c r="AA1451" s="35">
        <f t="shared" si="143"/>
        <v>1</v>
      </c>
      <c r="AB1451" s="35">
        <f t="shared" si="144"/>
        <v>0</v>
      </c>
    </row>
    <row r="1452" spans="1:28">
      <c r="A1452" s="35">
        <v>1441</v>
      </c>
      <c r="B1452" s="35">
        <v>4.3089615171902032E-4</v>
      </c>
      <c r="C1452" s="232">
        <v>77.819999999999993</v>
      </c>
      <c r="D1452" s="35">
        <v>5.0611296683431259</v>
      </c>
      <c r="E1452" s="232">
        <v>48</v>
      </c>
      <c r="F1452" s="35">
        <v>5.051142110849451</v>
      </c>
      <c r="G1452" s="232">
        <v>13962.98</v>
      </c>
      <c r="H1452" s="35">
        <v>9.0838200054885831</v>
      </c>
      <c r="I1452" s="232">
        <v>14640.63</v>
      </c>
      <c r="J1452" s="35">
        <v>7.8683545648829396</v>
      </c>
      <c r="K1452" s="232">
        <v>16958.310000000001</v>
      </c>
      <c r="L1452" s="35">
        <v>8.5130598230232302</v>
      </c>
      <c r="M1452" s="232">
        <v>43020</v>
      </c>
      <c r="N1452" s="35">
        <v>7.4046729268577529</v>
      </c>
      <c r="P1452" s="232">
        <v>-29.83</v>
      </c>
      <c r="Q1452" s="35">
        <v>9.98755749367497E-3</v>
      </c>
      <c r="R1452" s="232">
        <v>677.66</v>
      </c>
      <c r="S1452" s="35">
        <v>1.2154654406056435</v>
      </c>
      <c r="T1452" s="232">
        <v>26061.69</v>
      </c>
      <c r="U1452" s="35">
        <v>1.1083868961654773</v>
      </c>
      <c r="W1452" s="35">
        <f t="shared" si="139"/>
        <v>529.20787468374851</v>
      </c>
      <c r="X1452" s="35">
        <f t="shared" si="140"/>
        <v>60095.612030282173</v>
      </c>
      <c r="Y1452" s="35">
        <f t="shared" si="141"/>
        <v>29357.654808273863</v>
      </c>
      <c r="Z1452" s="35">
        <f t="shared" si="142"/>
        <v>0</v>
      </c>
      <c r="AA1452" s="35">
        <f t="shared" si="143"/>
        <v>1</v>
      </c>
      <c r="AB1452" s="35">
        <f t="shared" si="144"/>
        <v>0</v>
      </c>
    </row>
    <row r="1453" spans="1:28">
      <c r="A1453" s="35">
        <v>1442</v>
      </c>
      <c r="B1453" s="35">
        <v>5.4703438428571616E-4</v>
      </c>
      <c r="C1453" s="232">
        <v>61.6</v>
      </c>
      <c r="D1453" s="35">
        <v>5.0661664338333754</v>
      </c>
      <c r="E1453" s="232">
        <v>42.65</v>
      </c>
      <c r="F1453" s="35">
        <v>5.055798119616183</v>
      </c>
      <c r="G1453" s="232">
        <v>8879.07</v>
      </c>
      <c r="H1453" s="35">
        <v>8.8179144265450571</v>
      </c>
      <c r="I1453" s="232">
        <v>10625.81</v>
      </c>
      <c r="J1453" s="35">
        <v>7.2486202290392079</v>
      </c>
      <c r="K1453" s="232">
        <v>8849.52</v>
      </c>
      <c r="L1453" s="35">
        <v>8.2407520658927318</v>
      </c>
      <c r="M1453" s="232">
        <v>34681.4</v>
      </c>
      <c r="N1453" s="35">
        <v>7.1421821457271664</v>
      </c>
      <c r="P1453" s="232">
        <v>-18.95</v>
      </c>
      <c r="Q1453" s="35">
        <v>1.036831421719242E-2</v>
      </c>
      <c r="R1453" s="232">
        <v>1746.74</v>
      </c>
      <c r="S1453" s="35">
        <v>1.5692941975058492</v>
      </c>
      <c r="T1453" s="232">
        <v>25831.88</v>
      </c>
      <c r="U1453" s="35">
        <v>1.0985699201655654</v>
      </c>
      <c r="W1453" s="35">
        <f t="shared" si="139"/>
        <v>537.365710859621</v>
      </c>
      <c r="X1453" s="35">
        <f t="shared" si="140"/>
        <v>76717.96987529246</v>
      </c>
      <c r="Y1453" s="35">
        <f t="shared" si="141"/>
        <v>29096.61600827827</v>
      </c>
      <c r="Z1453" s="35">
        <f t="shared" si="142"/>
        <v>0</v>
      </c>
      <c r="AA1453" s="35">
        <f t="shared" si="143"/>
        <v>1</v>
      </c>
      <c r="AB1453" s="35">
        <f t="shared" si="144"/>
        <v>0</v>
      </c>
    </row>
    <row r="1454" spans="1:28">
      <c r="A1454" s="35">
        <v>1443</v>
      </c>
      <c r="B1454" s="35">
        <v>4.1157171133072052E-4</v>
      </c>
      <c r="C1454" s="232">
        <v>37.630000000000003</v>
      </c>
      <c r="D1454" s="35">
        <v>5.0598551230414852</v>
      </c>
      <c r="E1454" s="232">
        <v>23.12</v>
      </c>
      <c r="F1454" s="35">
        <v>5.0492637302706322</v>
      </c>
      <c r="G1454" s="232">
        <v>7625.67</v>
      </c>
      <c r="H1454" s="35">
        <v>8.898677270717597</v>
      </c>
      <c r="I1454" s="232">
        <v>9824.08</v>
      </c>
      <c r="J1454" s="35">
        <v>8.5605631499947563</v>
      </c>
      <c r="K1454" s="232">
        <v>7562.36</v>
      </c>
      <c r="L1454" s="35">
        <v>8.7438933576107996</v>
      </c>
      <c r="M1454" s="232">
        <v>33154.07</v>
      </c>
      <c r="N1454" s="35">
        <v>7.6567223173931609</v>
      </c>
      <c r="P1454" s="232">
        <v>-14.51</v>
      </c>
      <c r="Q1454" s="35">
        <v>1.059139277085297E-2</v>
      </c>
      <c r="R1454" s="232">
        <v>2198.4</v>
      </c>
      <c r="S1454" s="35">
        <v>0.33811412072284064</v>
      </c>
      <c r="T1454" s="232">
        <v>25591.71</v>
      </c>
      <c r="U1454" s="35">
        <v>1.0871710402176387</v>
      </c>
      <c r="W1454" s="35">
        <f t="shared" si="139"/>
        <v>544.07963854264847</v>
      </c>
      <c r="X1454" s="35">
        <f t="shared" si="140"/>
        <v>14707.306036142034</v>
      </c>
      <c r="Y1454" s="35">
        <f t="shared" si="141"/>
        <v>28766.842010881934</v>
      </c>
      <c r="Z1454" s="35">
        <f t="shared" si="142"/>
        <v>0</v>
      </c>
      <c r="AA1454" s="35">
        <f t="shared" si="143"/>
        <v>0</v>
      </c>
      <c r="AB1454" s="35">
        <f t="shared" si="144"/>
        <v>1</v>
      </c>
    </row>
    <row r="1455" spans="1:28">
      <c r="A1455" s="35">
        <v>1444</v>
      </c>
      <c r="B1455" s="35">
        <v>4.6977415179172421E-4</v>
      </c>
      <c r="C1455" s="232">
        <v>58.4</v>
      </c>
      <c r="D1455" s="35">
        <v>5.0625380643105755</v>
      </c>
      <c r="E1455" s="232">
        <v>35.549999999999997</v>
      </c>
      <c r="F1455" s="35">
        <v>5.0513615311558686</v>
      </c>
      <c r="G1455" s="232">
        <v>9720.36</v>
      </c>
      <c r="H1455" s="35">
        <v>8.7233616924283499</v>
      </c>
      <c r="I1455" s="232">
        <v>12223.58</v>
      </c>
      <c r="J1455" s="35">
        <v>9.0854110924950753</v>
      </c>
      <c r="K1455" s="232">
        <v>12540.22</v>
      </c>
      <c r="L1455" s="35">
        <v>8.7670306066176042</v>
      </c>
      <c r="M1455" s="232">
        <v>38540.6</v>
      </c>
      <c r="N1455" s="35">
        <v>7.6233761224005736</v>
      </c>
      <c r="P1455" s="232">
        <v>-22.85</v>
      </c>
      <c r="Q1455" s="35">
        <v>1.1176533154706902E-2</v>
      </c>
      <c r="R1455" s="232">
        <v>2503.21</v>
      </c>
      <c r="S1455" s="35">
        <v>-0.36204940006672537</v>
      </c>
      <c r="T1455" s="232">
        <v>26000.38</v>
      </c>
      <c r="U1455" s="35">
        <v>1.1436544842170306</v>
      </c>
      <c r="W1455" s="35">
        <f t="shared" si="139"/>
        <v>581.6766577353452</v>
      </c>
      <c r="X1455" s="35">
        <f t="shared" si="140"/>
        <v>-20605.680003336267</v>
      </c>
      <c r="Y1455" s="35">
        <f t="shared" si="141"/>
        <v>31182.344210851534</v>
      </c>
      <c r="Z1455" s="35">
        <f t="shared" si="142"/>
        <v>0</v>
      </c>
      <c r="AA1455" s="35">
        <f t="shared" si="143"/>
        <v>0</v>
      </c>
      <c r="AB1455" s="35">
        <f t="shared" si="144"/>
        <v>1</v>
      </c>
    </row>
    <row r="1456" spans="1:28">
      <c r="A1456" s="35">
        <v>1445</v>
      </c>
      <c r="B1456" s="35">
        <v>4.504794957373992E-4</v>
      </c>
      <c r="C1456" s="232">
        <v>73.5</v>
      </c>
      <c r="D1456" s="35">
        <v>5.0595228727439476</v>
      </c>
      <c r="E1456" s="232">
        <v>41.9</v>
      </c>
      <c r="F1456" s="35">
        <v>5.0491570902921028</v>
      </c>
      <c r="G1456" s="232">
        <v>12513.22</v>
      </c>
      <c r="H1456" s="35">
        <v>8.0735330036924609</v>
      </c>
      <c r="I1456" s="232">
        <v>13439.96</v>
      </c>
      <c r="J1456" s="35">
        <v>7.0707216909644846</v>
      </c>
      <c r="K1456" s="232">
        <v>18185.060000000001</v>
      </c>
      <c r="L1456" s="35">
        <v>8.8358038175709037</v>
      </c>
      <c r="M1456" s="232">
        <v>44434.15</v>
      </c>
      <c r="N1456" s="35">
        <v>7.8323761959645495</v>
      </c>
      <c r="P1456" s="232">
        <v>-31.61</v>
      </c>
      <c r="Q1456" s="35">
        <v>1.0365782451844829E-2</v>
      </c>
      <c r="R1456" s="232">
        <v>926.73</v>
      </c>
      <c r="S1456" s="35">
        <v>1.0028113127279763</v>
      </c>
      <c r="T1456" s="232">
        <v>26249.09</v>
      </c>
      <c r="U1456" s="35">
        <v>1.0034276216063542</v>
      </c>
      <c r="W1456" s="35">
        <f t="shared" si="139"/>
        <v>549.8991225922415</v>
      </c>
      <c r="X1456" s="35">
        <f t="shared" si="140"/>
        <v>49213.835636398813</v>
      </c>
      <c r="Y1456" s="35">
        <f t="shared" si="141"/>
        <v>23922.291080317711</v>
      </c>
      <c r="Z1456" s="35">
        <f t="shared" si="142"/>
        <v>0</v>
      </c>
      <c r="AA1456" s="35">
        <f t="shared" si="143"/>
        <v>1</v>
      </c>
      <c r="AB1456" s="35">
        <f t="shared" si="144"/>
        <v>0</v>
      </c>
    </row>
    <row r="1457" spans="1:28">
      <c r="A1457" s="35">
        <v>1446</v>
      </c>
      <c r="B1457" s="35">
        <v>4.0039148744013236E-4</v>
      </c>
      <c r="C1457" s="232">
        <v>58.77</v>
      </c>
      <c r="D1457" s="35">
        <v>5.0599455229387811</v>
      </c>
      <c r="E1457" s="232">
        <v>34.83</v>
      </c>
      <c r="F1457" s="35">
        <v>5.049600023216323</v>
      </c>
      <c r="G1457" s="232">
        <v>11868.09</v>
      </c>
      <c r="H1457" s="35">
        <v>9.2360802420903667</v>
      </c>
      <c r="I1457" s="232">
        <v>13405.63</v>
      </c>
      <c r="J1457" s="35">
        <v>8.0372571723421906</v>
      </c>
      <c r="K1457" s="232">
        <v>13245.44</v>
      </c>
      <c r="L1457" s="35">
        <v>8.5860543326464089</v>
      </c>
      <c r="M1457" s="232">
        <v>39250.67</v>
      </c>
      <c r="N1457" s="35">
        <v>7.5286579433279135</v>
      </c>
      <c r="P1457" s="232">
        <v>-23.94</v>
      </c>
      <c r="Q1457" s="35">
        <v>1.0345499722458129E-2</v>
      </c>
      <c r="R1457" s="232">
        <v>1537.54</v>
      </c>
      <c r="S1457" s="35">
        <v>1.1988230697481761</v>
      </c>
      <c r="T1457" s="232">
        <v>26005.23</v>
      </c>
      <c r="U1457" s="35">
        <v>1.0573963893184954</v>
      </c>
      <c r="W1457" s="35">
        <f t="shared" si="139"/>
        <v>541.21498612290657</v>
      </c>
      <c r="X1457" s="35">
        <f t="shared" si="140"/>
        <v>58403.613487408802</v>
      </c>
      <c r="Y1457" s="35">
        <f t="shared" si="141"/>
        <v>26864.589465924775</v>
      </c>
      <c r="Z1457" s="35">
        <f t="shared" si="142"/>
        <v>0</v>
      </c>
      <c r="AA1457" s="35">
        <f t="shared" si="143"/>
        <v>1</v>
      </c>
      <c r="AB1457" s="35">
        <f t="shared" si="144"/>
        <v>0</v>
      </c>
    </row>
    <row r="1458" spans="1:28">
      <c r="A1458" s="35">
        <v>1447</v>
      </c>
      <c r="B1458" s="35">
        <v>5.7726631186416633E-4</v>
      </c>
      <c r="C1458" s="232">
        <v>116.95</v>
      </c>
      <c r="D1458" s="35">
        <v>5.0674338041439695</v>
      </c>
      <c r="E1458" s="232">
        <v>75.900000000000006</v>
      </c>
      <c r="F1458" s="35">
        <v>5.0561474319305741</v>
      </c>
      <c r="G1458" s="232">
        <v>14961.28</v>
      </c>
      <c r="H1458" s="35">
        <v>8.6646160161710402</v>
      </c>
      <c r="I1458" s="232">
        <v>14192.47</v>
      </c>
      <c r="J1458" s="35">
        <v>7.2050193216158176</v>
      </c>
      <c r="K1458" s="232">
        <v>20839.13</v>
      </c>
      <c r="L1458" s="35">
        <v>8.4055250573128983</v>
      </c>
      <c r="M1458" s="232">
        <v>47118.37</v>
      </c>
      <c r="N1458" s="35">
        <v>7.2687216637260521</v>
      </c>
      <c r="P1458" s="232">
        <v>-41.06</v>
      </c>
      <c r="Q1458" s="35">
        <v>1.1286372213395346E-2</v>
      </c>
      <c r="R1458" s="232">
        <v>-768.81</v>
      </c>
      <c r="S1458" s="35">
        <v>1.4595966945552226</v>
      </c>
      <c r="T1458" s="232">
        <v>26279.24</v>
      </c>
      <c r="U1458" s="35">
        <v>1.1368033935868462</v>
      </c>
      <c r="W1458" s="35">
        <f t="shared" si="139"/>
        <v>605.37861066976734</v>
      </c>
      <c r="X1458" s="35">
        <f t="shared" si="140"/>
        <v>73748.64472776113</v>
      </c>
      <c r="Y1458" s="35">
        <f t="shared" si="141"/>
        <v>30560.929679342309</v>
      </c>
      <c r="Z1458" s="35">
        <f t="shared" si="142"/>
        <v>0</v>
      </c>
      <c r="AA1458" s="35">
        <f t="shared" si="143"/>
        <v>1</v>
      </c>
      <c r="AB1458" s="35">
        <f t="shared" si="144"/>
        <v>0</v>
      </c>
    </row>
    <row r="1459" spans="1:28">
      <c r="A1459" s="35">
        <v>1448</v>
      </c>
      <c r="B1459" s="35">
        <v>4.1474384824180825E-4</v>
      </c>
      <c r="C1459" s="232">
        <v>61.11</v>
      </c>
      <c r="D1459" s="35">
        <v>5.058621931908883</v>
      </c>
      <c r="E1459" s="232">
        <v>36.130000000000003</v>
      </c>
      <c r="F1459" s="35">
        <v>5.0489178100749985</v>
      </c>
      <c r="G1459" s="232">
        <v>10622.43</v>
      </c>
      <c r="H1459" s="35">
        <v>8.2764822198941541</v>
      </c>
      <c r="I1459" s="232">
        <v>10355.530000000001</v>
      </c>
      <c r="J1459" s="35">
        <v>6.8600000011479674</v>
      </c>
      <c r="K1459" s="232">
        <v>17761.28</v>
      </c>
      <c r="L1459" s="35">
        <v>8.8074662982240852</v>
      </c>
      <c r="M1459" s="232">
        <v>43984.27</v>
      </c>
      <c r="N1459" s="35">
        <v>7.6865280526994884</v>
      </c>
      <c r="P1459" s="232">
        <v>-24.98</v>
      </c>
      <c r="Q1459" s="35">
        <v>9.7041218338844715E-3</v>
      </c>
      <c r="R1459" s="232">
        <v>-266.91000000000003</v>
      </c>
      <c r="S1459" s="35">
        <v>1.4164822187461867</v>
      </c>
      <c r="T1459" s="232">
        <v>26223</v>
      </c>
      <c r="U1459" s="35">
        <v>1.1209382455245969</v>
      </c>
      <c r="W1459" s="35">
        <f t="shared" si="139"/>
        <v>510.18609169422359</v>
      </c>
      <c r="X1459" s="35">
        <f t="shared" si="140"/>
        <v>71091.020937309338</v>
      </c>
      <c r="Y1459" s="35">
        <f t="shared" si="141"/>
        <v>29823.912276229843</v>
      </c>
      <c r="Z1459" s="35">
        <f t="shared" si="142"/>
        <v>0</v>
      </c>
      <c r="AA1459" s="35">
        <f t="shared" si="143"/>
        <v>1</v>
      </c>
      <c r="AB1459" s="35">
        <f t="shared" si="144"/>
        <v>0</v>
      </c>
    </row>
    <row r="1460" spans="1:28">
      <c r="A1460" s="35">
        <v>1449</v>
      </c>
      <c r="B1460" s="35">
        <v>3.5154419779920732E-4</v>
      </c>
      <c r="C1460" s="232">
        <v>30.01</v>
      </c>
      <c r="D1460" s="35">
        <v>5.0548482436424305</v>
      </c>
      <c r="E1460" s="232">
        <v>21.08</v>
      </c>
      <c r="F1460" s="35">
        <v>5.0477497447877289</v>
      </c>
      <c r="G1460" s="232">
        <v>6972.71</v>
      </c>
      <c r="H1460" s="35">
        <v>8.3147457552644841</v>
      </c>
      <c r="I1460" s="232">
        <v>9118.2900000000009</v>
      </c>
      <c r="J1460" s="35">
        <v>6.4176074343603808</v>
      </c>
      <c r="K1460" s="232">
        <v>6497.54</v>
      </c>
      <c r="L1460" s="35">
        <v>8.3234515059854886</v>
      </c>
      <c r="M1460" s="232">
        <v>32227.200000000001</v>
      </c>
      <c r="N1460" s="35">
        <v>7.2571069005116744</v>
      </c>
      <c r="P1460" s="232">
        <v>-8.92</v>
      </c>
      <c r="Q1460" s="35">
        <v>7.0984988547015959E-3</v>
      </c>
      <c r="R1460" s="232">
        <v>2145.58</v>
      </c>
      <c r="S1460" s="35">
        <v>1.8971383209041033</v>
      </c>
      <c r="T1460" s="232">
        <v>25729.66</v>
      </c>
      <c r="U1460" s="35">
        <v>1.0663446054738142</v>
      </c>
      <c r="W1460" s="35">
        <f t="shared" si="139"/>
        <v>363.84494273507983</v>
      </c>
      <c r="X1460" s="35">
        <f t="shared" si="140"/>
        <v>92711.336045205157</v>
      </c>
      <c r="Y1460" s="35">
        <f t="shared" si="141"/>
        <v>27587.570273690708</v>
      </c>
      <c r="Z1460" s="35">
        <f t="shared" si="142"/>
        <v>0</v>
      </c>
      <c r="AA1460" s="35">
        <f t="shared" si="143"/>
        <v>1</v>
      </c>
      <c r="AB1460" s="35">
        <f t="shared" si="144"/>
        <v>0</v>
      </c>
    </row>
    <row r="1461" spans="1:28">
      <c r="A1461" s="35">
        <v>1450</v>
      </c>
      <c r="B1461" s="35">
        <v>4.7573604795025926E-4</v>
      </c>
      <c r="C1461" s="232">
        <v>93.09</v>
      </c>
      <c r="D1461" s="35">
        <v>5.06264672011954</v>
      </c>
      <c r="E1461" s="232">
        <v>58.53</v>
      </c>
      <c r="F1461" s="35">
        <v>5.0524937967268091</v>
      </c>
      <c r="G1461" s="232">
        <v>14774.23</v>
      </c>
      <c r="H1461" s="35">
        <v>8.6831858322982338</v>
      </c>
      <c r="I1461" s="232">
        <v>14618.54</v>
      </c>
      <c r="J1461" s="35">
        <v>7.3306621531343374</v>
      </c>
      <c r="K1461" s="232">
        <v>20961.79</v>
      </c>
      <c r="L1461" s="35">
        <v>8.5806482827416755</v>
      </c>
      <c r="M1461" s="232">
        <v>47372.94</v>
      </c>
      <c r="N1461" s="35">
        <v>7.4953627246672907</v>
      </c>
      <c r="P1461" s="232">
        <v>-34.56</v>
      </c>
      <c r="Q1461" s="35">
        <v>1.0152923392730884E-2</v>
      </c>
      <c r="R1461" s="232">
        <v>-155.69</v>
      </c>
      <c r="S1461" s="35">
        <v>1.3525236791638964</v>
      </c>
      <c r="T1461" s="232">
        <v>26411.16</v>
      </c>
      <c r="U1461" s="35">
        <v>1.0852855580743848</v>
      </c>
      <c r="W1461" s="35">
        <f t="shared" si="139"/>
        <v>542.20616963654425</v>
      </c>
      <c r="X1461" s="35">
        <f t="shared" si="140"/>
        <v>67781.873958194818</v>
      </c>
      <c r="Y1461" s="35">
        <f t="shared" si="141"/>
        <v>27853.117903719238</v>
      </c>
      <c r="Z1461" s="35">
        <f t="shared" si="142"/>
        <v>0</v>
      </c>
      <c r="AA1461" s="35">
        <f t="shared" si="143"/>
        <v>1</v>
      </c>
      <c r="AB1461" s="35">
        <f t="shared" si="144"/>
        <v>0</v>
      </c>
    </row>
    <row r="1462" spans="1:28">
      <c r="A1462" s="35">
        <v>1451</v>
      </c>
      <c r="B1462" s="35">
        <v>4.2602698550830938E-4</v>
      </c>
      <c r="C1462" s="232">
        <v>62.06</v>
      </c>
      <c r="D1462" s="35">
        <v>5.0611531459543126</v>
      </c>
      <c r="E1462" s="232">
        <v>38.94</v>
      </c>
      <c r="F1462" s="35">
        <v>5.0511260387802608</v>
      </c>
      <c r="G1462" s="232">
        <v>11483.6</v>
      </c>
      <c r="H1462" s="35">
        <v>9.0476064576479747</v>
      </c>
      <c r="I1462" s="232">
        <v>12652.53</v>
      </c>
      <c r="J1462" s="35">
        <v>7.5246164105947928</v>
      </c>
      <c r="K1462" s="232">
        <v>13078.78</v>
      </c>
      <c r="L1462" s="35">
        <v>8.7386224034774216</v>
      </c>
      <c r="M1462" s="232">
        <v>39043.870000000003</v>
      </c>
      <c r="N1462" s="35">
        <v>7.6438030439207623</v>
      </c>
      <c r="P1462" s="232">
        <v>-23.12</v>
      </c>
      <c r="Q1462" s="35">
        <v>1.0027107174051864E-2</v>
      </c>
      <c r="R1462" s="232">
        <v>1168.93</v>
      </c>
      <c r="S1462" s="35">
        <v>1.5229900470531819</v>
      </c>
      <c r="T1462" s="232">
        <v>25965.09</v>
      </c>
      <c r="U1462" s="35">
        <v>1.0948193595566593</v>
      </c>
      <c r="W1462" s="35">
        <f t="shared" si="139"/>
        <v>524.47535870259321</v>
      </c>
      <c r="X1462" s="35">
        <f t="shared" si="140"/>
        <v>74980.572352659103</v>
      </c>
      <c r="Y1462" s="35">
        <f t="shared" si="141"/>
        <v>28775.877977832966</v>
      </c>
      <c r="Z1462" s="35">
        <f t="shared" si="142"/>
        <v>0</v>
      </c>
      <c r="AA1462" s="35">
        <f t="shared" si="143"/>
        <v>1</v>
      </c>
      <c r="AB1462" s="35">
        <f t="shared" si="144"/>
        <v>0</v>
      </c>
    </row>
    <row r="1463" spans="1:28">
      <c r="A1463" s="35">
        <v>1452</v>
      </c>
      <c r="B1463" s="35">
        <v>4.3293385045347748E-4</v>
      </c>
      <c r="C1463" s="232">
        <v>65.12</v>
      </c>
      <c r="D1463" s="35">
        <v>5.0602468275374504</v>
      </c>
      <c r="E1463" s="232">
        <v>37.83</v>
      </c>
      <c r="F1463" s="35">
        <v>5.0496331556302554</v>
      </c>
      <c r="G1463" s="232">
        <v>11738.08</v>
      </c>
      <c r="H1463" s="35">
        <v>8.5085075977713878</v>
      </c>
      <c r="I1463" s="232">
        <v>12940.93</v>
      </c>
      <c r="J1463" s="35">
        <v>7.2936611714480799</v>
      </c>
      <c r="K1463" s="232">
        <v>14629.3</v>
      </c>
      <c r="L1463" s="35">
        <v>8.8761762630038366</v>
      </c>
      <c r="M1463" s="232">
        <v>40772.32</v>
      </c>
      <c r="N1463" s="35">
        <v>7.7416515257320793</v>
      </c>
      <c r="P1463" s="232">
        <v>-27.29</v>
      </c>
      <c r="Q1463" s="35">
        <v>1.0613671907194977E-2</v>
      </c>
      <c r="R1463" s="232">
        <v>1202.8499999999999</v>
      </c>
      <c r="S1463" s="35">
        <v>1.2148464263233079</v>
      </c>
      <c r="T1463" s="232">
        <v>26143.02</v>
      </c>
      <c r="U1463" s="35">
        <v>1.1345247372717573</v>
      </c>
      <c r="W1463" s="35">
        <f t="shared" si="139"/>
        <v>557.97359535974886</v>
      </c>
      <c r="X1463" s="35">
        <f t="shared" si="140"/>
        <v>59539.471316165393</v>
      </c>
      <c r="Y1463" s="35">
        <f t="shared" si="141"/>
        <v>30583.216863587866</v>
      </c>
      <c r="Z1463" s="35">
        <f t="shared" si="142"/>
        <v>0</v>
      </c>
      <c r="AA1463" s="35">
        <f t="shared" si="143"/>
        <v>1</v>
      </c>
      <c r="AB1463" s="35">
        <f t="shared" si="144"/>
        <v>0</v>
      </c>
    </row>
    <row r="1464" spans="1:28">
      <c r="A1464" s="35">
        <v>1453</v>
      </c>
      <c r="B1464" s="35">
        <v>3.120431467272725E-4</v>
      </c>
      <c r="C1464" s="232">
        <v>36.049999999999997</v>
      </c>
      <c r="D1464" s="35">
        <v>5.0536292684219699</v>
      </c>
      <c r="E1464" s="232">
        <v>25.45</v>
      </c>
      <c r="F1464" s="35">
        <v>5.0474173082184306</v>
      </c>
      <c r="G1464" s="232">
        <v>9213.15</v>
      </c>
      <c r="H1464" s="35">
        <v>8.3751019515414509</v>
      </c>
      <c r="I1464" s="232">
        <v>11102.73</v>
      </c>
      <c r="J1464" s="35">
        <v>7.147665099228929</v>
      </c>
      <c r="K1464" s="232">
        <v>9574.6200000000008</v>
      </c>
      <c r="L1464" s="35">
        <v>8.7725631053918818</v>
      </c>
      <c r="M1464" s="232">
        <v>35393.980000000003</v>
      </c>
      <c r="N1464" s="35">
        <v>7.7241144714976953</v>
      </c>
      <c r="P1464" s="232">
        <v>-10.6</v>
      </c>
      <c r="Q1464" s="35">
        <v>6.2119602035393129E-3</v>
      </c>
      <c r="R1464" s="232">
        <v>1889.58</v>
      </c>
      <c r="S1464" s="35">
        <v>1.2274368523125219</v>
      </c>
      <c r="T1464" s="232">
        <v>25819.37</v>
      </c>
      <c r="U1464" s="35">
        <v>1.0484486338941865</v>
      </c>
      <c r="W1464" s="35">
        <f t="shared" si="139"/>
        <v>321.19801017696568</v>
      </c>
      <c r="X1464" s="35">
        <f t="shared" si="140"/>
        <v>59482.262615626089</v>
      </c>
      <c r="Y1464" s="35">
        <f t="shared" si="141"/>
        <v>26603.061694709326</v>
      </c>
      <c r="Z1464" s="35">
        <f t="shared" si="142"/>
        <v>0</v>
      </c>
      <c r="AA1464" s="35">
        <f t="shared" si="143"/>
        <v>1</v>
      </c>
      <c r="AB1464" s="35">
        <f t="shared" si="144"/>
        <v>0</v>
      </c>
    </row>
    <row r="1465" spans="1:28">
      <c r="A1465" s="35">
        <v>1454</v>
      </c>
      <c r="B1465" s="35">
        <v>4.3343623761152436E-4</v>
      </c>
      <c r="C1465" s="232">
        <v>78.010000000000005</v>
      </c>
      <c r="D1465" s="35">
        <v>5.0593826205971011</v>
      </c>
      <c r="E1465" s="232">
        <v>43.67</v>
      </c>
      <c r="F1465" s="35">
        <v>5.0489256422137094</v>
      </c>
      <c r="G1465" s="232">
        <v>12993.73</v>
      </c>
      <c r="H1465" s="35">
        <v>8.2825468575600834</v>
      </c>
      <c r="I1465" s="232">
        <v>11467.16</v>
      </c>
      <c r="J1465" s="35">
        <v>6.3044058726553303</v>
      </c>
      <c r="K1465" s="232">
        <v>19546.04</v>
      </c>
      <c r="L1465" s="35">
        <v>8.8220419953019107</v>
      </c>
      <c r="M1465" s="232">
        <v>45994.98</v>
      </c>
      <c r="N1465" s="35">
        <v>7.6803173549554549</v>
      </c>
      <c r="P1465" s="232">
        <v>-34.35</v>
      </c>
      <c r="Q1465" s="35">
        <v>1.0456978383391657E-2</v>
      </c>
      <c r="R1465" s="232">
        <v>-1526.57</v>
      </c>
      <c r="S1465" s="35">
        <v>1.9781409849047531</v>
      </c>
      <c r="T1465" s="232">
        <v>26448.95</v>
      </c>
      <c r="U1465" s="35">
        <v>1.1417246403464558</v>
      </c>
      <c r="W1465" s="35">
        <f t="shared" si="139"/>
        <v>557.19891916958284</v>
      </c>
      <c r="X1465" s="35">
        <f t="shared" si="140"/>
        <v>100433.61924523766</v>
      </c>
      <c r="Y1465" s="35">
        <f t="shared" si="141"/>
        <v>30637.282017322792</v>
      </c>
      <c r="Z1465" s="35">
        <f t="shared" si="142"/>
        <v>0</v>
      </c>
      <c r="AA1465" s="35">
        <f t="shared" si="143"/>
        <v>1</v>
      </c>
      <c r="AB1465" s="35">
        <f t="shared" si="144"/>
        <v>0</v>
      </c>
    </row>
    <row r="1466" spans="1:28">
      <c r="A1466" s="35">
        <v>1455</v>
      </c>
      <c r="B1466" s="35">
        <v>3.9027482610997705E-4</v>
      </c>
      <c r="C1466" s="232">
        <v>92.2</v>
      </c>
      <c r="D1466" s="35">
        <v>5.0578350277715067</v>
      </c>
      <c r="E1466" s="232">
        <v>62.84</v>
      </c>
      <c r="F1466" s="35">
        <v>5.0507023951150778</v>
      </c>
      <c r="G1466" s="232">
        <v>18196.98</v>
      </c>
      <c r="H1466" s="35">
        <v>8.5780383629730768</v>
      </c>
      <c r="I1466" s="232">
        <v>18986.759999999998</v>
      </c>
      <c r="J1466" s="35">
        <v>7.7186407876610366</v>
      </c>
      <c r="K1466" s="232">
        <v>23846.080000000002</v>
      </c>
      <c r="L1466" s="35">
        <v>8.5315160029203128</v>
      </c>
      <c r="M1466" s="232">
        <v>50051.8</v>
      </c>
      <c r="N1466" s="35">
        <v>7.4330861384541729</v>
      </c>
      <c r="P1466" s="232">
        <v>-29.36</v>
      </c>
      <c r="Q1466" s="35">
        <v>7.1326326564289388E-3</v>
      </c>
      <c r="R1466" s="232">
        <v>789.78</v>
      </c>
      <c r="S1466" s="35">
        <v>0.8593975753120402</v>
      </c>
      <c r="T1466" s="232">
        <v>26205.72</v>
      </c>
      <c r="U1466" s="35">
        <v>1.0984298644661399</v>
      </c>
      <c r="W1466" s="35">
        <f t="shared" si="139"/>
        <v>385.99163282144696</v>
      </c>
      <c r="X1466" s="35">
        <f t="shared" si="140"/>
        <v>42180.098765602008</v>
      </c>
      <c r="Y1466" s="35">
        <f t="shared" si="141"/>
        <v>28715.773223306991</v>
      </c>
      <c r="Z1466" s="35">
        <f t="shared" si="142"/>
        <v>0</v>
      </c>
      <c r="AA1466" s="35">
        <f t="shared" si="143"/>
        <v>1</v>
      </c>
      <c r="AB1466" s="35">
        <f t="shared" si="144"/>
        <v>0</v>
      </c>
    </row>
    <row r="1467" spans="1:28">
      <c r="A1467" s="35">
        <v>1456</v>
      </c>
      <c r="B1467" s="35">
        <v>5.0549427178891992E-4</v>
      </c>
      <c r="C1467" s="232">
        <v>86.2</v>
      </c>
      <c r="D1467" s="35">
        <v>5.0631337326142365</v>
      </c>
      <c r="E1467" s="232">
        <v>46.64</v>
      </c>
      <c r="F1467" s="35">
        <v>5.0504889455041742</v>
      </c>
      <c r="G1467" s="232">
        <v>13305.5</v>
      </c>
      <c r="H1467" s="35">
        <v>8.5468775274833977</v>
      </c>
      <c r="I1467" s="232">
        <v>13054.09</v>
      </c>
      <c r="J1467" s="35">
        <v>6.7830637787058103</v>
      </c>
      <c r="K1467" s="232">
        <v>18264.810000000001</v>
      </c>
      <c r="L1467" s="35">
        <v>8.6821897141426074</v>
      </c>
      <c r="M1467" s="232">
        <v>44595.95</v>
      </c>
      <c r="N1467" s="35">
        <v>7.6728535654563856</v>
      </c>
      <c r="P1467" s="232">
        <v>-39.57</v>
      </c>
      <c r="Q1467" s="35">
        <v>1.2644787110062339E-2</v>
      </c>
      <c r="R1467" s="232">
        <v>-251.41</v>
      </c>
      <c r="S1467" s="35">
        <v>1.7638137487775873</v>
      </c>
      <c r="T1467" s="232">
        <v>26331.14</v>
      </c>
      <c r="U1467" s="35">
        <v>1.0093361486862218</v>
      </c>
      <c r="W1467" s="35">
        <f t="shared" si="139"/>
        <v>671.80935550311699</v>
      </c>
      <c r="X1467" s="35">
        <f t="shared" si="140"/>
        <v>88442.097438879369</v>
      </c>
      <c r="Y1467" s="35">
        <f t="shared" si="141"/>
        <v>24135.667434311094</v>
      </c>
      <c r="Z1467" s="35">
        <f t="shared" si="142"/>
        <v>0</v>
      </c>
      <c r="AA1467" s="35">
        <f t="shared" si="143"/>
        <v>1</v>
      </c>
      <c r="AB1467" s="35">
        <f t="shared" si="144"/>
        <v>0</v>
      </c>
    </row>
    <row r="1468" spans="1:28">
      <c r="A1468" s="35">
        <v>1457</v>
      </c>
      <c r="B1468" s="35">
        <v>4.8145389122855597E-4</v>
      </c>
      <c r="C1468" s="232">
        <v>84.93</v>
      </c>
      <c r="D1468" s="35">
        <v>5.0633447982615838</v>
      </c>
      <c r="E1468" s="232">
        <v>46.92</v>
      </c>
      <c r="F1468" s="35">
        <v>5.0508679103054162</v>
      </c>
      <c r="G1468" s="232">
        <v>14887.81</v>
      </c>
      <c r="H1468" s="35">
        <v>9.0369075890515358</v>
      </c>
      <c r="I1468" s="232">
        <v>16869.95</v>
      </c>
      <c r="J1468" s="35">
        <v>8.0132179163026294</v>
      </c>
      <c r="K1468" s="232">
        <v>16023.13</v>
      </c>
      <c r="L1468" s="35">
        <v>8.4787381652396761</v>
      </c>
      <c r="M1468" s="232">
        <v>42165.45</v>
      </c>
      <c r="N1468" s="35">
        <v>7.4004847376950043</v>
      </c>
      <c r="P1468" s="232">
        <v>-38.01</v>
      </c>
      <c r="Q1468" s="35">
        <v>1.2476887956167637E-2</v>
      </c>
      <c r="R1468" s="232">
        <v>1982.14</v>
      </c>
      <c r="S1468" s="35">
        <v>1.0236896727489064</v>
      </c>
      <c r="T1468" s="232">
        <v>26142.32</v>
      </c>
      <c r="U1468" s="35">
        <v>1.0782534275446718</v>
      </c>
      <c r="W1468" s="35">
        <f t="shared" si="139"/>
        <v>661.8543978083818</v>
      </c>
      <c r="X1468" s="35">
        <f t="shared" si="140"/>
        <v>49202.343637445323</v>
      </c>
      <c r="Y1468" s="35">
        <f t="shared" si="141"/>
        <v>27770.351377233586</v>
      </c>
      <c r="Z1468" s="35">
        <f t="shared" si="142"/>
        <v>0</v>
      </c>
      <c r="AA1468" s="35">
        <f t="shared" si="143"/>
        <v>1</v>
      </c>
      <c r="AB1468" s="35">
        <f t="shared" si="144"/>
        <v>0</v>
      </c>
    </row>
    <row r="1469" spans="1:28">
      <c r="A1469" s="35">
        <v>1458</v>
      </c>
      <c r="B1469" s="35">
        <v>3.8042532762251461E-4</v>
      </c>
      <c r="C1469" s="232">
        <v>50.21</v>
      </c>
      <c r="D1469" s="35">
        <v>5.0584264646786439</v>
      </c>
      <c r="E1469" s="232">
        <v>31.03</v>
      </c>
      <c r="F1469" s="35">
        <v>5.0490977692331471</v>
      </c>
      <c r="G1469" s="232">
        <v>10351.25</v>
      </c>
      <c r="H1469" s="35">
        <v>9.0726762615131626</v>
      </c>
      <c r="I1469" s="232">
        <v>11860.01</v>
      </c>
      <c r="J1469" s="35">
        <v>8.3059993779596795</v>
      </c>
      <c r="K1469" s="232">
        <v>13292.82</v>
      </c>
      <c r="L1469" s="35">
        <v>8.5233665535591321</v>
      </c>
      <c r="M1469" s="232">
        <v>39323.69</v>
      </c>
      <c r="N1469" s="35">
        <v>7.4441393165969219</v>
      </c>
      <c r="P1469" s="232">
        <v>-19.18</v>
      </c>
      <c r="Q1469" s="35">
        <v>9.3286954454967486E-3</v>
      </c>
      <c r="R1469" s="232">
        <v>1508.75</v>
      </c>
      <c r="S1469" s="35">
        <v>0.76667688355348318</v>
      </c>
      <c r="T1469" s="232">
        <v>26030.87</v>
      </c>
      <c r="U1469" s="35">
        <v>1.0792272369622102</v>
      </c>
      <c r="W1469" s="35">
        <f t="shared" si="139"/>
        <v>485.61477227483743</v>
      </c>
      <c r="X1469" s="35">
        <f t="shared" si="140"/>
        <v>36825.09417767416</v>
      </c>
      <c r="Y1469" s="35">
        <f t="shared" si="141"/>
        <v>27930.491848110516</v>
      </c>
      <c r="Z1469" s="35">
        <f t="shared" si="142"/>
        <v>0</v>
      </c>
      <c r="AA1469" s="35">
        <f t="shared" si="143"/>
        <v>1</v>
      </c>
      <c r="AB1469" s="35">
        <f t="shared" si="144"/>
        <v>0</v>
      </c>
    </row>
    <row r="1470" spans="1:28">
      <c r="A1470" s="35">
        <v>1459</v>
      </c>
      <c r="B1470" s="35">
        <v>3.536661463060075E-4</v>
      </c>
      <c r="C1470" s="232">
        <v>55.84</v>
      </c>
      <c r="D1470" s="35">
        <v>5.0545264827537597</v>
      </c>
      <c r="E1470" s="232">
        <v>38.22</v>
      </c>
      <c r="F1470" s="35">
        <v>5.048199300970694</v>
      </c>
      <c r="G1470" s="232">
        <v>11526.5</v>
      </c>
      <c r="H1470" s="35">
        <v>8.0313062907449755</v>
      </c>
      <c r="I1470" s="232">
        <v>12149.47</v>
      </c>
      <c r="J1470" s="35">
        <v>6.904682210971739</v>
      </c>
      <c r="K1470" s="232">
        <v>16194.39</v>
      </c>
      <c r="L1470" s="35">
        <v>8.4539046645181521</v>
      </c>
      <c r="M1470" s="232">
        <v>42355.9</v>
      </c>
      <c r="N1470" s="35">
        <v>7.3241477183778123</v>
      </c>
      <c r="P1470" s="232">
        <v>-17.61</v>
      </c>
      <c r="Q1470" s="35">
        <v>6.3271817830656829E-3</v>
      </c>
      <c r="R1470" s="232">
        <v>622.97</v>
      </c>
      <c r="S1470" s="35">
        <v>1.1266240797732365</v>
      </c>
      <c r="T1470" s="232">
        <v>26161.51</v>
      </c>
      <c r="U1470" s="35">
        <v>1.1297569461403398</v>
      </c>
      <c r="W1470" s="35">
        <f t="shared" si="139"/>
        <v>333.96908915328413</v>
      </c>
      <c r="X1470" s="35">
        <f t="shared" si="140"/>
        <v>55708.233988661828</v>
      </c>
      <c r="Y1470" s="35">
        <f t="shared" si="141"/>
        <v>30326.337307016995</v>
      </c>
      <c r="Z1470" s="35">
        <f t="shared" si="142"/>
        <v>0</v>
      </c>
      <c r="AA1470" s="35">
        <f t="shared" si="143"/>
        <v>1</v>
      </c>
      <c r="AB1470" s="35">
        <f t="shared" si="144"/>
        <v>0</v>
      </c>
    </row>
    <row r="1471" spans="1:28">
      <c r="A1471" s="35">
        <v>1460</v>
      </c>
      <c r="B1471" s="35">
        <v>4.943132976533704E-4</v>
      </c>
      <c r="C1471" s="232">
        <v>56.21</v>
      </c>
      <c r="D1471" s="35">
        <v>5.0653983741460218</v>
      </c>
      <c r="E1471" s="232">
        <v>33.99</v>
      </c>
      <c r="F1471" s="35">
        <v>5.0527483394553299</v>
      </c>
      <c r="G1471" s="232">
        <v>8928.36</v>
      </c>
      <c r="H1471" s="35">
        <v>8.9914591350935495</v>
      </c>
      <c r="I1471" s="232">
        <v>10524.69</v>
      </c>
      <c r="J1471" s="35">
        <v>7.2890451414248396</v>
      </c>
      <c r="K1471" s="232">
        <v>9028.77</v>
      </c>
      <c r="L1471" s="35">
        <v>9.0650531296376275</v>
      </c>
      <c r="M1471" s="232">
        <v>34791.360000000001</v>
      </c>
      <c r="N1471" s="35">
        <v>8.0090769668852158</v>
      </c>
      <c r="P1471" s="232">
        <v>-22.21</v>
      </c>
      <c r="Q1471" s="35">
        <v>1.2650034690691925E-2</v>
      </c>
      <c r="R1471" s="232">
        <v>1596.33</v>
      </c>
      <c r="S1471" s="35">
        <v>1.7024139936687099</v>
      </c>
      <c r="T1471" s="232">
        <v>25762.58</v>
      </c>
      <c r="U1471" s="35">
        <v>1.0559761627524118</v>
      </c>
      <c r="W1471" s="35">
        <f t="shared" si="139"/>
        <v>654.7117345345963</v>
      </c>
      <c r="X1471" s="35">
        <f t="shared" si="140"/>
        <v>83524.369683435492</v>
      </c>
      <c r="Y1471" s="35">
        <f t="shared" si="141"/>
        <v>27036.228137620586</v>
      </c>
      <c r="Z1471" s="35">
        <f t="shared" si="142"/>
        <v>0</v>
      </c>
      <c r="AA1471" s="35">
        <f t="shared" si="143"/>
        <v>1</v>
      </c>
      <c r="AB1471" s="35">
        <f t="shared" si="144"/>
        <v>0</v>
      </c>
    </row>
    <row r="1472" spans="1:28">
      <c r="A1472" s="35">
        <v>1461</v>
      </c>
      <c r="B1472" s="35">
        <v>4.7682380042346484E-4</v>
      </c>
      <c r="C1472" s="232">
        <v>65.34</v>
      </c>
      <c r="D1472" s="35">
        <v>5.060252959525056</v>
      </c>
      <c r="E1472" s="232">
        <v>41.97</v>
      </c>
      <c r="F1472" s="35">
        <v>5.0510131614527785</v>
      </c>
      <c r="G1472" s="232">
        <v>10455.16</v>
      </c>
      <c r="H1472" s="35">
        <v>8.2604851604203891</v>
      </c>
      <c r="I1472" s="232">
        <v>11020.69</v>
      </c>
      <c r="J1472" s="35">
        <v>6.9225048514660994</v>
      </c>
      <c r="K1472" s="232">
        <v>14467.63</v>
      </c>
      <c r="L1472" s="35">
        <v>8.1968981987021508</v>
      </c>
      <c r="M1472" s="232">
        <v>40640.5</v>
      </c>
      <c r="N1472" s="35">
        <v>7.1107212572572802</v>
      </c>
      <c r="P1472" s="232">
        <v>-23.37</v>
      </c>
      <c r="Q1472" s="35">
        <v>9.2397980722775941E-3</v>
      </c>
      <c r="R1472" s="232">
        <v>565.53</v>
      </c>
      <c r="S1472" s="35">
        <v>1.3379803089542897</v>
      </c>
      <c r="T1472" s="232">
        <v>26172.87</v>
      </c>
      <c r="U1472" s="35">
        <v>1.0861769414448705</v>
      </c>
      <c r="W1472" s="35">
        <f t="shared" si="139"/>
        <v>485.35990361387974</v>
      </c>
      <c r="X1472" s="35">
        <f t="shared" si="140"/>
        <v>66333.485447714484</v>
      </c>
      <c r="Y1472" s="35">
        <f t="shared" si="141"/>
        <v>28135.977072243531</v>
      </c>
      <c r="Z1472" s="35">
        <f t="shared" si="142"/>
        <v>0</v>
      </c>
      <c r="AA1472" s="35">
        <f t="shared" si="143"/>
        <v>1</v>
      </c>
      <c r="AB1472" s="35">
        <f t="shared" si="144"/>
        <v>0</v>
      </c>
    </row>
    <row r="1473" spans="1:28">
      <c r="A1473" s="35">
        <v>1462</v>
      </c>
      <c r="B1473" s="35">
        <v>3.8687662782034652E-4</v>
      </c>
      <c r="C1473" s="232">
        <v>58.21</v>
      </c>
      <c r="D1473" s="35">
        <v>5.0589752736415488</v>
      </c>
      <c r="E1473" s="232">
        <v>36.590000000000003</v>
      </c>
      <c r="F1473" s="35">
        <v>5.0498311831600189</v>
      </c>
      <c r="G1473" s="232">
        <v>11497.78</v>
      </c>
      <c r="H1473" s="35">
        <v>9.1353753347708153</v>
      </c>
      <c r="I1473" s="232">
        <v>12556.93</v>
      </c>
      <c r="J1473" s="35">
        <v>7.5469781339322797</v>
      </c>
      <c r="K1473" s="232">
        <v>11854.21</v>
      </c>
      <c r="L1473" s="35">
        <v>8.5546079510294852</v>
      </c>
      <c r="M1473" s="232">
        <v>37772.85</v>
      </c>
      <c r="N1473" s="35">
        <v>7.5084834950517418</v>
      </c>
      <c r="P1473" s="232">
        <v>-21.62</v>
      </c>
      <c r="Q1473" s="35">
        <v>9.1440904815298651E-3</v>
      </c>
      <c r="R1473" s="232">
        <v>1059.1500000000001</v>
      </c>
      <c r="S1473" s="35">
        <v>1.5883972008385356</v>
      </c>
      <c r="T1473" s="232">
        <v>25918.639999999999</v>
      </c>
      <c r="U1473" s="35">
        <v>1.0461244559777434</v>
      </c>
      <c r="W1473" s="35">
        <f t="shared" si="139"/>
        <v>478.82452407649328</v>
      </c>
      <c r="X1473" s="35">
        <f t="shared" si="140"/>
        <v>78360.710041926781</v>
      </c>
      <c r="Y1473" s="35">
        <f t="shared" si="141"/>
        <v>26387.582798887168</v>
      </c>
      <c r="Z1473" s="35">
        <f t="shared" si="142"/>
        <v>0</v>
      </c>
      <c r="AA1473" s="35">
        <f t="shared" si="143"/>
        <v>1</v>
      </c>
      <c r="AB1473" s="35">
        <f t="shared" si="144"/>
        <v>0</v>
      </c>
    </row>
    <row r="1474" spans="1:28">
      <c r="A1474" s="35">
        <v>1463</v>
      </c>
      <c r="B1474" s="35">
        <v>4.9171689402871532E-4</v>
      </c>
      <c r="C1474" s="232">
        <v>76.62</v>
      </c>
      <c r="D1474" s="35">
        <v>5.0630382493827462</v>
      </c>
      <c r="E1474" s="232">
        <v>49.03</v>
      </c>
      <c r="F1474" s="35">
        <v>5.0527930925522648</v>
      </c>
      <c r="G1474" s="232">
        <v>12429.12</v>
      </c>
      <c r="H1474" s="35">
        <v>8.5089848876630327</v>
      </c>
      <c r="I1474" s="232">
        <v>13889.02</v>
      </c>
      <c r="J1474" s="35">
        <v>7.4021135684773949</v>
      </c>
      <c r="K1474" s="232">
        <v>15204.93</v>
      </c>
      <c r="L1474" s="35">
        <v>8.6784978329554558</v>
      </c>
      <c r="M1474" s="232">
        <v>41408.71</v>
      </c>
      <c r="N1474" s="35">
        <v>7.5468969194706554</v>
      </c>
      <c r="P1474" s="232">
        <v>-27.59</v>
      </c>
      <c r="Q1474" s="35">
        <v>1.0245156830481328E-2</v>
      </c>
      <c r="R1474" s="232">
        <v>1459.91</v>
      </c>
      <c r="S1474" s="35">
        <v>1.1068713191856379</v>
      </c>
      <c r="T1474" s="232">
        <v>26203.77</v>
      </c>
      <c r="U1474" s="35">
        <v>1.1316009134848004</v>
      </c>
      <c r="W1474" s="35">
        <f t="shared" si="139"/>
        <v>539.84784152406644</v>
      </c>
      <c r="X1474" s="35">
        <f t="shared" si="140"/>
        <v>53883.655959281888</v>
      </c>
      <c r="Y1474" s="35">
        <f t="shared" si="141"/>
        <v>30376.27567424002</v>
      </c>
      <c r="Z1474" s="35">
        <f t="shared" si="142"/>
        <v>0</v>
      </c>
      <c r="AA1474" s="35">
        <f t="shared" si="143"/>
        <v>1</v>
      </c>
      <c r="AB1474" s="35">
        <f t="shared" si="144"/>
        <v>0</v>
      </c>
    </row>
    <row r="1475" spans="1:28">
      <c r="A1475" s="35">
        <v>1464</v>
      </c>
      <c r="B1475" s="35">
        <v>3.7690728338053416E-4</v>
      </c>
      <c r="C1475" s="232">
        <v>50.16</v>
      </c>
      <c r="D1475" s="35">
        <v>5.0569006718262033</v>
      </c>
      <c r="E1475" s="232">
        <v>31.89</v>
      </c>
      <c r="F1475" s="35">
        <v>5.0486015275972944</v>
      </c>
      <c r="G1475" s="232">
        <v>9615.91</v>
      </c>
      <c r="H1475" s="35">
        <v>8.4287838644279809</v>
      </c>
      <c r="I1475" s="232">
        <v>11056.48</v>
      </c>
      <c r="J1475" s="35">
        <v>7.7175665957708492</v>
      </c>
      <c r="K1475" s="232">
        <v>12006.77</v>
      </c>
      <c r="L1475" s="35">
        <v>8.7147677319031072</v>
      </c>
      <c r="M1475" s="232">
        <v>37862.33</v>
      </c>
      <c r="N1475" s="35">
        <v>7.6622706754848569</v>
      </c>
      <c r="P1475" s="232">
        <v>-18.27</v>
      </c>
      <c r="Q1475" s="35">
        <v>8.2991442289088724E-3</v>
      </c>
      <c r="R1475" s="232">
        <v>1440.57</v>
      </c>
      <c r="S1475" s="35">
        <v>0.71121726865713164</v>
      </c>
      <c r="T1475" s="232">
        <v>25855.56</v>
      </c>
      <c r="U1475" s="35">
        <v>1.0524970564182503</v>
      </c>
      <c r="W1475" s="35">
        <f t="shared" si="139"/>
        <v>433.22721144544357</v>
      </c>
      <c r="X1475" s="35">
        <f t="shared" si="140"/>
        <v>34120.293432856583</v>
      </c>
      <c r="Y1475" s="35">
        <f t="shared" si="141"/>
        <v>26769.292820912513</v>
      </c>
      <c r="Z1475" s="35">
        <f t="shared" si="142"/>
        <v>0</v>
      </c>
      <c r="AA1475" s="35">
        <f t="shared" si="143"/>
        <v>1</v>
      </c>
      <c r="AB1475" s="35">
        <f t="shared" si="144"/>
        <v>0</v>
      </c>
    </row>
    <row r="1476" spans="1:28">
      <c r="A1476" s="35">
        <v>1465</v>
      </c>
      <c r="B1476" s="35">
        <v>4.1811665415193272E-4</v>
      </c>
      <c r="C1476" s="232">
        <v>50.77</v>
      </c>
      <c r="D1476" s="35">
        <v>5.0583959846458519</v>
      </c>
      <c r="E1476" s="232">
        <v>31.17</v>
      </c>
      <c r="F1476" s="35">
        <v>5.0490144630954212</v>
      </c>
      <c r="G1476" s="232">
        <v>8616</v>
      </c>
      <c r="H1476" s="35">
        <v>8.176490288685816</v>
      </c>
      <c r="I1476" s="232">
        <v>8675.2199999999993</v>
      </c>
      <c r="J1476" s="35">
        <v>6.5777518975859381</v>
      </c>
      <c r="K1476" s="232">
        <v>13389.03</v>
      </c>
      <c r="L1476" s="35">
        <v>8.8117763040737156</v>
      </c>
      <c r="M1476" s="232">
        <v>39437.879999999997</v>
      </c>
      <c r="N1476" s="35">
        <v>7.7428397781458456</v>
      </c>
      <c r="P1476" s="232">
        <v>-19.600000000000001</v>
      </c>
      <c r="Q1476" s="35">
        <v>9.3815215504307048E-3</v>
      </c>
      <c r="R1476" s="232">
        <v>59.22</v>
      </c>
      <c r="S1476" s="35">
        <v>1.5987383910998778</v>
      </c>
      <c r="T1476" s="232">
        <v>26048.86</v>
      </c>
      <c r="U1476" s="35">
        <v>1.06893652592787</v>
      </c>
      <c r="W1476" s="35">
        <f t="shared" si="139"/>
        <v>488.67607752153526</v>
      </c>
      <c r="X1476" s="35">
        <f t="shared" si="140"/>
        <v>79877.699554993887</v>
      </c>
      <c r="Y1476" s="35">
        <f t="shared" si="141"/>
        <v>27397.966296393504</v>
      </c>
      <c r="Z1476" s="35">
        <f t="shared" si="142"/>
        <v>0</v>
      </c>
      <c r="AA1476" s="35">
        <f t="shared" si="143"/>
        <v>1</v>
      </c>
      <c r="AB1476" s="35">
        <f t="shared" si="144"/>
        <v>0</v>
      </c>
    </row>
    <row r="1477" spans="1:28">
      <c r="A1477" s="35">
        <v>1466</v>
      </c>
      <c r="B1477" s="35">
        <v>5.2761032858161805E-4</v>
      </c>
      <c r="C1477" s="232">
        <v>74.58</v>
      </c>
      <c r="D1477" s="35">
        <v>5.0652249601058221</v>
      </c>
      <c r="E1477" s="232">
        <v>43.45</v>
      </c>
      <c r="F1477" s="35">
        <v>5.0524849100487224</v>
      </c>
      <c r="G1477" s="232">
        <v>11394.89</v>
      </c>
      <c r="H1477" s="35">
        <v>8.8237721821581019</v>
      </c>
      <c r="I1477" s="232">
        <v>12968.7</v>
      </c>
      <c r="J1477" s="35">
        <v>7.7232470662075938</v>
      </c>
      <c r="K1477" s="232">
        <v>13147.47</v>
      </c>
      <c r="L1477" s="35">
        <v>8.6137341923528101</v>
      </c>
      <c r="M1477" s="232">
        <v>39223.39</v>
      </c>
      <c r="N1477" s="35">
        <v>7.6340737083809191</v>
      </c>
      <c r="P1477" s="232">
        <v>-31.14</v>
      </c>
      <c r="Q1477" s="35">
        <v>1.2740050057099772E-2</v>
      </c>
      <c r="R1477" s="232">
        <v>1573.8</v>
      </c>
      <c r="S1477" s="35">
        <v>1.1005251159505081</v>
      </c>
      <c r="T1477" s="232">
        <v>26075.919999999998</v>
      </c>
      <c r="U1477" s="35">
        <v>0.97966048397189098</v>
      </c>
      <c r="W1477" s="35">
        <f t="shared" si="139"/>
        <v>668.14250285498861</v>
      </c>
      <c r="X1477" s="35">
        <f t="shared" si="140"/>
        <v>53452.455797525399</v>
      </c>
      <c r="Y1477" s="35">
        <f t="shared" si="141"/>
        <v>22907.104198594549</v>
      </c>
      <c r="Z1477" s="35">
        <f t="shared" si="142"/>
        <v>0</v>
      </c>
      <c r="AA1477" s="35">
        <f t="shared" si="143"/>
        <v>1</v>
      </c>
      <c r="AB1477" s="35">
        <f t="shared" si="144"/>
        <v>0</v>
      </c>
    </row>
    <row r="1478" spans="1:28">
      <c r="A1478" s="35">
        <v>1467</v>
      </c>
      <c r="B1478" s="35">
        <v>5.2279148250666818E-4</v>
      </c>
      <c r="C1478" s="232">
        <v>90.21</v>
      </c>
      <c r="D1478" s="35">
        <v>5.0652133270289221</v>
      </c>
      <c r="E1478" s="232">
        <v>56.74</v>
      </c>
      <c r="F1478" s="35">
        <v>5.0539782916331086</v>
      </c>
      <c r="G1478" s="232">
        <v>13254.27</v>
      </c>
      <c r="H1478" s="35">
        <v>8.7952493535992229</v>
      </c>
      <c r="I1478" s="232">
        <v>13035.39</v>
      </c>
      <c r="J1478" s="35">
        <v>7.1706228203798892</v>
      </c>
      <c r="K1478" s="232">
        <v>18301.12</v>
      </c>
      <c r="L1478" s="35">
        <v>8.5581496012405012</v>
      </c>
      <c r="M1478" s="232">
        <v>44527.14</v>
      </c>
      <c r="N1478" s="35">
        <v>7.4939359923864686</v>
      </c>
      <c r="P1478" s="232">
        <v>-33.47</v>
      </c>
      <c r="Q1478" s="35">
        <v>1.1235035395813497E-2</v>
      </c>
      <c r="R1478" s="232">
        <v>-218.87</v>
      </c>
      <c r="S1478" s="35">
        <v>1.6246265332193337</v>
      </c>
      <c r="T1478" s="232">
        <v>26226.02</v>
      </c>
      <c r="U1478" s="35">
        <v>1.0642136088540326</v>
      </c>
      <c r="W1478" s="35">
        <f t="shared" si="139"/>
        <v>595.2217697906749</v>
      </c>
      <c r="X1478" s="35">
        <f t="shared" si="140"/>
        <v>81450.196660966685</v>
      </c>
      <c r="Y1478" s="35">
        <f t="shared" si="141"/>
        <v>26984.660442701632</v>
      </c>
      <c r="Z1478" s="35">
        <f t="shared" si="142"/>
        <v>0</v>
      </c>
      <c r="AA1478" s="35">
        <f t="shared" si="143"/>
        <v>1</v>
      </c>
      <c r="AB1478" s="35">
        <f t="shared" si="144"/>
        <v>0</v>
      </c>
    </row>
    <row r="1479" spans="1:28">
      <c r="A1479" s="35">
        <v>1468</v>
      </c>
      <c r="B1479" s="35">
        <v>2.9722523365212236E-4</v>
      </c>
      <c r="C1479" s="232">
        <v>56.19</v>
      </c>
      <c r="D1479" s="35">
        <v>5.0537070342464734</v>
      </c>
      <c r="E1479" s="232">
        <v>33.81</v>
      </c>
      <c r="F1479" s="35">
        <v>5.0463907397961423</v>
      </c>
      <c r="G1479" s="232">
        <v>14906.31</v>
      </c>
      <c r="H1479" s="35">
        <v>9.001004585849941</v>
      </c>
      <c r="I1479" s="232">
        <v>15621.33</v>
      </c>
      <c r="J1479" s="35">
        <v>7.8272213635118746</v>
      </c>
      <c r="K1479" s="232">
        <v>18711.310000000001</v>
      </c>
      <c r="L1479" s="35">
        <v>8.4751781255128265</v>
      </c>
      <c r="M1479" s="232">
        <v>44988.28</v>
      </c>
      <c r="N1479" s="35">
        <v>7.3751864253836077</v>
      </c>
      <c r="P1479" s="232">
        <v>-22.38</v>
      </c>
      <c r="Q1479" s="35">
        <v>7.3162944503311067E-3</v>
      </c>
      <c r="R1479" s="232">
        <v>715.02</v>
      </c>
      <c r="S1479" s="35">
        <v>1.1737832223380664</v>
      </c>
      <c r="T1479" s="232">
        <v>26276.97</v>
      </c>
      <c r="U1479" s="35">
        <v>1.0999917001292188</v>
      </c>
      <c r="W1479" s="35">
        <f t="shared" si="139"/>
        <v>388.19472251655532</v>
      </c>
      <c r="X1479" s="35">
        <f t="shared" si="140"/>
        <v>57974.141116903324</v>
      </c>
      <c r="Y1479" s="35">
        <f t="shared" si="141"/>
        <v>28722.615006460939</v>
      </c>
      <c r="Z1479" s="35">
        <f t="shared" si="142"/>
        <v>0</v>
      </c>
      <c r="AA1479" s="35">
        <f t="shared" si="143"/>
        <v>1</v>
      </c>
      <c r="AB1479" s="35">
        <f t="shared" si="144"/>
        <v>0</v>
      </c>
    </row>
    <row r="1480" spans="1:28">
      <c r="A1480" s="35">
        <v>1469</v>
      </c>
      <c r="B1480" s="35">
        <v>4.8144361341095898E-4</v>
      </c>
      <c r="C1480" s="232">
        <v>67.83</v>
      </c>
      <c r="D1480" s="35">
        <v>5.0631397833432672</v>
      </c>
      <c r="E1480" s="232">
        <v>42.27</v>
      </c>
      <c r="F1480" s="35">
        <v>5.0522762600527642</v>
      </c>
      <c r="G1480" s="232">
        <v>10412.969999999999</v>
      </c>
      <c r="H1480" s="35">
        <v>8.5276791846697364</v>
      </c>
      <c r="I1480" s="232">
        <v>12423.76</v>
      </c>
      <c r="J1480" s="35">
        <v>8.3543005536374011</v>
      </c>
      <c r="K1480" s="232">
        <v>15231.51</v>
      </c>
      <c r="L1480" s="35">
        <v>9.013267610219609</v>
      </c>
      <c r="M1480" s="232">
        <v>41293.019999999997</v>
      </c>
      <c r="N1480" s="35">
        <v>7.8727456834943466</v>
      </c>
      <c r="P1480" s="232">
        <v>-25.56</v>
      </c>
      <c r="Q1480" s="35">
        <v>1.0863523290502997E-2</v>
      </c>
      <c r="R1480" s="232">
        <v>2010.78</v>
      </c>
      <c r="S1480" s="35">
        <v>0.17337863103233531</v>
      </c>
      <c r="T1480" s="232">
        <v>26061.51</v>
      </c>
      <c r="U1480" s="35">
        <v>1.1405219267252624</v>
      </c>
      <c r="W1480" s="35">
        <f t="shared" si="139"/>
        <v>568.73616452514977</v>
      </c>
      <c r="X1480" s="35">
        <f t="shared" si="140"/>
        <v>6658.1515516167665</v>
      </c>
      <c r="Y1480" s="35">
        <f t="shared" si="141"/>
        <v>30964.586336263124</v>
      </c>
      <c r="Z1480" s="35">
        <f t="shared" si="142"/>
        <v>0</v>
      </c>
      <c r="AA1480" s="35">
        <f t="shared" si="143"/>
        <v>0</v>
      </c>
      <c r="AB1480" s="35">
        <f t="shared" si="144"/>
        <v>1</v>
      </c>
    </row>
    <row r="1481" spans="1:28">
      <c r="A1481" s="35">
        <v>1470</v>
      </c>
      <c r="B1481" s="35">
        <v>3.7044379248238666E-4</v>
      </c>
      <c r="C1481" s="232">
        <v>48.96</v>
      </c>
      <c r="D1481" s="35">
        <v>5.0589423792980552</v>
      </c>
      <c r="E1481" s="232">
        <v>35.700000000000003</v>
      </c>
      <c r="F1481" s="35">
        <v>5.0516766077110651</v>
      </c>
      <c r="G1481" s="232">
        <v>9925.5499999999993</v>
      </c>
      <c r="H1481" s="35">
        <v>9.0912829730490365</v>
      </c>
      <c r="I1481" s="232">
        <v>11564.08</v>
      </c>
      <c r="J1481" s="35">
        <v>8.4053218687511357</v>
      </c>
      <c r="K1481" s="232">
        <v>12123.11</v>
      </c>
      <c r="L1481" s="35">
        <v>8.8371204574225608</v>
      </c>
      <c r="M1481" s="232">
        <v>38115.379999999997</v>
      </c>
      <c r="N1481" s="35">
        <v>7.6758252670011613</v>
      </c>
      <c r="P1481" s="232">
        <v>-13.26</v>
      </c>
      <c r="Q1481" s="35">
        <v>7.2657715869901551E-3</v>
      </c>
      <c r="R1481" s="232">
        <v>1638.53</v>
      </c>
      <c r="S1481" s="35">
        <v>0.6859611042979008</v>
      </c>
      <c r="T1481" s="232">
        <v>25992.27</v>
      </c>
      <c r="U1481" s="35">
        <v>1.1612951904213995</v>
      </c>
      <c r="W1481" s="35">
        <f t="shared" si="139"/>
        <v>376.54857934950775</v>
      </c>
      <c r="X1481" s="35">
        <f t="shared" si="140"/>
        <v>32659.525214895039</v>
      </c>
      <c r="Y1481" s="35">
        <f t="shared" si="141"/>
        <v>32072.489521069972</v>
      </c>
      <c r="Z1481" s="35">
        <f t="shared" si="142"/>
        <v>0</v>
      </c>
      <c r="AA1481" s="35">
        <f t="shared" si="143"/>
        <v>1</v>
      </c>
      <c r="AB1481" s="35">
        <f t="shared" si="144"/>
        <v>0</v>
      </c>
    </row>
    <row r="1482" spans="1:28">
      <c r="A1482" s="35">
        <v>1471</v>
      </c>
      <c r="B1482" s="35">
        <v>3.9294655650694694E-4</v>
      </c>
      <c r="C1482" s="232">
        <v>86.55</v>
      </c>
      <c r="D1482" s="35">
        <v>5.058081577397938</v>
      </c>
      <c r="E1482" s="232">
        <v>63.61</v>
      </c>
      <c r="F1482" s="35">
        <v>5.051884825695403</v>
      </c>
      <c r="G1482" s="232">
        <v>16602.89</v>
      </c>
      <c r="H1482" s="35">
        <v>8.58260325204105</v>
      </c>
      <c r="I1482" s="232">
        <v>17118.95</v>
      </c>
      <c r="J1482" s="35">
        <v>7.5715465189746682</v>
      </c>
      <c r="K1482" s="232">
        <v>21970.68</v>
      </c>
      <c r="L1482" s="35">
        <v>8.4627644352982028</v>
      </c>
      <c r="M1482" s="232">
        <v>48211.48</v>
      </c>
      <c r="N1482" s="35">
        <v>7.4415758960403808</v>
      </c>
      <c r="P1482" s="232">
        <v>-22.94</v>
      </c>
      <c r="Q1482" s="35">
        <v>6.196751702534975E-3</v>
      </c>
      <c r="R1482" s="232">
        <v>516.04999999999995</v>
      </c>
      <c r="S1482" s="35">
        <v>1.0110567330663818</v>
      </c>
      <c r="T1482" s="232">
        <v>26240.799999999999</v>
      </c>
      <c r="U1482" s="35">
        <v>1.0211885392578219</v>
      </c>
      <c r="W1482" s="35">
        <f t="shared" si="139"/>
        <v>332.77758512674876</v>
      </c>
      <c r="X1482" s="35">
        <f t="shared" si="140"/>
        <v>50036.786653319083</v>
      </c>
      <c r="Y1482" s="35">
        <f t="shared" si="141"/>
        <v>24818.6269628911</v>
      </c>
      <c r="Z1482" s="35">
        <f t="shared" si="142"/>
        <v>0</v>
      </c>
      <c r="AA1482" s="35">
        <f t="shared" si="143"/>
        <v>1</v>
      </c>
      <c r="AB1482" s="35">
        <f t="shared" si="144"/>
        <v>0</v>
      </c>
    </row>
    <row r="1483" spans="1:28">
      <c r="A1483" s="35">
        <v>1472</v>
      </c>
      <c r="B1483" s="35">
        <v>5.3857501610488079E-4</v>
      </c>
      <c r="C1483" s="232">
        <v>78.09</v>
      </c>
      <c r="D1483" s="35">
        <v>5.0671817974300408</v>
      </c>
      <c r="E1483" s="232">
        <v>48.73</v>
      </c>
      <c r="F1483" s="35">
        <v>5.0548092944436966</v>
      </c>
      <c r="G1483" s="232">
        <v>11113.31</v>
      </c>
      <c r="H1483" s="35">
        <v>9.0244972562659189</v>
      </c>
      <c r="I1483" s="232">
        <v>11630.25</v>
      </c>
      <c r="J1483" s="35">
        <v>7.233812234049446</v>
      </c>
      <c r="K1483" s="232">
        <v>13389.97</v>
      </c>
      <c r="L1483" s="35">
        <v>8.6725939994080559</v>
      </c>
      <c r="M1483" s="232">
        <v>39432.6</v>
      </c>
      <c r="N1483" s="35">
        <v>7.5991204831066312</v>
      </c>
      <c r="P1483" s="232">
        <v>-29.35</v>
      </c>
      <c r="Q1483" s="35">
        <v>1.237250298634418E-2</v>
      </c>
      <c r="R1483" s="232">
        <v>516.92999999999995</v>
      </c>
      <c r="S1483" s="35">
        <v>1.790685022216473</v>
      </c>
      <c r="T1483" s="232">
        <v>26042.62</v>
      </c>
      <c r="U1483" s="35">
        <v>1.0734735163014246</v>
      </c>
      <c r="W1483" s="35">
        <f t="shared" si="139"/>
        <v>647.975149317209</v>
      </c>
      <c r="X1483" s="35">
        <f t="shared" si="140"/>
        <v>89017.321110823657</v>
      </c>
      <c r="Y1483" s="35">
        <f t="shared" si="141"/>
        <v>27631.055815071235</v>
      </c>
      <c r="Z1483" s="35">
        <f t="shared" si="142"/>
        <v>0</v>
      </c>
      <c r="AA1483" s="35">
        <f t="shared" si="143"/>
        <v>1</v>
      </c>
      <c r="AB1483" s="35">
        <f t="shared" si="144"/>
        <v>0</v>
      </c>
    </row>
    <row r="1484" spans="1:28">
      <c r="A1484" s="35">
        <v>1473</v>
      </c>
      <c r="B1484" s="35">
        <v>4.3716829853128193E-4</v>
      </c>
      <c r="C1484" s="232">
        <v>74.900000000000006</v>
      </c>
      <c r="D1484" s="35">
        <v>5.0614487062930325</v>
      </c>
      <c r="E1484" s="232">
        <v>48.73</v>
      </c>
      <c r="F1484" s="35">
        <v>5.0520764534336253</v>
      </c>
      <c r="G1484" s="232">
        <v>13246.1</v>
      </c>
      <c r="H1484" s="35">
        <v>8.991327999529485</v>
      </c>
      <c r="I1484" s="232">
        <v>14390.96</v>
      </c>
      <c r="J1484" s="35">
        <v>8.0854249703848851</v>
      </c>
      <c r="K1484" s="232">
        <v>16651.02</v>
      </c>
      <c r="L1484" s="35">
        <v>8.6206618976184988</v>
      </c>
      <c r="M1484" s="232">
        <v>42753.84</v>
      </c>
      <c r="N1484" s="35">
        <v>7.5480537861730488</v>
      </c>
      <c r="P1484" s="232">
        <v>-26.17</v>
      </c>
      <c r="Q1484" s="35">
        <v>9.3722528594071264E-3</v>
      </c>
      <c r="R1484" s="232">
        <v>1144.8599999999999</v>
      </c>
      <c r="S1484" s="35">
        <v>0.90590302914459997</v>
      </c>
      <c r="T1484" s="232">
        <v>26102.82</v>
      </c>
      <c r="U1484" s="35">
        <v>1.07260811144545</v>
      </c>
      <c r="W1484" s="35">
        <f t="shared" ref="W1484:W1547" si="145">$X$2*Q1484-P1484</f>
        <v>494.78264297035633</v>
      </c>
      <c r="X1484" s="35">
        <f t="shared" ref="X1484:X1547" si="146">$X$2*S1484-R1484</f>
        <v>44150.29145723</v>
      </c>
      <c r="Y1484" s="35">
        <f t="shared" ref="Y1484:Y1547" si="147">$X$2*U1484-T1484</f>
        <v>27527.585572272503</v>
      </c>
      <c r="Z1484" s="35">
        <f t="shared" ref="Z1484:Z1547" si="148">IF(W1484=MAX($W1484:$Y1484), 1, 0)</f>
        <v>0</v>
      </c>
      <c r="AA1484" s="35">
        <f t="shared" ref="AA1484:AA1547" si="149">IF(X1484=MAX($W1484:$Y1484), 1, 0)</f>
        <v>1</v>
      </c>
      <c r="AB1484" s="35">
        <f t="shared" ref="AB1484:AB1547" si="150">IF(Y1484=MAX($W1484:$Y1484), 1, 0)</f>
        <v>0</v>
      </c>
    </row>
    <row r="1485" spans="1:28">
      <c r="A1485" s="35">
        <v>1474</v>
      </c>
      <c r="B1485" s="35">
        <v>4.7491530289989203E-4</v>
      </c>
      <c r="C1485" s="232">
        <v>85.29</v>
      </c>
      <c r="D1485" s="35">
        <v>5.0622922343681829</v>
      </c>
      <c r="E1485" s="232">
        <v>51.67</v>
      </c>
      <c r="F1485" s="35">
        <v>5.0516365698280259</v>
      </c>
      <c r="G1485" s="232">
        <v>14120.22</v>
      </c>
      <c r="H1485" s="35">
        <v>8.8223937778894364</v>
      </c>
      <c r="I1485" s="232">
        <v>15802.88</v>
      </c>
      <c r="J1485" s="35">
        <v>8.3936875128845383</v>
      </c>
      <c r="K1485" s="232">
        <v>18440.59</v>
      </c>
      <c r="L1485" s="35">
        <v>8.3302060349962481</v>
      </c>
      <c r="M1485" s="232">
        <v>44848.88</v>
      </c>
      <c r="N1485" s="35">
        <v>7.2213868491762021</v>
      </c>
      <c r="P1485" s="232">
        <v>-33.630000000000003</v>
      </c>
      <c r="Q1485" s="35">
        <v>1.0655664540156984E-2</v>
      </c>
      <c r="R1485" s="232">
        <v>1682.66</v>
      </c>
      <c r="S1485" s="35">
        <v>0.42870626500489806</v>
      </c>
      <c r="T1485" s="232">
        <v>26408.29</v>
      </c>
      <c r="U1485" s="35">
        <v>1.108819185820046</v>
      </c>
      <c r="W1485" s="35">
        <f t="shared" si="145"/>
        <v>566.41322700784917</v>
      </c>
      <c r="X1485" s="35">
        <f t="shared" si="146"/>
        <v>19752.653250244904</v>
      </c>
      <c r="Y1485" s="35">
        <f t="shared" si="147"/>
        <v>29032.669291002298</v>
      </c>
      <c r="Z1485" s="35">
        <f t="shared" si="148"/>
        <v>0</v>
      </c>
      <c r="AA1485" s="35">
        <f t="shared" si="149"/>
        <v>0</v>
      </c>
      <c r="AB1485" s="35">
        <f t="shared" si="150"/>
        <v>1</v>
      </c>
    </row>
    <row r="1486" spans="1:28">
      <c r="A1486" s="35">
        <v>1475</v>
      </c>
      <c r="B1486" s="35">
        <v>4.0824653701463401E-4</v>
      </c>
      <c r="C1486" s="232">
        <v>71.38</v>
      </c>
      <c r="D1486" s="35">
        <v>5.0621379559260449</v>
      </c>
      <c r="E1486" s="232">
        <v>48.7</v>
      </c>
      <c r="F1486" s="35">
        <v>5.053198594110401</v>
      </c>
      <c r="G1486" s="232">
        <v>14027.46</v>
      </c>
      <c r="H1486" s="35">
        <v>9.4043185692063354</v>
      </c>
      <c r="I1486" s="232">
        <v>14965</v>
      </c>
      <c r="J1486" s="35">
        <v>7.5076489322710724</v>
      </c>
      <c r="K1486" s="232">
        <v>16413.689999999999</v>
      </c>
      <c r="L1486" s="35">
        <v>9.1764672479822522</v>
      </c>
      <c r="M1486" s="232">
        <v>42532.49</v>
      </c>
      <c r="N1486" s="35">
        <v>8.1630387659320771</v>
      </c>
      <c r="P1486" s="232">
        <v>-22.69</v>
      </c>
      <c r="Q1486" s="35">
        <v>8.9393618156439203E-3</v>
      </c>
      <c r="R1486" s="232">
        <v>937.54</v>
      </c>
      <c r="S1486" s="35">
        <v>1.8966696369352629</v>
      </c>
      <c r="T1486" s="232">
        <v>26118.799999999999</v>
      </c>
      <c r="U1486" s="35">
        <v>1.0134284820501751</v>
      </c>
      <c r="W1486" s="35">
        <f t="shared" si="145"/>
        <v>469.65809078219598</v>
      </c>
      <c r="X1486" s="35">
        <f t="shared" si="146"/>
        <v>93895.941846763148</v>
      </c>
      <c r="Y1486" s="35">
        <f t="shared" si="147"/>
        <v>24552.624102508755</v>
      </c>
      <c r="Z1486" s="35">
        <f t="shared" si="148"/>
        <v>0</v>
      </c>
      <c r="AA1486" s="35">
        <f t="shared" si="149"/>
        <v>1</v>
      </c>
      <c r="AB1486" s="35">
        <f t="shared" si="150"/>
        <v>0</v>
      </c>
    </row>
    <row r="1487" spans="1:28">
      <c r="A1487" s="35">
        <v>1476</v>
      </c>
      <c r="B1487" s="35">
        <v>4.4901963886612162E-4</v>
      </c>
      <c r="C1487" s="232">
        <v>77.739999999999995</v>
      </c>
      <c r="D1487" s="35">
        <v>5.0620064921365744</v>
      </c>
      <c r="E1487" s="232">
        <v>54.03</v>
      </c>
      <c r="F1487" s="35">
        <v>5.053525173948926</v>
      </c>
      <c r="G1487" s="232">
        <v>12522.06</v>
      </c>
      <c r="H1487" s="35">
        <v>8.7016379472406449</v>
      </c>
      <c r="I1487" s="232">
        <v>12148.7</v>
      </c>
      <c r="J1487" s="35">
        <v>7.1357675730061993</v>
      </c>
      <c r="K1487" s="232">
        <v>17763.29</v>
      </c>
      <c r="L1487" s="35">
        <v>8.9998509074393915</v>
      </c>
      <c r="M1487" s="232">
        <v>43999.64</v>
      </c>
      <c r="N1487" s="35">
        <v>7.9315159300483833</v>
      </c>
      <c r="P1487" s="232">
        <v>-23.71</v>
      </c>
      <c r="Q1487" s="35">
        <v>8.4813181876484123E-3</v>
      </c>
      <c r="R1487" s="232">
        <v>-373.36</v>
      </c>
      <c r="S1487" s="35">
        <v>1.5658703742344455</v>
      </c>
      <c r="T1487" s="232">
        <v>26236.35</v>
      </c>
      <c r="U1487" s="35">
        <v>1.0683349773910082</v>
      </c>
      <c r="W1487" s="35">
        <f t="shared" si="145"/>
        <v>447.77590938242059</v>
      </c>
      <c r="X1487" s="35">
        <f t="shared" si="146"/>
        <v>78666.878711722282</v>
      </c>
      <c r="Y1487" s="35">
        <f t="shared" si="147"/>
        <v>27180.398869550416</v>
      </c>
      <c r="Z1487" s="35">
        <f t="shared" si="148"/>
        <v>0</v>
      </c>
      <c r="AA1487" s="35">
        <f t="shared" si="149"/>
        <v>1</v>
      </c>
      <c r="AB1487" s="35">
        <f t="shared" si="150"/>
        <v>0</v>
      </c>
    </row>
    <row r="1488" spans="1:28">
      <c r="A1488" s="35">
        <v>1477</v>
      </c>
      <c r="B1488" s="35">
        <v>5.4097795283802874E-4</v>
      </c>
      <c r="C1488" s="232">
        <v>106.71</v>
      </c>
      <c r="D1488" s="35">
        <v>5.0658649775572151</v>
      </c>
      <c r="E1488" s="232">
        <v>63.98</v>
      </c>
      <c r="F1488" s="35">
        <v>5.0537151756114209</v>
      </c>
      <c r="G1488" s="232">
        <v>15133.55</v>
      </c>
      <c r="H1488" s="35">
        <v>8.6971854135640339</v>
      </c>
      <c r="I1488" s="232">
        <v>14188.02</v>
      </c>
      <c r="J1488" s="35">
        <v>6.9687347311653944</v>
      </c>
      <c r="K1488" s="232">
        <v>21640.97</v>
      </c>
      <c r="L1488" s="35">
        <v>8.6615579895327439</v>
      </c>
      <c r="M1488" s="232">
        <v>48071.01</v>
      </c>
      <c r="N1488" s="35">
        <v>7.5463350075777731</v>
      </c>
      <c r="P1488" s="232">
        <v>-42.73</v>
      </c>
      <c r="Q1488" s="35">
        <v>1.2149801945794181E-2</v>
      </c>
      <c r="R1488" s="232">
        <v>-945.54</v>
      </c>
      <c r="S1488" s="35">
        <v>1.7284506823986394</v>
      </c>
      <c r="T1488" s="232">
        <v>26430.05</v>
      </c>
      <c r="U1488" s="35">
        <v>1.1152229819549708</v>
      </c>
      <c r="W1488" s="35">
        <f t="shared" si="145"/>
        <v>650.22009728970909</v>
      </c>
      <c r="X1488" s="35">
        <f t="shared" si="146"/>
        <v>87368.07411993196</v>
      </c>
      <c r="Y1488" s="35">
        <f t="shared" si="147"/>
        <v>29331.099097748545</v>
      </c>
      <c r="Z1488" s="35">
        <f t="shared" si="148"/>
        <v>0</v>
      </c>
      <c r="AA1488" s="35">
        <f t="shared" si="149"/>
        <v>1</v>
      </c>
      <c r="AB1488" s="35">
        <f t="shared" si="150"/>
        <v>0</v>
      </c>
    </row>
    <row r="1489" spans="1:28">
      <c r="A1489" s="35">
        <v>1478</v>
      </c>
      <c r="B1489" s="35">
        <v>4.747700489796669E-4</v>
      </c>
      <c r="C1489" s="232">
        <v>58.66</v>
      </c>
      <c r="D1489" s="35">
        <v>5.0653476605448695</v>
      </c>
      <c r="E1489" s="232">
        <v>35.49</v>
      </c>
      <c r="F1489" s="35">
        <v>5.0528030863403455</v>
      </c>
      <c r="G1489" s="232">
        <v>9430.33</v>
      </c>
      <c r="H1489" s="35">
        <v>9.5021210697675009</v>
      </c>
      <c r="I1489" s="232">
        <v>10527.75</v>
      </c>
      <c r="J1489" s="35">
        <v>7.8509522444355797</v>
      </c>
      <c r="K1489" s="232">
        <v>9745.0300000000007</v>
      </c>
      <c r="L1489" s="35">
        <v>8.7481369523461368</v>
      </c>
      <c r="M1489" s="232">
        <v>35449.64</v>
      </c>
      <c r="N1489" s="35">
        <v>7.7375576775088657</v>
      </c>
      <c r="P1489" s="232">
        <v>-23.17</v>
      </c>
      <c r="Q1489" s="35">
        <v>1.2544574204524039E-2</v>
      </c>
      <c r="R1489" s="232">
        <v>1097.42</v>
      </c>
      <c r="S1489" s="35">
        <v>1.6511688253319212</v>
      </c>
      <c r="T1489" s="232">
        <v>25704.62</v>
      </c>
      <c r="U1489" s="35">
        <v>1.0105792748372711</v>
      </c>
      <c r="W1489" s="35">
        <f t="shared" si="145"/>
        <v>650.39871022620196</v>
      </c>
      <c r="X1489" s="35">
        <f t="shared" si="146"/>
        <v>81461.021266596057</v>
      </c>
      <c r="Y1489" s="35">
        <f t="shared" si="147"/>
        <v>24824.343741863555</v>
      </c>
      <c r="Z1489" s="35">
        <f t="shared" si="148"/>
        <v>0</v>
      </c>
      <c r="AA1489" s="35">
        <f t="shared" si="149"/>
        <v>1</v>
      </c>
      <c r="AB1489" s="35">
        <f t="shared" si="150"/>
        <v>0</v>
      </c>
    </row>
    <row r="1490" spans="1:28">
      <c r="A1490" s="35">
        <v>1479</v>
      </c>
      <c r="B1490" s="35">
        <v>4.0378631727285398E-4</v>
      </c>
      <c r="C1490" s="232">
        <v>53.64</v>
      </c>
      <c r="D1490" s="35">
        <v>5.0554103361731251</v>
      </c>
      <c r="E1490" s="232">
        <v>32.01</v>
      </c>
      <c r="F1490" s="35">
        <v>5.0471616829105708</v>
      </c>
      <c r="G1490" s="232">
        <v>9312.64</v>
      </c>
      <c r="H1490" s="35">
        <v>7.6286895743499334</v>
      </c>
      <c r="I1490" s="232">
        <v>9437.2000000000007</v>
      </c>
      <c r="J1490" s="35">
        <v>6.1931167799643916</v>
      </c>
      <c r="K1490" s="232">
        <v>14046.38</v>
      </c>
      <c r="L1490" s="35">
        <v>8.3976244455458584</v>
      </c>
      <c r="M1490" s="232">
        <v>40095.11</v>
      </c>
      <c r="N1490" s="35">
        <v>7.3166078806186903</v>
      </c>
      <c r="P1490" s="232">
        <v>-21.64</v>
      </c>
      <c r="Q1490" s="35">
        <v>8.2486532625543063E-3</v>
      </c>
      <c r="R1490" s="232">
        <v>124.56</v>
      </c>
      <c r="S1490" s="35">
        <v>1.4355727943855419</v>
      </c>
      <c r="T1490" s="232">
        <v>26048.73</v>
      </c>
      <c r="U1490" s="35">
        <v>1.0810165649271681</v>
      </c>
      <c r="W1490" s="35">
        <f t="shared" si="145"/>
        <v>434.07266312771532</v>
      </c>
      <c r="X1490" s="35">
        <f t="shared" si="146"/>
        <v>71654.079719277099</v>
      </c>
      <c r="Y1490" s="35">
        <f t="shared" si="147"/>
        <v>28002.098246358404</v>
      </c>
      <c r="Z1490" s="35">
        <f t="shared" si="148"/>
        <v>0</v>
      </c>
      <c r="AA1490" s="35">
        <f t="shared" si="149"/>
        <v>1</v>
      </c>
      <c r="AB1490" s="35">
        <f t="shared" si="150"/>
        <v>0</v>
      </c>
    </row>
    <row r="1491" spans="1:28">
      <c r="A1491" s="35">
        <v>1480</v>
      </c>
      <c r="B1491" s="35">
        <v>6.2804534390281663E-4</v>
      </c>
      <c r="C1491" s="232">
        <v>69.91</v>
      </c>
      <c r="D1491" s="35">
        <v>5.0720352400297566</v>
      </c>
      <c r="E1491" s="232">
        <v>45.84</v>
      </c>
      <c r="F1491" s="35">
        <v>5.0585010690526682</v>
      </c>
      <c r="G1491" s="232">
        <v>8517.07</v>
      </c>
      <c r="H1491" s="35">
        <v>8.9996888826428609</v>
      </c>
      <c r="I1491" s="232">
        <v>10095.120000000001</v>
      </c>
      <c r="J1491" s="35">
        <v>8.0359379232740853</v>
      </c>
      <c r="K1491" s="232">
        <v>9794</v>
      </c>
      <c r="L1491" s="35">
        <v>8.5626972460015232</v>
      </c>
      <c r="M1491" s="232">
        <v>35603.120000000003</v>
      </c>
      <c r="N1491" s="35">
        <v>7.4233523840912241</v>
      </c>
      <c r="P1491" s="232">
        <v>-24.07</v>
      </c>
      <c r="Q1491" s="35">
        <v>1.3534170977088422E-2</v>
      </c>
      <c r="R1491" s="232">
        <v>1578.04</v>
      </c>
      <c r="S1491" s="35">
        <v>0.96375095936877564</v>
      </c>
      <c r="T1491" s="232">
        <v>25809.119999999999</v>
      </c>
      <c r="U1491" s="35">
        <v>1.139344861910299</v>
      </c>
      <c r="W1491" s="35">
        <f t="shared" si="145"/>
        <v>700.77854885442116</v>
      </c>
      <c r="X1491" s="35">
        <f t="shared" si="146"/>
        <v>46609.507968438782</v>
      </c>
      <c r="Y1491" s="35">
        <f t="shared" si="147"/>
        <v>31158.123095514955</v>
      </c>
      <c r="Z1491" s="35">
        <f t="shared" si="148"/>
        <v>0</v>
      </c>
      <c r="AA1491" s="35">
        <f t="shared" si="149"/>
        <v>1</v>
      </c>
      <c r="AB1491" s="35">
        <f t="shared" si="150"/>
        <v>0</v>
      </c>
    </row>
    <row r="1492" spans="1:28">
      <c r="A1492" s="35">
        <v>1481</v>
      </c>
      <c r="B1492" s="35">
        <v>4.4247417036601285E-4</v>
      </c>
      <c r="C1492" s="232">
        <v>63.32</v>
      </c>
      <c r="D1492" s="35">
        <v>5.0600828275878245</v>
      </c>
      <c r="E1492" s="232">
        <v>44.72</v>
      </c>
      <c r="F1492" s="35">
        <v>5.0522905861368042</v>
      </c>
      <c r="G1492" s="232">
        <v>10669.33</v>
      </c>
      <c r="H1492" s="35">
        <v>8.4120140235252592</v>
      </c>
      <c r="I1492" s="232">
        <v>11010.07</v>
      </c>
      <c r="J1492" s="35">
        <v>6.7354040584194133</v>
      </c>
      <c r="K1492" s="232">
        <v>13786.36</v>
      </c>
      <c r="L1492" s="35">
        <v>8.5315158228264227</v>
      </c>
      <c r="M1492" s="232">
        <v>39636.080000000002</v>
      </c>
      <c r="N1492" s="35">
        <v>7.4831239309751743</v>
      </c>
      <c r="P1492" s="232">
        <v>-18.600000000000001</v>
      </c>
      <c r="Q1492" s="35">
        <v>7.7922414510203097E-3</v>
      </c>
      <c r="R1492" s="232">
        <v>340.74</v>
      </c>
      <c r="S1492" s="35">
        <v>1.6766099651058459</v>
      </c>
      <c r="T1492" s="232">
        <v>25849.72</v>
      </c>
      <c r="U1492" s="35">
        <v>1.0483918918512485</v>
      </c>
      <c r="W1492" s="35">
        <f t="shared" si="145"/>
        <v>408.21207255101552</v>
      </c>
      <c r="X1492" s="35">
        <f t="shared" si="146"/>
        <v>83489.758255292298</v>
      </c>
      <c r="Y1492" s="35">
        <f t="shared" si="147"/>
        <v>26569.874592562424</v>
      </c>
      <c r="Z1492" s="35">
        <f t="shared" si="148"/>
        <v>0</v>
      </c>
      <c r="AA1492" s="35">
        <f t="shared" si="149"/>
        <v>1</v>
      </c>
      <c r="AB1492" s="35">
        <f t="shared" si="150"/>
        <v>0</v>
      </c>
    </row>
    <row r="1493" spans="1:28">
      <c r="A1493" s="35">
        <v>1482</v>
      </c>
      <c r="B1493" s="35">
        <v>4.208127068077825E-4</v>
      </c>
      <c r="C1493" s="232">
        <v>54.28</v>
      </c>
      <c r="D1493" s="35">
        <v>5.0597155279228501</v>
      </c>
      <c r="E1493" s="232">
        <v>38.15</v>
      </c>
      <c r="F1493" s="35">
        <v>5.051766829090794</v>
      </c>
      <c r="G1493" s="232">
        <v>9750.65</v>
      </c>
      <c r="H1493" s="35">
        <v>8.5298114599781911</v>
      </c>
      <c r="I1493" s="232">
        <v>10501.92</v>
      </c>
      <c r="J1493" s="35">
        <v>6.778883303277663</v>
      </c>
      <c r="K1493" s="232">
        <v>12264.86</v>
      </c>
      <c r="L1493" s="35">
        <v>8.6436109113910309</v>
      </c>
      <c r="M1493" s="232">
        <v>38334.620000000003</v>
      </c>
      <c r="N1493" s="35">
        <v>7.4816705431658423</v>
      </c>
      <c r="P1493" s="232">
        <v>-16.14</v>
      </c>
      <c r="Q1493" s="35">
        <v>7.948698832056067E-3</v>
      </c>
      <c r="R1493" s="232">
        <v>751.27</v>
      </c>
      <c r="S1493" s="35">
        <v>1.7509281567005281</v>
      </c>
      <c r="T1493" s="232">
        <v>26069.759999999998</v>
      </c>
      <c r="U1493" s="35">
        <v>1.1619403682251885</v>
      </c>
      <c r="W1493" s="35">
        <f t="shared" si="145"/>
        <v>413.57494160280334</v>
      </c>
      <c r="X1493" s="35">
        <f t="shared" si="146"/>
        <v>86795.137835026399</v>
      </c>
      <c r="Y1493" s="35">
        <f t="shared" si="147"/>
        <v>32027.25841125943</v>
      </c>
      <c r="Z1493" s="35">
        <f t="shared" si="148"/>
        <v>0</v>
      </c>
      <c r="AA1493" s="35">
        <f t="shared" si="149"/>
        <v>1</v>
      </c>
      <c r="AB1493" s="35">
        <f t="shared" si="150"/>
        <v>0</v>
      </c>
    </row>
    <row r="1494" spans="1:28">
      <c r="A1494" s="35">
        <v>1483</v>
      </c>
      <c r="B1494" s="35">
        <v>4.129842534553719E-4</v>
      </c>
      <c r="C1494" s="232">
        <v>61.34</v>
      </c>
      <c r="D1494" s="35">
        <v>5.0599925209387804</v>
      </c>
      <c r="E1494" s="232">
        <v>40.36</v>
      </c>
      <c r="F1494" s="35">
        <v>5.0511243871031883</v>
      </c>
      <c r="G1494" s="232">
        <v>11734.39</v>
      </c>
      <c r="H1494" s="35">
        <v>8.8990005415077249</v>
      </c>
      <c r="I1494" s="232">
        <v>12195.1</v>
      </c>
      <c r="J1494" s="35">
        <v>7.0441325332937925</v>
      </c>
      <c r="K1494" s="232">
        <v>15096.83</v>
      </c>
      <c r="L1494" s="35">
        <v>8.6840655966469793</v>
      </c>
      <c r="M1494" s="232">
        <v>41208.080000000002</v>
      </c>
      <c r="N1494" s="35">
        <v>7.6055629231033182</v>
      </c>
      <c r="P1494" s="232">
        <v>-20.98</v>
      </c>
      <c r="Q1494" s="35">
        <v>8.8681338355920403E-3</v>
      </c>
      <c r="R1494" s="232">
        <v>460.71</v>
      </c>
      <c r="S1494" s="35">
        <v>1.8548680082139324</v>
      </c>
      <c r="T1494" s="232">
        <v>26111.25</v>
      </c>
      <c r="U1494" s="35">
        <v>1.0785026735436611</v>
      </c>
      <c r="W1494" s="35">
        <f t="shared" si="145"/>
        <v>464.38669177960202</v>
      </c>
      <c r="X1494" s="35">
        <f t="shared" si="146"/>
        <v>92282.69041069661</v>
      </c>
      <c r="Y1494" s="35">
        <f t="shared" si="147"/>
        <v>27813.883677183054</v>
      </c>
      <c r="Z1494" s="35">
        <f t="shared" si="148"/>
        <v>0</v>
      </c>
      <c r="AA1494" s="35">
        <f t="shared" si="149"/>
        <v>1</v>
      </c>
      <c r="AB1494" s="35">
        <f t="shared" si="150"/>
        <v>0</v>
      </c>
    </row>
    <row r="1495" spans="1:28">
      <c r="A1495" s="35">
        <v>1484</v>
      </c>
      <c r="B1495" s="35">
        <v>3.9290638798801899E-4</v>
      </c>
      <c r="C1495" s="232">
        <v>54.63</v>
      </c>
      <c r="D1495" s="35">
        <v>5.0600517518952524</v>
      </c>
      <c r="E1495" s="232">
        <v>32.93</v>
      </c>
      <c r="F1495" s="35">
        <v>5.0497773594008413</v>
      </c>
      <c r="G1495" s="232">
        <v>11284.55</v>
      </c>
      <c r="H1495" s="35">
        <v>9.1108012120370478</v>
      </c>
      <c r="I1495" s="232">
        <v>13399.25</v>
      </c>
      <c r="J1495" s="35">
        <v>8.8145739086032133</v>
      </c>
      <c r="K1495" s="232">
        <v>12341.36</v>
      </c>
      <c r="L1495" s="35">
        <v>9.0916006065230128</v>
      </c>
      <c r="M1495" s="232">
        <v>38315.97</v>
      </c>
      <c r="N1495" s="35">
        <v>7.9952278408137332</v>
      </c>
      <c r="P1495" s="232">
        <v>-21.7</v>
      </c>
      <c r="Q1495" s="35">
        <v>1.0274392494411089E-2</v>
      </c>
      <c r="R1495" s="232">
        <v>2114.6999999999998</v>
      </c>
      <c r="S1495" s="35">
        <v>0.29622730343383452</v>
      </c>
      <c r="T1495" s="232">
        <v>25974.61</v>
      </c>
      <c r="U1495" s="35">
        <v>1.0963727657092797</v>
      </c>
      <c r="W1495" s="35">
        <f t="shared" si="145"/>
        <v>535.41962472055445</v>
      </c>
      <c r="X1495" s="35">
        <f t="shared" si="146"/>
        <v>12696.665171691726</v>
      </c>
      <c r="Y1495" s="35">
        <f t="shared" si="147"/>
        <v>28844.028285463981</v>
      </c>
      <c r="Z1495" s="35">
        <f t="shared" si="148"/>
        <v>0</v>
      </c>
      <c r="AA1495" s="35">
        <f t="shared" si="149"/>
        <v>0</v>
      </c>
      <c r="AB1495" s="35">
        <f t="shared" si="150"/>
        <v>1</v>
      </c>
    </row>
    <row r="1496" spans="1:28">
      <c r="A1496" s="35">
        <v>1485</v>
      </c>
      <c r="B1496" s="35">
        <v>6.445102449477158E-4</v>
      </c>
      <c r="C1496" s="232">
        <v>136.49</v>
      </c>
      <c r="D1496" s="35">
        <v>5.0700772620599723</v>
      </c>
      <c r="E1496" s="232">
        <v>77.38</v>
      </c>
      <c r="F1496" s="35">
        <v>5.0552856373919433</v>
      </c>
      <c r="G1496" s="232">
        <v>16452.47</v>
      </c>
      <c r="H1496" s="35">
        <v>8.5727837328816303</v>
      </c>
      <c r="I1496" s="232">
        <v>16098.07</v>
      </c>
      <c r="J1496" s="35">
        <v>6.9830983510056761</v>
      </c>
      <c r="K1496" s="232">
        <v>21680.31</v>
      </c>
      <c r="L1496" s="35">
        <v>8.6215679660964071</v>
      </c>
      <c r="M1496" s="232">
        <v>47928.69</v>
      </c>
      <c r="N1496" s="35">
        <v>7.6604809769017246</v>
      </c>
      <c r="P1496" s="232">
        <v>-59.11</v>
      </c>
      <c r="Q1496" s="35">
        <v>1.479162466802908E-2</v>
      </c>
      <c r="R1496" s="232">
        <v>-354.4</v>
      </c>
      <c r="S1496" s="35">
        <v>1.5896853818759542</v>
      </c>
      <c r="T1496" s="232">
        <v>26248.38</v>
      </c>
      <c r="U1496" s="35">
        <v>0.96108698919468249</v>
      </c>
      <c r="W1496" s="35">
        <f t="shared" si="145"/>
        <v>798.69123340145404</v>
      </c>
      <c r="X1496" s="35">
        <f t="shared" si="146"/>
        <v>79838.669093797711</v>
      </c>
      <c r="Y1496" s="35">
        <f t="shared" si="147"/>
        <v>21805.969459734126</v>
      </c>
      <c r="Z1496" s="35">
        <f t="shared" si="148"/>
        <v>0</v>
      </c>
      <c r="AA1496" s="35">
        <f t="shared" si="149"/>
        <v>1</v>
      </c>
      <c r="AB1496" s="35">
        <f t="shared" si="150"/>
        <v>0</v>
      </c>
    </row>
    <row r="1497" spans="1:28">
      <c r="A1497" s="35">
        <v>1486</v>
      </c>
      <c r="B1497" s="35">
        <v>4.3542707757247753E-4</v>
      </c>
      <c r="C1497" s="232">
        <v>61.87</v>
      </c>
      <c r="D1497" s="35">
        <v>5.0594165086083986</v>
      </c>
      <c r="E1497" s="232">
        <v>38.86</v>
      </c>
      <c r="F1497" s="35">
        <v>5.0501499909640692</v>
      </c>
      <c r="G1497" s="232">
        <v>11526.61</v>
      </c>
      <c r="H1497" s="35">
        <v>8.2419204520073492</v>
      </c>
      <c r="I1497" s="232">
        <v>13446.53</v>
      </c>
      <c r="J1497" s="35">
        <v>7.2393223388194521</v>
      </c>
      <c r="K1497" s="232">
        <v>12344.23</v>
      </c>
      <c r="L1497" s="35">
        <v>8.7633036552399819</v>
      </c>
      <c r="M1497" s="232">
        <v>38383.81</v>
      </c>
      <c r="N1497" s="35">
        <v>7.5850273864824276</v>
      </c>
      <c r="P1497" s="232">
        <v>-23.01</v>
      </c>
      <c r="Q1497" s="35">
        <v>9.2665176443293973E-3</v>
      </c>
      <c r="R1497" s="232">
        <v>1919.92</v>
      </c>
      <c r="S1497" s="35">
        <v>1.0025981131878972</v>
      </c>
      <c r="T1497" s="232">
        <v>26039.57</v>
      </c>
      <c r="U1497" s="35">
        <v>1.1782762687575543</v>
      </c>
      <c r="W1497" s="35">
        <f t="shared" si="145"/>
        <v>486.33588221646983</v>
      </c>
      <c r="X1497" s="35">
        <f t="shared" si="146"/>
        <v>48209.985659394857</v>
      </c>
      <c r="Y1497" s="35">
        <f t="shared" si="147"/>
        <v>32874.243437877718</v>
      </c>
      <c r="Z1497" s="35">
        <f t="shared" si="148"/>
        <v>0</v>
      </c>
      <c r="AA1497" s="35">
        <f t="shared" si="149"/>
        <v>1</v>
      </c>
      <c r="AB1497" s="35">
        <f t="shared" si="150"/>
        <v>0</v>
      </c>
    </row>
    <row r="1498" spans="1:28">
      <c r="A1498" s="35">
        <v>1487</v>
      </c>
      <c r="B1498" s="35">
        <v>5.2492658904357281E-4</v>
      </c>
      <c r="C1498" s="232">
        <v>110.19</v>
      </c>
      <c r="D1498" s="35">
        <v>5.0668460410888487</v>
      </c>
      <c r="E1498" s="232">
        <v>69.81</v>
      </c>
      <c r="F1498" s="35">
        <v>5.0552836197155893</v>
      </c>
      <c r="G1498" s="232">
        <v>15841.76</v>
      </c>
      <c r="H1498" s="35">
        <v>8.9969007238788556</v>
      </c>
      <c r="I1498" s="232">
        <v>14344.87</v>
      </c>
      <c r="J1498" s="35">
        <v>7.0226823407196983</v>
      </c>
      <c r="K1498" s="232">
        <v>21841.119999999999</v>
      </c>
      <c r="L1498" s="35">
        <v>8.8981960094974468</v>
      </c>
      <c r="M1498" s="232">
        <v>48223.47</v>
      </c>
      <c r="N1498" s="35">
        <v>7.7878746847682763</v>
      </c>
      <c r="P1498" s="232">
        <v>-40.380000000000003</v>
      </c>
      <c r="Q1498" s="35">
        <v>1.1562421373259468E-2</v>
      </c>
      <c r="R1498" s="232">
        <v>-1496.89</v>
      </c>
      <c r="S1498" s="35">
        <v>1.9742183831591573</v>
      </c>
      <c r="T1498" s="232">
        <v>26382.35</v>
      </c>
      <c r="U1498" s="35">
        <v>1.1103213247291706</v>
      </c>
      <c r="W1498" s="35">
        <f t="shared" si="145"/>
        <v>618.50106866297335</v>
      </c>
      <c r="X1498" s="35">
        <f t="shared" si="146"/>
        <v>100207.80915795786</v>
      </c>
      <c r="Y1498" s="35">
        <f t="shared" si="147"/>
        <v>29133.716236458531</v>
      </c>
      <c r="Z1498" s="35">
        <f t="shared" si="148"/>
        <v>0</v>
      </c>
      <c r="AA1498" s="35">
        <f t="shared" si="149"/>
        <v>1</v>
      </c>
      <c r="AB1498" s="35">
        <f t="shared" si="150"/>
        <v>0</v>
      </c>
    </row>
    <row r="1499" spans="1:28">
      <c r="A1499" s="35">
        <v>1488</v>
      </c>
      <c r="B1499" s="35">
        <v>3.6464436992219977E-4</v>
      </c>
      <c r="C1499" s="232">
        <v>58.86</v>
      </c>
      <c r="D1499" s="35">
        <v>5.0584371826211321</v>
      </c>
      <c r="E1499" s="232">
        <v>38.85</v>
      </c>
      <c r="F1499" s="35">
        <v>5.0501859383231666</v>
      </c>
      <c r="G1499" s="232">
        <v>12329.31</v>
      </c>
      <c r="H1499" s="35">
        <v>9.092607941238084</v>
      </c>
      <c r="I1499" s="232">
        <v>12202.9</v>
      </c>
      <c r="J1499" s="35">
        <v>7.2168321943130138</v>
      </c>
      <c r="K1499" s="232">
        <v>16364.69</v>
      </c>
      <c r="L1499" s="35">
        <v>8.9529920285598692</v>
      </c>
      <c r="M1499" s="232">
        <v>42555.5</v>
      </c>
      <c r="N1499" s="35">
        <v>7.8492427672356513</v>
      </c>
      <c r="P1499" s="232">
        <v>-20.010000000000002</v>
      </c>
      <c r="Q1499" s="35">
        <v>8.251244297965421E-3</v>
      </c>
      <c r="R1499" s="232">
        <v>-126.4</v>
      </c>
      <c r="S1499" s="35">
        <v>1.8757757469250702</v>
      </c>
      <c r="T1499" s="232">
        <v>26190.81</v>
      </c>
      <c r="U1499" s="35">
        <v>1.1037492613242179</v>
      </c>
      <c r="W1499" s="35">
        <f t="shared" si="145"/>
        <v>432.57221489827106</v>
      </c>
      <c r="X1499" s="35">
        <f t="shared" si="146"/>
        <v>93915.1873462535</v>
      </c>
      <c r="Y1499" s="35">
        <f t="shared" si="147"/>
        <v>28996.653066210896</v>
      </c>
      <c r="Z1499" s="35">
        <f t="shared" si="148"/>
        <v>0</v>
      </c>
      <c r="AA1499" s="35">
        <f t="shared" si="149"/>
        <v>1</v>
      </c>
      <c r="AB1499" s="35">
        <f t="shared" si="150"/>
        <v>0</v>
      </c>
    </row>
    <row r="1500" spans="1:28">
      <c r="A1500" s="35">
        <v>1489</v>
      </c>
      <c r="B1500" s="35">
        <v>5.1902204409892683E-4</v>
      </c>
      <c r="C1500" s="232">
        <v>78.48</v>
      </c>
      <c r="D1500" s="35">
        <v>5.0638303990033515</v>
      </c>
      <c r="E1500" s="232">
        <v>48.12</v>
      </c>
      <c r="F1500" s="35">
        <v>5.0525952928728515</v>
      </c>
      <c r="G1500" s="232">
        <v>12032.07</v>
      </c>
      <c r="H1500" s="35">
        <v>8.5639615583356008</v>
      </c>
      <c r="I1500" s="232">
        <v>13080.33</v>
      </c>
      <c r="J1500" s="35">
        <v>7.1244154259190031</v>
      </c>
      <c r="K1500" s="232">
        <v>14752.53</v>
      </c>
      <c r="L1500" s="35">
        <v>8.3392453779058719</v>
      </c>
      <c r="M1500" s="232">
        <v>40818.14</v>
      </c>
      <c r="N1500" s="35">
        <v>7.1992075377418123</v>
      </c>
      <c r="P1500" s="232">
        <v>-30.37</v>
      </c>
      <c r="Q1500" s="35">
        <v>1.123510613050005E-2</v>
      </c>
      <c r="R1500" s="232">
        <v>1048.26</v>
      </c>
      <c r="S1500" s="35">
        <v>1.4395461324165977</v>
      </c>
      <c r="T1500" s="232">
        <v>26065.61</v>
      </c>
      <c r="U1500" s="35">
        <v>1.1400378401640596</v>
      </c>
      <c r="W1500" s="35">
        <f t="shared" si="145"/>
        <v>592.12530652500254</v>
      </c>
      <c r="X1500" s="35">
        <f t="shared" si="146"/>
        <v>70929.046620829889</v>
      </c>
      <c r="Y1500" s="35">
        <f t="shared" si="147"/>
        <v>30936.282008202979</v>
      </c>
      <c r="Z1500" s="35">
        <f t="shared" si="148"/>
        <v>0</v>
      </c>
      <c r="AA1500" s="35">
        <f t="shared" si="149"/>
        <v>1</v>
      </c>
      <c r="AB1500" s="35">
        <f t="shared" si="150"/>
        <v>0</v>
      </c>
    </row>
    <row r="1501" spans="1:28">
      <c r="A1501" s="35">
        <v>1490</v>
      </c>
      <c r="B1501" s="35">
        <v>3.7088354784735073E-4</v>
      </c>
      <c r="C1501" s="232">
        <v>53.45</v>
      </c>
      <c r="D1501" s="35">
        <v>5.0555612642844574</v>
      </c>
      <c r="E1501" s="232">
        <v>35.54</v>
      </c>
      <c r="F1501" s="35">
        <v>5.0484397870901887</v>
      </c>
      <c r="G1501" s="232">
        <v>10707.64</v>
      </c>
      <c r="H1501" s="35">
        <v>8.1389995521258118</v>
      </c>
      <c r="I1501" s="232">
        <v>11067.42</v>
      </c>
      <c r="J1501" s="35">
        <v>6.4521856519920746</v>
      </c>
      <c r="K1501" s="232">
        <v>13859.55</v>
      </c>
      <c r="L1501" s="35">
        <v>8.5700942542579472</v>
      </c>
      <c r="M1501" s="232">
        <v>39946.49</v>
      </c>
      <c r="N1501" s="35">
        <v>7.4911845339075906</v>
      </c>
      <c r="P1501" s="232">
        <v>-17.920000000000002</v>
      </c>
      <c r="Q1501" s="35">
        <v>7.1214771942686994E-3</v>
      </c>
      <c r="R1501" s="232">
        <v>359.77</v>
      </c>
      <c r="S1501" s="35">
        <v>1.6868139001337372</v>
      </c>
      <c r="T1501" s="232">
        <v>26086.94</v>
      </c>
      <c r="U1501" s="35">
        <v>1.0789097203503566</v>
      </c>
      <c r="W1501" s="35">
        <f t="shared" si="145"/>
        <v>373.99385971343497</v>
      </c>
      <c r="X1501" s="35">
        <f t="shared" si="146"/>
        <v>83980.925006686855</v>
      </c>
      <c r="Y1501" s="35">
        <f t="shared" si="147"/>
        <v>27858.546017517834</v>
      </c>
      <c r="Z1501" s="35">
        <f t="shared" si="148"/>
        <v>0</v>
      </c>
      <c r="AA1501" s="35">
        <f t="shared" si="149"/>
        <v>1</v>
      </c>
      <c r="AB1501" s="35">
        <f t="shared" si="150"/>
        <v>0</v>
      </c>
    </row>
    <row r="1502" spans="1:28">
      <c r="A1502" s="35">
        <v>1491</v>
      </c>
      <c r="B1502" s="35">
        <v>4.9098174463446664E-4</v>
      </c>
      <c r="C1502" s="232">
        <v>70.849999999999994</v>
      </c>
      <c r="D1502" s="35">
        <v>5.0654363785565426</v>
      </c>
      <c r="E1502" s="232">
        <v>43</v>
      </c>
      <c r="F1502" s="35">
        <v>5.0531989477570498</v>
      </c>
      <c r="G1502" s="232">
        <v>11355.25</v>
      </c>
      <c r="H1502" s="35">
        <v>9.2705324563834193</v>
      </c>
      <c r="I1502" s="232">
        <v>12835.71</v>
      </c>
      <c r="J1502" s="35">
        <v>8.5197799250551665</v>
      </c>
      <c r="K1502" s="232">
        <v>14487.36</v>
      </c>
      <c r="L1502" s="35">
        <v>8.7576176184466963</v>
      </c>
      <c r="M1502" s="232">
        <v>40541.57</v>
      </c>
      <c r="N1502" s="35">
        <v>7.6998693270862608</v>
      </c>
      <c r="P1502" s="232">
        <v>-27.85</v>
      </c>
      <c r="Q1502" s="35">
        <v>1.2237430799492799E-2</v>
      </c>
      <c r="R1502" s="232">
        <v>1480.46</v>
      </c>
      <c r="S1502" s="35">
        <v>0.75075253132825281</v>
      </c>
      <c r="T1502" s="232">
        <v>26054.21</v>
      </c>
      <c r="U1502" s="35">
        <v>1.0577482913604355</v>
      </c>
      <c r="W1502" s="35">
        <f t="shared" si="145"/>
        <v>639.72153997464</v>
      </c>
      <c r="X1502" s="35">
        <f t="shared" si="146"/>
        <v>36057.166566412641</v>
      </c>
      <c r="Y1502" s="35">
        <f t="shared" si="147"/>
        <v>26833.204568021771</v>
      </c>
      <c r="Z1502" s="35">
        <f t="shared" si="148"/>
        <v>0</v>
      </c>
      <c r="AA1502" s="35">
        <f t="shared" si="149"/>
        <v>1</v>
      </c>
      <c r="AB1502" s="35">
        <f t="shared" si="150"/>
        <v>0</v>
      </c>
    </row>
    <row r="1503" spans="1:28">
      <c r="A1503" s="35">
        <v>1492</v>
      </c>
      <c r="B1503" s="35">
        <v>3.9125732626757751E-4</v>
      </c>
      <c r="C1503" s="232">
        <v>49.47</v>
      </c>
      <c r="D1503" s="35">
        <v>5.0606740750019341</v>
      </c>
      <c r="E1503" s="232">
        <v>31.9</v>
      </c>
      <c r="F1503" s="35">
        <v>5.0509082479100336</v>
      </c>
      <c r="G1503" s="232">
        <v>9832.59</v>
      </c>
      <c r="H1503" s="35">
        <v>9.2835620360866251</v>
      </c>
      <c r="I1503" s="232">
        <v>11053.32</v>
      </c>
      <c r="J1503" s="35">
        <v>7.7527183410871325</v>
      </c>
      <c r="K1503" s="232">
        <v>11272.97</v>
      </c>
      <c r="L1503" s="35">
        <v>9.084216230422534</v>
      </c>
      <c r="M1503" s="232">
        <v>37032.54</v>
      </c>
      <c r="N1503" s="35">
        <v>8.0276211475851547</v>
      </c>
      <c r="P1503" s="232">
        <v>-17.57</v>
      </c>
      <c r="Q1503" s="35">
        <v>9.7658270919005474E-3</v>
      </c>
      <c r="R1503" s="232">
        <v>1220.73</v>
      </c>
      <c r="S1503" s="35">
        <v>1.5308436949994926</v>
      </c>
      <c r="T1503" s="232">
        <v>25759.57</v>
      </c>
      <c r="U1503" s="35">
        <v>1.0565950828373794</v>
      </c>
      <c r="W1503" s="35">
        <f t="shared" si="145"/>
        <v>505.86135459502736</v>
      </c>
      <c r="X1503" s="35">
        <f t="shared" si="146"/>
        <v>75321.454749974626</v>
      </c>
      <c r="Y1503" s="35">
        <f t="shared" si="147"/>
        <v>27070.184141868966</v>
      </c>
      <c r="Z1503" s="35">
        <f t="shared" si="148"/>
        <v>0</v>
      </c>
      <c r="AA1503" s="35">
        <f t="shared" si="149"/>
        <v>1</v>
      </c>
      <c r="AB1503" s="35">
        <f t="shared" si="150"/>
        <v>0</v>
      </c>
    </row>
    <row r="1504" spans="1:28">
      <c r="A1504" s="35">
        <v>1493</v>
      </c>
      <c r="B1504" s="35">
        <v>4.5286104345010347E-4</v>
      </c>
      <c r="C1504" s="232">
        <v>86.83</v>
      </c>
      <c r="D1504" s="35">
        <v>5.0616085961990285</v>
      </c>
      <c r="E1504" s="232">
        <v>58.5</v>
      </c>
      <c r="F1504" s="35">
        <v>5.0528791919883798</v>
      </c>
      <c r="G1504" s="232">
        <v>14712.16</v>
      </c>
      <c r="H1504" s="35">
        <v>9.0211528434152406</v>
      </c>
      <c r="I1504" s="232">
        <v>14988.97</v>
      </c>
      <c r="J1504" s="35">
        <v>7.9479023942377784</v>
      </c>
      <c r="K1504" s="232">
        <v>19754.47</v>
      </c>
      <c r="L1504" s="35">
        <v>8.1026815690562248</v>
      </c>
      <c r="M1504" s="232">
        <v>46114.14</v>
      </c>
      <c r="N1504" s="35">
        <v>7.0086852054454161</v>
      </c>
      <c r="P1504" s="232">
        <v>-28.33</v>
      </c>
      <c r="Q1504" s="35">
        <v>8.7294042106487169E-3</v>
      </c>
      <c r="R1504" s="232">
        <v>276.81</v>
      </c>
      <c r="S1504" s="35">
        <v>1.0732504491774622</v>
      </c>
      <c r="T1504" s="232">
        <v>26359.67</v>
      </c>
      <c r="U1504" s="35">
        <v>1.0939963636108088</v>
      </c>
      <c r="W1504" s="35">
        <f t="shared" si="145"/>
        <v>464.80021053243581</v>
      </c>
      <c r="X1504" s="35">
        <f t="shared" si="146"/>
        <v>53385.712458873109</v>
      </c>
      <c r="Y1504" s="35">
        <f t="shared" si="147"/>
        <v>28340.14818054044</v>
      </c>
      <c r="Z1504" s="35">
        <f t="shared" si="148"/>
        <v>0</v>
      </c>
      <c r="AA1504" s="35">
        <f t="shared" si="149"/>
        <v>1</v>
      </c>
      <c r="AB1504" s="35">
        <f t="shared" si="150"/>
        <v>0</v>
      </c>
    </row>
    <row r="1505" spans="1:28">
      <c r="A1505" s="35">
        <v>1494</v>
      </c>
      <c r="B1505" s="35">
        <v>4.4381027232899881E-4</v>
      </c>
      <c r="C1505" s="232">
        <v>56.58</v>
      </c>
      <c r="D1505" s="35">
        <v>5.0606718794255992</v>
      </c>
      <c r="E1505" s="232">
        <v>36.24</v>
      </c>
      <c r="F1505" s="35">
        <v>5.0510207852167257</v>
      </c>
      <c r="G1505" s="232">
        <v>9545.35</v>
      </c>
      <c r="H1505" s="35">
        <v>8.544721234291643</v>
      </c>
      <c r="I1505" s="232">
        <v>11147.1</v>
      </c>
      <c r="J1505" s="35">
        <v>7.8835351596969625</v>
      </c>
      <c r="K1505" s="232">
        <v>12378.3</v>
      </c>
      <c r="L1505" s="35">
        <v>8.6872932319171703</v>
      </c>
      <c r="M1505" s="232">
        <v>38459.42</v>
      </c>
      <c r="N1505" s="35">
        <v>7.5790239195149427</v>
      </c>
      <c r="P1505" s="232">
        <v>-20.34</v>
      </c>
      <c r="Q1505" s="35">
        <v>9.6510942088734453E-3</v>
      </c>
      <c r="R1505" s="232">
        <v>1601.74</v>
      </c>
      <c r="S1505" s="35">
        <v>0.66118607459468048</v>
      </c>
      <c r="T1505" s="232">
        <v>26081.119999999999</v>
      </c>
      <c r="U1505" s="35">
        <v>1.1082693124022276</v>
      </c>
      <c r="W1505" s="35">
        <f t="shared" si="145"/>
        <v>502.89471044367224</v>
      </c>
      <c r="X1505" s="35">
        <f t="shared" si="146"/>
        <v>31457.563729734025</v>
      </c>
      <c r="Y1505" s="35">
        <f t="shared" si="147"/>
        <v>29332.345620111384</v>
      </c>
      <c r="Z1505" s="35">
        <f t="shared" si="148"/>
        <v>0</v>
      </c>
      <c r="AA1505" s="35">
        <f t="shared" si="149"/>
        <v>1</v>
      </c>
      <c r="AB1505" s="35">
        <f t="shared" si="150"/>
        <v>0</v>
      </c>
    </row>
    <row r="1506" spans="1:28">
      <c r="A1506" s="35">
        <v>1495</v>
      </c>
      <c r="B1506" s="35">
        <v>4.4537472787856483E-4</v>
      </c>
      <c r="C1506" s="232">
        <v>77.36</v>
      </c>
      <c r="D1506" s="35">
        <v>5.0590518294384603</v>
      </c>
      <c r="E1506" s="232">
        <v>48.18</v>
      </c>
      <c r="F1506" s="35">
        <v>5.0500787868698502</v>
      </c>
      <c r="G1506" s="232">
        <v>13562.29</v>
      </c>
      <c r="H1506" s="35">
        <v>8.1649120545531595</v>
      </c>
      <c r="I1506" s="232">
        <v>15498.22</v>
      </c>
      <c r="J1506" s="35">
        <v>7.9047545140538542</v>
      </c>
      <c r="K1506" s="232">
        <v>17909.62</v>
      </c>
      <c r="L1506" s="35">
        <v>8.5330205170536217</v>
      </c>
      <c r="M1506" s="232">
        <v>44005.03</v>
      </c>
      <c r="N1506" s="35">
        <v>7.5306989581007766</v>
      </c>
      <c r="P1506" s="232">
        <v>-29.19</v>
      </c>
      <c r="Q1506" s="35">
        <v>8.9730425686100901E-3</v>
      </c>
      <c r="R1506" s="232">
        <v>1935.93</v>
      </c>
      <c r="S1506" s="35">
        <v>0.26015754049930528</v>
      </c>
      <c r="T1506" s="232">
        <v>26095.42</v>
      </c>
      <c r="U1506" s="35">
        <v>1.0023215589528451</v>
      </c>
      <c r="W1506" s="35">
        <f t="shared" si="145"/>
        <v>477.84212843050449</v>
      </c>
      <c r="X1506" s="35">
        <f t="shared" si="146"/>
        <v>11071.947024965264</v>
      </c>
      <c r="Y1506" s="35">
        <f t="shared" si="147"/>
        <v>24020.657947642256</v>
      </c>
      <c r="Z1506" s="35">
        <f t="shared" si="148"/>
        <v>0</v>
      </c>
      <c r="AA1506" s="35">
        <f t="shared" si="149"/>
        <v>0</v>
      </c>
      <c r="AB1506" s="35">
        <f t="shared" si="150"/>
        <v>1</v>
      </c>
    </row>
    <row r="1507" spans="1:28">
      <c r="A1507" s="35">
        <v>1496</v>
      </c>
      <c r="B1507" s="35">
        <v>4.0409105476238953E-4</v>
      </c>
      <c r="C1507" s="232">
        <v>91.25</v>
      </c>
      <c r="D1507" s="35">
        <v>5.0581851713206936</v>
      </c>
      <c r="E1507" s="232">
        <v>48.29</v>
      </c>
      <c r="F1507" s="35">
        <v>5.0478312939077687</v>
      </c>
      <c r="G1507" s="232">
        <v>16732.28</v>
      </c>
      <c r="H1507" s="35">
        <v>8.6846712571885529</v>
      </c>
      <c r="I1507" s="232">
        <v>16078.47</v>
      </c>
      <c r="J1507" s="35">
        <v>7.7612261867182664</v>
      </c>
      <c r="K1507" s="232">
        <v>27583.79</v>
      </c>
      <c r="L1507" s="35">
        <v>8.3831080644084359</v>
      </c>
      <c r="M1507" s="232">
        <v>54287.16</v>
      </c>
      <c r="N1507" s="35">
        <v>7.3495001188439639</v>
      </c>
      <c r="P1507" s="232">
        <v>-42.96</v>
      </c>
      <c r="Q1507" s="35">
        <v>1.0353877412924817E-2</v>
      </c>
      <c r="R1507" s="232">
        <v>-653.80999999999995</v>
      </c>
      <c r="S1507" s="35">
        <v>0.92344507047028657</v>
      </c>
      <c r="T1507" s="232">
        <v>26703.38</v>
      </c>
      <c r="U1507" s="35">
        <v>1.033607945564472</v>
      </c>
      <c r="W1507" s="35">
        <f t="shared" si="145"/>
        <v>560.65387064624088</v>
      </c>
      <c r="X1507" s="35">
        <f t="shared" si="146"/>
        <v>46826.063523514327</v>
      </c>
      <c r="Y1507" s="35">
        <f t="shared" si="147"/>
        <v>24977.0172782236</v>
      </c>
      <c r="Z1507" s="35">
        <f t="shared" si="148"/>
        <v>0</v>
      </c>
      <c r="AA1507" s="35">
        <f t="shared" si="149"/>
        <v>1</v>
      </c>
      <c r="AB1507" s="35">
        <f t="shared" si="150"/>
        <v>0</v>
      </c>
    </row>
    <row r="1508" spans="1:28">
      <c r="A1508" s="35">
        <v>1497</v>
      </c>
      <c r="B1508" s="35">
        <v>4.0302472384400848E-4</v>
      </c>
      <c r="C1508" s="232">
        <v>69.180000000000007</v>
      </c>
      <c r="D1508" s="35">
        <v>5.05952098651992</v>
      </c>
      <c r="E1508" s="232">
        <v>39.200000000000003</v>
      </c>
      <c r="F1508" s="35">
        <v>5.0490179113076685</v>
      </c>
      <c r="G1508" s="232">
        <v>13059.72</v>
      </c>
      <c r="H1508" s="35">
        <v>8.8761438297092035</v>
      </c>
      <c r="I1508" s="232">
        <v>12981.2</v>
      </c>
      <c r="J1508" s="35">
        <v>6.9415217409554897</v>
      </c>
      <c r="K1508" s="232">
        <v>15616.74</v>
      </c>
      <c r="L1508" s="35">
        <v>8.8740635089991073</v>
      </c>
      <c r="M1508" s="232">
        <v>41673.550000000003</v>
      </c>
      <c r="N1508" s="35">
        <v>7.7419736291270551</v>
      </c>
      <c r="P1508" s="232">
        <v>-29.97</v>
      </c>
      <c r="Q1508" s="35">
        <v>1.0503075212251467E-2</v>
      </c>
      <c r="R1508" s="232">
        <v>-78.52</v>
      </c>
      <c r="S1508" s="35">
        <v>1.9346220887537138</v>
      </c>
      <c r="T1508" s="232">
        <v>26056.82</v>
      </c>
      <c r="U1508" s="35">
        <v>1.1320898798720522</v>
      </c>
      <c r="W1508" s="35">
        <f t="shared" si="145"/>
        <v>555.12376061257339</v>
      </c>
      <c r="X1508" s="35">
        <f t="shared" si="146"/>
        <v>96809.624437685692</v>
      </c>
      <c r="Y1508" s="35">
        <f t="shared" si="147"/>
        <v>30547.673993602613</v>
      </c>
      <c r="Z1508" s="35">
        <f t="shared" si="148"/>
        <v>0</v>
      </c>
      <c r="AA1508" s="35">
        <f t="shared" si="149"/>
        <v>1</v>
      </c>
      <c r="AB1508" s="35">
        <f t="shared" si="150"/>
        <v>0</v>
      </c>
    </row>
    <row r="1509" spans="1:28">
      <c r="A1509" s="35">
        <v>1498</v>
      </c>
      <c r="B1509" s="35">
        <v>4.3429377993999154E-4</v>
      </c>
      <c r="C1509" s="232">
        <v>63.59</v>
      </c>
      <c r="D1509" s="35">
        <v>5.0604427107144927</v>
      </c>
      <c r="E1509" s="232">
        <v>41.15</v>
      </c>
      <c r="F1509" s="35">
        <v>5.0511989045108585</v>
      </c>
      <c r="G1509" s="232">
        <v>11169.52</v>
      </c>
      <c r="H1509" s="35">
        <v>8.7267646370517351</v>
      </c>
      <c r="I1509" s="232">
        <v>13394.72</v>
      </c>
      <c r="J1509" s="35">
        <v>8.72514498987554</v>
      </c>
      <c r="K1509" s="232">
        <v>13372.83</v>
      </c>
      <c r="L1509" s="35">
        <v>8.5279949906772714</v>
      </c>
      <c r="M1509" s="232">
        <v>39498.69</v>
      </c>
      <c r="N1509" s="35">
        <v>7.4029313386515208</v>
      </c>
      <c r="P1509" s="232">
        <v>-22.44</v>
      </c>
      <c r="Q1509" s="35">
        <v>9.2438062036341861E-3</v>
      </c>
      <c r="R1509" s="232">
        <v>2225.21</v>
      </c>
      <c r="S1509" s="35">
        <v>1.6196471761951159E-3</v>
      </c>
      <c r="T1509" s="232">
        <v>26125.86</v>
      </c>
      <c r="U1509" s="35">
        <v>1.1250636520257506</v>
      </c>
      <c r="W1509" s="35">
        <f t="shared" si="145"/>
        <v>484.63031018170932</v>
      </c>
      <c r="X1509" s="35">
        <f t="shared" si="146"/>
        <v>-2144.2276411902444</v>
      </c>
      <c r="Y1509" s="35">
        <f t="shared" si="147"/>
        <v>30127.322601287531</v>
      </c>
      <c r="Z1509" s="35">
        <f t="shared" si="148"/>
        <v>0</v>
      </c>
      <c r="AA1509" s="35">
        <f t="shared" si="149"/>
        <v>0</v>
      </c>
      <c r="AB1509" s="35">
        <f t="shared" si="150"/>
        <v>1</v>
      </c>
    </row>
    <row r="1510" spans="1:28">
      <c r="A1510" s="35">
        <v>1499</v>
      </c>
      <c r="B1510" s="35">
        <v>4.6728275998486613E-4</v>
      </c>
      <c r="C1510" s="232">
        <v>68.08</v>
      </c>
      <c r="D1510" s="35">
        <v>5.0642325527946115</v>
      </c>
      <c r="E1510" s="232">
        <v>42.5</v>
      </c>
      <c r="F1510" s="35">
        <v>5.0529311060981108</v>
      </c>
      <c r="G1510" s="232">
        <v>11875.87</v>
      </c>
      <c r="H1510" s="35">
        <v>9.3630069882057807</v>
      </c>
      <c r="I1510" s="232">
        <v>14095.55</v>
      </c>
      <c r="J1510" s="35">
        <v>7.8121455345001021</v>
      </c>
      <c r="K1510" s="232">
        <v>10950.55</v>
      </c>
      <c r="L1510" s="35">
        <v>8.4853392196977158</v>
      </c>
      <c r="M1510" s="232">
        <v>36980.14</v>
      </c>
      <c r="N1510" s="35">
        <v>7.3459231533675151</v>
      </c>
      <c r="P1510" s="232">
        <v>-25.58</v>
      </c>
      <c r="Q1510" s="35">
        <v>1.1301446696500683E-2</v>
      </c>
      <c r="R1510" s="232">
        <v>2219.6799999999998</v>
      </c>
      <c r="S1510" s="35">
        <v>1.5508614537056786</v>
      </c>
      <c r="T1510" s="232">
        <v>26029.599999999999</v>
      </c>
      <c r="U1510" s="35">
        <v>1.1394160663302006</v>
      </c>
      <c r="W1510" s="35">
        <f t="shared" si="145"/>
        <v>590.65233482503425</v>
      </c>
      <c r="X1510" s="35">
        <f t="shared" si="146"/>
        <v>75323.392685283936</v>
      </c>
      <c r="Y1510" s="35">
        <f t="shared" si="147"/>
        <v>30941.203316510037</v>
      </c>
      <c r="Z1510" s="35">
        <f t="shared" si="148"/>
        <v>0</v>
      </c>
      <c r="AA1510" s="35">
        <f t="shared" si="149"/>
        <v>1</v>
      </c>
      <c r="AB1510" s="35">
        <f t="shared" si="150"/>
        <v>0</v>
      </c>
    </row>
    <row r="1511" spans="1:28">
      <c r="A1511" s="35">
        <v>1500</v>
      </c>
      <c r="B1511" s="35">
        <v>3.7140029008672718E-4</v>
      </c>
      <c r="C1511" s="232">
        <v>41.56</v>
      </c>
      <c r="D1511" s="35">
        <v>5.0581603764549117</v>
      </c>
      <c r="E1511" s="232">
        <v>28.43</v>
      </c>
      <c r="F1511" s="35">
        <v>5.0499814670846357</v>
      </c>
      <c r="G1511" s="232">
        <v>9008.36</v>
      </c>
      <c r="H1511" s="35">
        <v>8.8996356191106809</v>
      </c>
      <c r="I1511" s="232">
        <v>11053.33</v>
      </c>
      <c r="J1511" s="35">
        <v>7.848899316634923</v>
      </c>
      <c r="K1511" s="232">
        <v>9008.5300000000007</v>
      </c>
      <c r="L1511" s="35">
        <v>8.7727650565288542</v>
      </c>
      <c r="M1511" s="232">
        <v>34845.42</v>
      </c>
      <c r="N1511" s="35">
        <v>7.6168541961030529</v>
      </c>
      <c r="P1511" s="232">
        <v>-13.14</v>
      </c>
      <c r="Q1511" s="35">
        <v>8.1789093702759885E-3</v>
      </c>
      <c r="R1511" s="232">
        <v>2044.97</v>
      </c>
      <c r="S1511" s="35">
        <v>1.0507363024757579</v>
      </c>
      <c r="T1511" s="232">
        <v>25836.89</v>
      </c>
      <c r="U1511" s="35">
        <v>1.1559108604258013</v>
      </c>
      <c r="W1511" s="35">
        <f t="shared" si="145"/>
        <v>422.08546851379941</v>
      </c>
      <c r="X1511" s="35">
        <f t="shared" si="146"/>
        <v>50491.845123787891</v>
      </c>
      <c r="Y1511" s="35">
        <f t="shared" si="147"/>
        <v>31958.653021290062</v>
      </c>
      <c r="Z1511" s="35">
        <f t="shared" si="148"/>
        <v>0</v>
      </c>
      <c r="AA1511" s="35">
        <f t="shared" si="149"/>
        <v>1</v>
      </c>
      <c r="AB1511" s="35">
        <f t="shared" si="150"/>
        <v>0</v>
      </c>
    </row>
    <row r="1512" spans="1:28">
      <c r="A1512" s="35">
        <v>1501</v>
      </c>
      <c r="B1512" s="35">
        <v>2.9637468246428275E-4</v>
      </c>
      <c r="C1512" s="232">
        <v>48.13</v>
      </c>
      <c r="D1512" s="35">
        <v>5.0546351512040468</v>
      </c>
      <c r="E1512" s="232">
        <v>30.7</v>
      </c>
      <c r="F1512" s="35">
        <v>5.0473107137551647</v>
      </c>
      <c r="G1512" s="232">
        <v>12557.89</v>
      </c>
      <c r="H1512" s="35">
        <v>9.3261654601411283</v>
      </c>
      <c r="I1512" s="232">
        <v>13113.5</v>
      </c>
      <c r="J1512" s="35">
        <v>8.1556873240010113</v>
      </c>
      <c r="K1512" s="232">
        <v>16857.14</v>
      </c>
      <c r="L1512" s="35">
        <v>8.5871132102983623</v>
      </c>
      <c r="M1512" s="232">
        <v>43045.67</v>
      </c>
      <c r="N1512" s="35">
        <v>7.4450375828308344</v>
      </c>
      <c r="P1512" s="232">
        <v>-17.43</v>
      </c>
      <c r="Q1512" s="35">
        <v>7.3244374488821151E-3</v>
      </c>
      <c r="R1512" s="232">
        <v>555.6</v>
      </c>
      <c r="S1512" s="35">
        <v>1.1704781361401171</v>
      </c>
      <c r="T1512" s="232">
        <v>26188.53</v>
      </c>
      <c r="U1512" s="35">
        <v>1.1420756274675279</v>
      </c>
      <c r="W1512" s="35">
        <f t="shared" si="145"/>
        <v>383.65187244410578</v>
      </c>
      <c r="X1512" s="35">
        <f t="shared" si="146"/>
        <v>57968.306807005858</v>
      </c>
      <c r="Y1512" s="35">
        <f t="shared" si="147"/>
        <v>30915.251373376399</v>
      </c>
      <c r="Z1512" s="35">
        <f t="shared" si="148"/>
        <v>0</v>
      </c>
      <c r="AA1512" s="35">
        <f t="shared" si="149"/>
        <v>1</v>
      </c>
      <c r="AB1512" s="35">
        <f t="shared" si="150"/>
        <v>0</v>
      </c>
    </row>
    <row r="1513" spans="1:28">
      <c r="A1513" s="35">
        <v>1502</v>
      </c>
      <c r="B1513" s="35">
        <v>5.4729055494584511E-4</v>
      </c>
      <c r="C1513" s="232">
        <v>70.63</v>
      </c>
      <c r="D1513" s="35">
        <v>5.0652322530176477</v>
      </c>
      <c r="E1513" s="232">
        <v>41.43</v>
      </c>
      <c r="F1513" s="35">
        <v>5.0525243909809294</v>
      </c>
      <c r="G1513" s="232">
        <v>10713.59</v>
      </c>
      <c r="H1513" s="35">
        <v>8.2605177151068823</v>
      </c>
      <c r="I1513" s="232">
        <v>12614.13</v>
      </c>
      <c r="J1513" s="35">
        <v>6.3972740480842889</v>
      </c>
      <c r="K1513" s="232">
        <v>11395.85</v>
      </c>
      <c r="L1513" s="35">
        <v>8.8980901909593548</v>
      </c>
      <c r="M1513" s="232">
        <v>37445.86</v>
      </c>
      <c r="N1513" s="35">
        <v>7.7102736041367805</v>
      </c>
      <c r="P1513" s="232">
        <v>-29.2</v>
      </c>
      <c r="Q1513" s="35">
        <v>1.2707862036718254E-2</v>
      </c>
      <c r="R1513" s="232">
        <v>1900.54</v>
      </c>
      <c r="S1513" s="35">
        <v>1.8632436670225934</v>
      </c>
      <c r="T1513" s="232">
        <v>26050.01</v>
      </c>
      <c r="U1513" s="35">
        <v>1.1878165868225743</v>
      </c>
      <c r="W1513" s="35">
        <f t="shared" si="145"/>
        <v>664.59310183591276</v>
      </c>
      <c r="X1513" s="35">
        <f t="shared" si="146"/>
        <v>91261.643351129678</v>
      </c>
      <c r="Y1513" s="35">
        <f t="shared" si="147"/>
        <v>33340.819341128721</v>
      </c>
      <c r="Z1513" s="35">
        <f t="shared" si="148"/>
        <v>0</v>
      </c>
      <c r="AA1513" s="35">
        <f t="shared" si="149"/>
        <v>1</v>
      </c>
      <c r="AB1513" s="35">
        <f t="shared" si="150"/>
        <v>0</v>
      </c>
    </row>
    <row r="1514" spans="1:28">
      <c r="A1514" s="35">
        <v>1503</v>
      </c>
      <c r="B1514" s="35">
        <v>3.7657089588933034E-4</v>
      </c>
      <c r="C1514" s="232">
        <v>53.07</v>
      </c>
      <c r="D1514" s="35">
        <v>5.05763863710711</v>
      </c>
      <c r="E1514" s="232">
        <v>30.11</v>
      </c>
      <c r="F1514" s="35">
        <v>5.0477483860143666</v>
      </c>
      <c r="G1514" s="232">
        <v>11241.76</v>
      </c>
      <c r="H1514" s="35">
        <v>8.7583887787422583</v>
      </c>
      <c r="I1514" s="232">
        <v>12122.13</v>
      </c>
      <c r="J1514" s="35">
        <v>6.7811356234690745</v>
      </c>
      <c r="K1514" s="232">
        <v>13025.29</v>
      </c>
      <c r="L1514" s="35">
        <v>8.7645011817952803</v>
      </c>
      <c r="M1514" s="232">
        <v>38996.94</v>
      </c>
      <c r="N1514" s="35">
        <v>7.6646587448327583</v>
      </c>
      <c r="P1514" s="232">
        <v>-22.96</v>
      </c>
      <c r="Q1514" s="35">
        <v>9.8902510927434406E-3</v>
      </c>
      <c r="R1514" s="232">
        <v>880.37</v>
      </c>
      <c r="S1514" s="35">
        <v>1.9772531552731838</v>
      </c>
      <c r="T1514" s="232">
        <v>25971.65</v>
      </c>
      <c r="U1514" s="35">
        <v>1.0998424369625219</v>
      </c>
      <c r="W1514" s="35">
        <f t="shared" si="145"/>
        <v>517.47255463717204</v>
      </c>
      <c r="X1514" s="35">
        <f t="shared" si="146"/>
        <v>97982.287763659187</v>
      </c>
      <c r="Y1514" s="35">
        <f t="shared" si="147"/>
        <v>29020.471848126093</v>
      </c>
      <c r="Z1514" s="35">
        <f t="shared" si="148"/>
        <v>0</v>
      </c>
      <c r="AA1514" s="35">
        <f t="shared" si="149"/>
        <v>1</v>
      </c>
      <c r="AB1514" s="35">
        <f t="shared" si="150"/>
        <v>0</v>
      </c>
    </row>
    <row r="1515" spans="1:28">
      <c r="A1515" s="35">
        <v>1504</v>
      </c>
      <c r="B1515" s="35">
        <v>5.329742406091631E-4</v>
      </c>
      <c r="C1515" s="232">
        <v>109.44</v>
      </c>
      <c r="D1515" s="35">
        <v>5.0661293571162442</v>
      </c>
      <c r="E1515" s="232">
        <v>62.74</v>
      </c>
      <c r="F1515" s="35">
        <v>5.0531467750453301</v>
      </c>
      <c r="G1515" s="232">
        <v>14956.72</v>
      </c>
      <c r="H1515" s="35">
        <v>8.8431629799328064</v>
      </c>
      <c r="I1515" s="232">
        <v>14265</v>
      </c>
      <c r="J1515" s="35">
        <v>7.5190922517325323</v>
      </c>
      <c r="K1515" s="232">
        <v>21185.93</v>
      </c>
      <c r="L1515" s="35">
        <v>8.6287368876765171</v>
      </c>
      <c r="M1515" s="232">
        <v>47483.67</v>
      </c>
      <c r="N1515" s="35">
        <v>7.499353992193929</v>
      </c>
      <c r="P1515" s="232">
        <v>-46.7</v>
      </c>
      <c r="Q1515" s="35">
        <v>1.2982582070914184E-2</v>
      </c>
      <c r="R1515" s="232">
        <v>-691.72</v>
      </c>
      <c r="S1515" s="35">
        <v>1.3240707282002742</v>
      </c>
      <c r="T1515" s="232">
        <v>26297.74</v>
      </c>
      <c r="U1515" s="35">
        <v>1.1293828954825882</v>
      </c>
      <c r="W1515" s="35">
        <f t="shared" si="145"/>
        <v>695.82910354570924</v>
      </c>
      <c r="X1515" s="35">
        <f t="shared" si="146"/>
        <v>66895.25641001371</v>
      </c>
      <c r="Y1515" s="35">
        <f t="shared" si="147"/>
        <v>30171.404774129409</v>
      </c>
      <c r="Z1515" s="35">
        <f t="shared" si="148"/>
        <v>0</v>
      </c>
      <c r="AA1515" s="35">
        <f t="shared" si="149"/>
        <v>1</v>
      </c>
      <c r="AB1515" s="35">
        <f t="shared" si="150"/>
        <v>0</v>
      </c>
    </row>
    <row r="1516" spans="1:28">
      <c r="A1516" s="35">
        <v>1505</v>
      </c>
      <c r="B1516" s="35">
        <v>6.4491800114574449E-4</v>
      </c>
      <c r="C1516" s="232">
        <v>100.78</v>
      </c>
      <c r="D1516" s="35">
        <v>5.06924738994653</v>
      </c>
      <c r="E1516" s="232">
        <v>62.47</v>
      </c>
      <c r="F1516" s="35">
        <v>5.0561984805776543</v>
      </c>
      <c r="G1516" s="232">
        <v>11611.31</v>
      </c>
      <c r="H1516" s="35">
        <v>8.4081888825117446</v>
      </c>
      <c r="I1516" s="232">
        <v>12033.28</v>
      </c>
      <c r="J1516" s="35">
        <v>6.9119034497760392</v>
      </c>
      <c r="K1516" s="232">
        <v>14194.14</v>
      </c>
      <c r="L1516" s="35">
        <v>8.370205778320253</v>
      </c>
      <c r="M1516" s="232">
        <v>40185.9</v>
      </c>
      <c r="N1516" s="35">
        <v>7.3370650450020136</v>
      </c>
      <c r="P1516" s="232">
        <v>-38.31</v>
      </c>
      <c r="Q1516" s="35">
        <v>1.3048909368875705E-2</v>
      </c>
      <c r="R1516" s="232">
        <v>421.98</v>
      </c>
      <c r="S1516" s="35">
        <v>1.4962854327357054</v>
      </c>
      <c r="T1516" s="232">
        <v>25991.759999999998</v>
      </c>
      <c r="U1516" s="35">
        <v>1.0331407333182394</v>
      </c>
      <c r="W1516" s="35">
        <f t="shared" si="145"/>
        <v>690.75546844378528</v>
      </c>
      <c r="X1516" s="35">
        <f t="shared" si="146"/>
        <v>74392.291636785274</v>
      </c>
      <c r="Y1516" s="35">
        <f t="shared" si="147"/>
        <v>25665.27666591197</v>
      </c>
      <c r="Z1516" s="35">
        <f t="shared" si="148"/>
        <v>0</v>
      </c>
      <c r="AA1516" s="35">
        <f t="shared" si="149"/>
        <v>1</v>
      </c>
      <c r="AB1516" s="35">
        <f t="shared" si="150"/>
        <v>0</v>
      </c>
    </row>
    <row r="1517" spans="1:28">
      <c r="A1517" s="35">
        <v>1506</v>
      </c>
      <c r="B1517" s="35">
        <v>4.6767698430505433E-4</v>
      </c>
      <c r="C1517" s="232">
        <v>45.27</v>
      </c>
      <c r="D1517" s="35">
        <v>5.0628847650140081</v>
      </c>
      <c r="E1517" s="232">
        <v>33.49</v>
      </c>
      <c r="F1517" s="35">
        <v>5.0543719914105836</v>
      </c>
      <c r="G1517" s="232">
        <v>8036.67</v>
      </c>
      <c r="H1517" s="35">
        <v>8.7709953274697963</v>
      </c>
      <c r="I1517" s="232">
        <v>10515.89</v>
      </c>
      <c r="J1517" s="35">
        <v>7.2631242220128369</v>
      </c>
      <c r="K1517" s="232">
        <v>6914.46</v>
      </c>
      <c r="L1517" s="35">
        <v>8.8065731304516781</v>
      </c>
      <c r="M1517" s="232">
        <v>32628.73</v>
      </c>
      <c r="N1517" s="35">
        <v>7.7746793527490299</v>
      </c>
      <c r="P1517" s="232">
        <v>-11.77</v>
      </c>
      <c r="Q1517" s="35">
        <v>8.5127736034245061E-3</v>
      </c>
      <c r="R1517" s="232">
        <v>2479.2199999999998</v>
      </c>
      <c r="S1517" s="35">
        <v>1.5078711054569593</v>
      </c>
      <c r="T1517" s="232">
        <v>25714.27</v>
      </c>
      <c r="U1517" s="35">
        <v>1.0318937777026482</v>
      </c>
      <c r="W1517" s="35">
        <f t="shared" si="145"/>
        <v>437.40868017122528</v>
      </c>
      <c r="X1517" s="35">
        <f t="shared" si="146"/>
        <v>72914.335272847966</v>
      </c>
      <c r="Y1517" s="35">
        <f t="shared" si="147"/>
        <v>25880.418885132411</v>
      </c>
      <c r="Z1517" s="35">
        <f t="shared" si="148"/>
        <v>0</v>
      </c>
      <c r="AA1517" s="35">
        <f t="shared" si="149"/>
        <v>1</v>
      </c>
      <c r="AB1517" s="35">
        <f t="shared" si="150"/>
        <v>0</v>
      </c>
    </row>
    <row r="1518" spans="1:28">
      <c r="A1518" s="35">
        <v>1507</v>
      </c>
      <c r="B1518" s="35">
        <v>5.4490117078176414E-4</v>
      </c>
      <c r="C1518" s="232">
        <v>69.38</v>
      </c>
      <c r="D1518" s="35">
        <v>5.0676598542254521</v>
      </c>
      <c r="E1518" s="232">
        <v>40.909999999999997</v>
      </c>
      <c r="F1518" s="35">
        <v>5.0538846418261825</v>
      </c>
      <c r="G1518" s="232">
        <v>9992.01</v>
      </c>
      <c r="H1518" s="35">
        <v>9.0311579556176156</v>
      </c>
      <c r="I1518" s="232">
        <v>10578.66</v>
      </c>
      <c r="J1518" s="35">
        <v>6.7794008814095932</v>
      </c>
      <c r="K1518" s="232">
        <v>11794.51</v>
      </c>
      <c r="L1518" s="35">
        <v>8.7812508406054501</v>
      </c>
      <c r="M1518" s="232">
        <v>37775.870000000003</v>
      </c>
      <c r="N1518" s="35">
        <v>7.7003800241377691</v>
      </c>
      <c r="P1518" s="232">
        <v>-28.47</v>
      </c>
      <c r="Q1518" s="35">
        <v>1.3775212399269599E-2</v>
      </c>
      <c r="R1518" s="232">
        <v>586.65</v>
      </c>
      <c r="S1518" s="35">
        <v>2.2517570742080224</v>
      </c>
      <c r="T1518" s="232">
        <v>25981.360000000001</v>
      </c>
      <c r="U1518" s="35">
        <v>1.080870816467681</v>
      </c>
      <c r="W1518" s="35">
        <f t="shared" si="145"/>
        <v>717.23061996347997</v>
      </c>
      <c r="X1518" s="35">
        <f t="shared" si="146"/>
        <v>112001.20371040113</v>
      </c>
      <c r="Y1518" s="35">
        <f t="shared" si="147"/>
        <v>28062.180823384049</v>
      </c>
      <c r="Z1518" s="35">
        <f t="shared" si="148"/>
        <v>0</v>
      </c>
      <c r="AA1518" s="35">
        <f t="shared" si="149"/>
        <v>1</v>
      </c>
      <c r="AB1518" s="35">
        <f t="shared" si="150"/>
        <v>0</v>
      </c>
    </row>
    <row r="1519" spans="1:28">
      <c r="A1519" s="35">
        <v>1508</v>
      </c>
      <c r="B1519" s="35">
        <v>4.3257585881237119E-4</v>
      </c>
      <c r="C1519" s="232">
        <v>63.37</v>
      </c>
      <c r="D1519" s="35">
        <v>5.0601409689278771</v>
      </c>
      <c r="E1519" s="232">
        <v>41.71</v>
      </c>
      <c r="F1519" s="35">
        <v>5.0512603189970422</v>
      </c>
      <c r="G1519" s="232">
        <v>11131.21</v>
      </c>
      <c r="H1519" s="35">
        <v>8.4633376720660003</v>
      </c>
      <c r="I1519" s="232">
        <v>14049.52</v>
      </c>
      <c r="J1519" s="35">
        <v>9.0366649478979824</v>
      </c>
      <c r="K1519" s="232">
        <v>16412.57</v>
      </c>
      <c r="L1519" s="35">
        <v>8.8324123486631532</v>
      </c>
      <c r="M1519" s="232">
        <v>42695.14</v>
      </c>
      <c r="N1519" s="35">
        <v>7.6978064622328448</v>
      </c>
      <c r="P1519" s="232">
        <v>-21.67</v>
      </c>
      <c r="Q1519" s="35">
        <v>8.8806499308349274E-3</v>
      </c>
      <c r="R1519" s="232">
        <v>2918.31</v>
      </c>
      <c r="S1519" s="35">
        <v>-0.57332727583198206</v>
      </c>
      <c r="T1519" s="232">
        <v>26282.57</v>
      </c>
      <c r="U1519" s="35">
        <v>1.1346058864303084</v>
      </c>
      <c r="W1519" s="35">
        <f t="shared" si="145"/>
        <v>465.70249654174637</v>
      </c>
      <c r="X1519" s="35">
        <f t="shared" si="146"/>
        <v>-31584.673791599103</v>
      </c>
      <c r="Y1519" s="35">
        <f t="shared" si="147"/>
        <v>30447.724321515416</v>
      </c>
      <c r="Z1519" s="35">
        <f t="shared" si="148"/>
        <v>0</v>
      </c>
      <c r="AA1519" s="35">
        <f t="shared" si="149"/>
        <v>0</v>
      </c>
      <c r="AB1519" s="35">
        <f t="shared" si="150"/>
        <v>1</v>
      </c>
    </row>
    <row r="1520" spans="1:28">
      <c r="A1520" s="35">
        <v>1509</v>
      </c>
      <c r="B1520" s="35">
        <v>4.8069927913219068E-4</v>
      </c>
      <c r="C1520" s="232">
        <v>100.65</v>
      </c>
      <c r="D1520" s="35">
        <v>5.0655454073377992</v>
      </c>
      <c r="E1520" s="232">
        <v>66.900000000000006</v>
      </c>
      <c r="F1520" s="35">
        <v>5.0552758051351363</v>
      </c>
      <c r="G1520" s="232">
        <v>17097.55</v>
      </c>
      <c r="H1520" s="35">
        <v>9.3893229998688632</v>
      </c>
      <c r="I1520" s="232">
        <v>18510.759999999998</v>
      </c>
      <c r="J1520" s="35">
        <v>8.2845974458023051</v>
      </c>
      <c r="K1520" s="232">
        <v>20379.91</v>
      </c>
      <c r="L1520" s="35">
        <v>8.7000684117487239</v>
      </c>
      <c r="M1520" s="232">
        <v>46870.01</v>
      </c>
      <c r="N1520" s="35">
        <v>7.5332760421046618</v>
      </c>
      <c r="P1520" s="232">
        <v>-33.75</v>
      </c>
      <c r="Q1520" s="35">
        <v>1.0269602202662931E-2</v>
      </c>
      <c r="R1520" s="232">
        <v>1413.2</v>
      </c>
      <c r="S1520" s="35">
        <v>1.1047255540665581</v>
      </c>
      <c r="T1520" s="232">
        <v>26490.1</v>
      </c>
      <c r="U1520" s="35">
        <v>1.1667923696440621</v>
      </c>
      <c r="W1520" s="35">
        <f t="shared" si="145"/>
        <v>547.23011013314658</v>
      </c>
      <c r="X1520" s="35">
        <f t="shared" si="146"/>
        <v>53823.077703327908</v>
      </c>
      <c r="Y1520" s="35">
        <f t="shared" si="147"/>
        <v>31849.518482203108</v>
      </c>
      <c r="Z1520" s="35">
        <f t="shared" si="148"/>
        <v>0</v>
      </c>
      <c r="AA1520" s="35">
        <f t="shared" si="149"/>
        <v>1</v>
      </c>
      <c r="AB1520" s="35">
        <f t="shared" si="150"/>
        <v>0</v>
      </c>
    </row>
    <row r="1521" spans="1:28">
      <c r="A1521" s="35">
        <v>1510</v>
      </c>
      <c r="B1521" s="35">
        <v>3.919420991776052E-4</v>
      </c>
      <c r="C1521" s="232">
        <v>58.9</v>
      </c>
      <c r="D1521" s="35">
        <v>5.0574572797303086</v>
      </c>
      <c r="E1521" s="232">
        <v>36.78</v>
      </c>
      <c r="F1521" s="35">
        <v>5.0489066009352044</v>
      </c>
      <c r="G1521" s="232">
        <v>11455.28</v>
      </c>
      <c r="H1521" s="35">
        <v>8.6657785039587605</v>
      </c>
      <c r="I1521" s="232">
        <v>11743.86</v>
      </c>
      <c r="J1521" s="35">
        <v>7.0291054553607273</v>
      </c>
      <c r="K1521" s="232">
        <v>14444.51</v>
      </c>
      <c r="L1521" s="35">
        <v>8.2244684550796769</v>
      </c>
      <c r="M1521" s="232">
        <v>40677.96</v>
      </c>
      <c r="N1521" s="35">
        <v>7.0569166805131909</v>
      </c>
      <c r="P1521" s="232">
        <v>-22.12</v>
      </c>
      <c r="Q1521" s="35">
        <v>8.5506787951041829E-3</v>
      </c>
      <c r="R1521" s="232">
        <v>288.58</v>
      </c>
      <c r="S1521" s="35">
        <v>1.6366730485980332</v>
      </c>
      <c r="T1521" s="232">
        <v>26233.45</v>
      </c>
      <c r="U1521" s="35">
        <v>1.1675517745664861</v>
      </c>
      <c r="W1521" s="35">
        <f t="shared" si="145"/>
        <v>449.65393975520914</v>
      </c>
      <c r="X1521" s="35">
        <f t="shared" si="146"/>
        <v>81545.072429901658</v>
      </c>
      <c r="Y1521" s="35">
        <f t="shared" si="147"/>
        <v>32144.138728324306</v>
      </c>
      <c r="Z1521" s="35">
        <f t="shared" si="148"/>
        <v>0</v>
      </c>
      <c r="AA1521" s="35">
        <f t="shared" si="149"/>
        <v>1</v>
      </c>
      <c r="AB1521" s="35">
        <f t="shared" si="150"/>
        <v>0</v>
      </c>
    </row>
    <row r="1522" spans="1:28">
      <c r="A1522" s="35">
        <v>1511</v>
      </c>
      <c r="B1522" s="35">
        <v>4.7096499773824352E-4</v>
      </c>
      <c r="C1522" s="232">
        <v>82.31</v>
      </c>
      <c r="D1522" s="35">
        <v>5.0623854791248064</v>
      </c>
      <c r="E1522" s="232">
        <v>50.87</v>
      </c>
      <c r="F1522" s="35">
        <v>5.0519505747636471</v>
      </c>
      <c r="G1522" s="232">
        <v>13754.14</v>
      </c>
      <c r="H1522" s="35">
        <v>8.6954033337646521</v>
      </c>
      <c r="I1522" s="232">
        <v>15062.54</v>
      </c>
      <c r="J1522" s="35">
        <v>7.6753036425257015</v>
      </c>
      <c r="K1522" s="232">
        <v>16630.36</v>
      </c>
      <c r="L1522" s="35">
        <v>8.6905216135985306</v>
      </c>
      <c r="M1522" s="232">
        <v>42829.61</v>
      </c>
      <c r="N1522" s="35">
        <v>7.6242015526972224</v>
      </c>
      <c r="P1522" s="232">
        <v>-31.44</v>
      </c>
      <c r="Q1522" s="35">
        <v>1.0434904361159347E-2</v>
      </c>
      <c r="R1522" s="232">
        <v>1308.4000000000001</v>
      </c>
      <c r="S1522" s="35">
        <v>1.0200996912389506</v>
      </c>
      <c r="T1522" s="232">
        <v>26199.24</v>
      </c>
      <c r="U1522" s="35">
        <v>1.0663200609013082</v>
      </c>
      <c r="W1522" s="35">
        <f t="shared" si="145"/>
        <v>553.1852180579674</v>
      </c>
      <c r="X1522" s="35">
        <f t="shared" si="146"/>
        <v>49696.584561947529</v>
      </c>
      <c r="Y1522" s="35">
        <f t="shared" si="147"/>
        <v>27116.763045065407</v>
      </c>
      <c r="Z1522" s="35">
        <f t="shared" si="148"/>
        <v>0</v>
      </c>
      <c r="AA1522" s="35">
        <f t="shared" si="149"/>
        <v>1</v>
      </c>
      <c r="AB1522" s="35">
        <f t="shared" si="150"/>
        <v>0</v>
      </c>
    </row>
    <row r="1523" spans="1:28">
      <c r="A1523" s="35">
        <v>1512</v>
      </c>
      <c r="B1523" s="35">
        <v>4.645540447151264E-4</v>
      </c>
      <c r="C1523" s="232">
        <v>55.74</v>
      </c>
      <c r="D1523" s="35">
        <v>5.0626040361229281</v>
      </c>
      <c r="E1523" s="232">
        <v>31.46</v>
      </c>
      <c r="F1523" s="35">
        <v>5.050232747147839</v>
      </c>
      <c r="G1523" s="232">
        <v>9795.43</v>
      </c>
      <c r="H1523" s="35">
        <v>8.8644351422287233</v>
      </c>
      <c r="I1523" s="232">
        <v>11040.67</v>
      </c>
      <c r="J1523" s="35">
        <v>7.1838147535443655</v>
      </c>
      <c r="K1523" s="232">
        <v>12052.42</v>
      </c>
      <c r="L1523" s="35">
        <v>8.8559119074689221</v>
      </c>
      <c r="M1523" s="232">
        <v>37990.720000000001</v>
      </c>
      <c r="N1523" s="35">
        <v>7.7521402243063058</v>
      </c>
      <c r="P1523" s="232">
        <v>-24.27</v>
      </c>
      <c r="Q1523" s="35">
        <v>1.2371288975089101E-2</v>
      </c>
      <c r="R1523" s="232">
        <v>1245.24</v>
      </c>
      <c r="S1523" s="35">
        <v>1.6806203886843578</v>
      </c>
      <c r="T1523" s="232">
        <v>25938.3</v>
      </c>
      <c r="U1523" s="35">
        <v>1.1037716831626163</v>
      </c>
      <c r="W1523" s="35">
        <f t="shared" si="145"/>
        <v>642.83444875445502</v>
      </c>
      <c r="X1523" s="35">
        <f t="shared" si="146"/>
        <v>82785.779434217882</v>
      </c>
      <c r="Y1523" s="35">
        <f t="shared" si="147"/>
        <v>29250.284158130813</v>
      </c>
      <c r="Z1523" s="35">
        <f t="shared" si="148"/>
        <v>0</v>
      </c>
      <c r="AA1523" s="35">
        <f t="shared" si="149"/>
        <v>1</v>
      </c>
      <c r="AB1523" s="35">
        <f t="shared" si="150"/>
        <v>0</v>
      </c>
    </row>
    <row r="1524" spans="1:28">
      <c r="A1524" s="35">
        <v>1513</v>
      </c>
      <c r="B1524" s="35">
        <v>3.9389888306285223E-4</v>
      </c>
      <c r="C1524" s="232">
        <v>61.07</v>
      </c>
      <c r="D1524" s="35">
        <v>5.0592261129806806</v>
      </c>
      <c r="E1524" s="232">
        <v>38.53</v>
      </c>
      <c r="F1524" s="35">
        <v>5.0500837925040436</v>
      </c>
      <c r="G1524" s="232">
        <v>11867.42</v>
      </c>
      <c r="H1524" s="35">
        <v>9.1053488728406151</v>
      </c>
      <c r="I1524" s="232">
        <v>11509.2</v>
      </c>
      <c r="J1524" s="35">
        <v>7.2842334845566681</v>
      </c>
      <c r="K1524" s="232">
        <v>15585.78</v>
      </c>
      <c r="L1524" s="35">
        <v>8.4994183826692637</v>
      </c>
      <c r="M1524" s="232">
        <v>41552.74</v>
      </c>
      <c r="N1524" s="35">
        <v>7.3972583043290587</v>
      </c>
      <c r="P1524" s="232">
        <v>-22.54</v>
      </c>
      <c r="Q1524" s="35">
        <v>9.1423204766369892E-3</v>
      </c>
      <c r="R1524" s="232">
        <v>-358.22</v>
      </c>
      <c r="S1524" s="35">
        <v>1.821115388283947</v>
      </c>
      <c r="T1524" s="232">
        <v>25966.959999999999</v>
      </c>
      <c r="U1524" s="35">
        <v>1.102160078340205</v>
      </c>
      <c r="W1524" s="35">
        <f t="shared" si="145"/>
        <v>479.6560238318495</v>
      </c>
      <c r="X1524" s="35">
        <f t="shared" si="146"/>
        <v>91413.989414197349</v>
      </c>
      <c r="Y1524" s="35">
        <f t="shared" si="147"/>
        <v>29141.043917010255</v>
      </c>
      <c r="Z1524" s="35">
        <f t="shared" si="148"/>
        <v>0</v>
      </c>
      <c r="AA1524" s="35">
        <f t="shared" si="149"/>
        <v>1</v>
      </c>
      <c r="AB1524" s="35">
        <f t="shared" si="150"/>
        <v>0</v>
      </c>
    </row>
    <row r="1525" spans="1:28">
      <c r="A1525" s="35">
        <v>1514</v>
      </c>
      <c r="B1525" s="35">
        <v>4.6929120341354658E-4</v>
      </c>
      <c r="C1525" s="232">
        <v>75.459999999999994</v>
      </c>
      <c r="D1525" s="35">
        <v>5.0622761478098681</v>
      </c>
      <c r="E1525" s="232">
        <v>43.56</v>
      </c>
      <c r="F1525" s="35">
        <v>5.0507985897678811</v>
      </c>
      <c r="G1525" s="232">
        <v>12069.09</v>
      </c>
      <c r="H1525" s="35">
        <v>8.7075604653071288</v>
      </c>
      <c r="I1525" s="232">
        <v>13309.18</v>
      </c>
      <c r="J1525" s="35">
        <v>8.025314942251784</v>
      </c>
      <c r="K1525" s="232">
        <v>16461.43</v>
      </c>
      <c r="L1525" s="35">
        <v>8.7997317391490384</v>
      </c>
      <c r="M1525" s="232">
        <v>42472.02</v>
      </c>
      <c r="N1525" s="35">
        <v>7.7486401980360426</v>
      </c>
      <c r="P1525" s="232">
        <v>-31.9</v>
      </c>
      <c r="Q1525" s="35">
        <v>1.1477558041987024E-2</v>
      </c>
      <c r="R1525" s="232">
        <v>1240.0899999999999</v>
      </c>
      <c r="S1525" s="35">
        <v>0.6822455230553448</v>
      </c>
      <c r="T1525" s="232">
        <v>26010.59</v>
      </c>
      <c r="U1525" s="35">
        <v>1.0510915411129957</v>
      </c>
      <c r="W1525" s="35">
        <f t="shared" si="145"/>
        <v>605.77790209935119</v>
      </c>
      <c r="X1525" s="35">
        <f t="shared" si="146"/>
        <v>32872.186152767244</v>
      </c>
      <c r="Y1525" s="35">
        <f t="shared" si="147"/>
        <v>26543.987055649788</v>
      </c>
      <c r="Z1525" s="35">
        <f t="shared" si="148"/>
        <v>0</v>
      </c>
      <c r="AA1525" s="35">
        <f t="shared" si="149"/>
        <v>1</v>
      </c>
      <c r="AB1525" s="35">
        <f t="shared" si="150"/>
        <v>0</v>
      </c>
    </row>
    <row r="1526" spans="1:28">
      <c r="A1526" s="35">
        <v>1515</v>
      </c>
      <c r="B1526" s="35">
        <v>5.0594329671826976E-4</v>
      </c>
      <c r="C1526" s="232">
        <v>52.16</v>
      </c>
      <c r="D1526" s="35">
        <v>5.0648266850489509</v>
      </c>
      <c r="E1526" s="232">
        <v>33.21</v>
      </c>
      <c r="F1526" s="35">
        <v>5.0531613166453653</v>
      </c>
      <c r="G1526" s="232">
        <v>8714.75</v>
      </c>
      <c r="H1526" s="35">
        <v>8.9339159971290734</v>
      </c>
      <c r="I1526" s="232">
        <v>11450.68</v>
      </c>
      <c r="J1526" s="35">
        <v>7.0878981404709522</v>
      </c>
      <c r="K1526" s="232">
        <v>7048.58</v>
      </c>
      <c r="L1526" s="35">
        <v>8.6580513294941976</v>
      </c>
      <c r="M1526" s="232">
        <v>32654.52</v>
      </c>
      <c r="N1526" s="35">
        <v>7.5966204753552855</v>
      </c>
      <c r="P1526" s="232">
        <v>-18.95</v>
      </c>
      <c r="Q1526" s="35">
        <v>1.1665368403585674E-2</v>
      </c>
      <c r="R1526" s="232">
        <v>2735.92</v>
      </c>
      <c r="S1526" s="35">
        <v>1.8460178566581211</v>
      </c>
      <c r="T1526" s="232">
        <v>25605.94</v>
      </c>
      <c r="U1526" s="35">
        <v>1.0614308541389121</v>
      </c>
      <c r="W1526" s="35">
        <f t="shared" si="145"/>
        <v>602.21842017928373</v>
      </c>
      <c r="X1526" s="35">
        <f t="shared" si="146"/>
        <v>89564.97283290606</v>
      </c>
      <c r="Y1526" s="35">
        <f t="shared" si="147"/>
        <v>27465.602706945607</v>
      </c>
      <c r="Z1526" s="35">
        <f t="shared" si="148"/>
        <v>0</v>
      </c>
      <c r="AA1526" s="35">
        <f t="shared" si="149"/>
        <v>1</v>
      </c>
      <c r="AB1526" s="35">
        <f t="shared" si="150"/>
        <v>0</v>
      </c>
    </row>
    <row r="1527" spans="1:28">
      <c r="A1527" s="35">
        <v>1516</v>
      </c>
      <c r="B1527" s="35">
        <v>3.6675186119391692E-4</v>
      </c>
      <c r="C1527" s="232">
        <v>53.42</v>
      </c>
      <c r="D1527" s="35">
        <v>5.0531896347014715</v>
      </c>
      <c r="E1527" s="232">
        <v>31.7</v>
      </c>
      <c r="F1527" s="35">
        <v>5.045935694306082</v>
      </c>
      <c r="G1527" s="232">
        <v>10654.54</v>
      </c>
      <c r="H1527" s="35">
        <v>7.4726530086649356</v>
      </c>
      <c r="I1527" s="232">
        <v>11287.29</v>
      </c>
      <c r="J1527" s="35">
        <v>6.2789885684384084</v>
      </c>
      <c r="K1527" s="232">
        <v>15176.12</v>
      </c>
      <c r="L1527" s="35">
        <v>8.2789357385980846</v>
      </c>
      <c r="M1527" s="232">
        <v>41213.730000000003</v>
      </c>
      <c r="N1527" s="35">
        <v>7.2196921815184192</v>
      </c>
      <c r="P1527" s="232">
        <v>-21.72</v>
      </c>
      <c r="Q1527" s="35">
        <v>7.2539403953895132E-3</v>
      </c>
      <c r="R1527" s="232">
        <v>632.75</v>
      </c>
      <c r="S1527" s="35">
        <v>1.1936644402265273</v>
      </c>
      <c r="T1527" s="232">
        <v>26037.61</v>
      </c>
      <c r="U1527" s="35">
        <v>1.0592435570796654</v>
      </c>
      <c r="W1527" s="35">
        <f t="shared" si="145"/>
        <v>384.4170197694757</v>
      </c>
      <c r="X1527" s="35">
        <f t="shared" si="146"/>
        <v>59050.472011326361</v>
      </c>
      <c r="Y1527" s="35">
        <f t="shared" si="147"/>
        <v>26924.567853983273</v>
      </c>
      <c r="Z1527" s="35">
        <f t="shared" si="148"/>
        <v>0</v>
      </c>
      <c r="AA1527" s="35">
        <f t="shared" si="149"/>
        <v>1</v>
      </c>
      <c r="AB1527" s="35">
        <f t="shared" si="150"/>
        <v>0</v>
      </c>
    </row>
    <row r="1528" spans="1:28">
      <c r="A1528" s="35">
        <v>1517</v>
      </c>
      <c r="B1528" s="35">
        <v>2.453142380568782E-4</v>
      </c>
      <c r="C1528" s="232">
        <v>37.51</v>
      </c>
      <c r="D1528" s="35">
        <v>5.0496337994802705</v>
      </c>
      <c r="E1528" s="232">
        <v>24.31</v>
      </c>
      <c r="F1528" s="35">
        <v>5.0443700882175726</v>
      </c>
      <c r="G1528" s="232">
        <v>10978.61</v>
      </c>
      <c r="H1528" s="35">
        <v>8.1824150933260036</v>
      </c>
      <c r="I1528" s="232">
        <v>10611.48</v>
      </c>
      <c r="J1528" s="35">
        <v>6.6943075855690966</v>
      </c>
      <c r="K1528" s="232">
        <v>16780.32</v>
      </c>
      <c r="L1528" s="35">
        <v>8.6123759497959593</v>
      </c>
      <c r="M1528" s="232">
        <v>42822.15</v>
      </c>
      <c r="N1528" s="35">
        <v>7.5786281146051691</v>
      </c>
      <c r="P1528" s="232">
        <v>-13.2</v>
      </c>
      <c r="Q1528" s="35">
        <v>5.2637112626978677E-3</v>
      </c>
      <c r="R1528" s="232">
        <v>-367.13</v>
      </c>
      <c r="S1528" s="35">
        <v>1.488107507756907</v>
      </c>
      <c r="T1528" s="232">
        <v>26041.83</v>
      </c>
      <c r="U1528" s="35">
        <v>1.0337478351907903</v>
      </c>
      <c r="W1528" s="35">
        <f t="shared" si="145"/>
        <v>276.3855631348934</v>
      </c>
      <c r="X1528" s="35">
        <f t="shared" si="146"/>
        <v>74772.505387845362</v>
      </c>
      <c r="Y1528" s="35">
        <f t="shared" si="147"/>
        <v>25645.561759539509</v>
      </c>
      <c r="Z1528" s="35">
        <f t="shared" si="148"/>
        <v>0</v>
      </c>
      <c r="AA1528" s="35">
        <f t="shared" si="149"/>
        <v>1</v>
      </c>
      <c r="AB1528" s="35">
        <f t="shared" si="150"/>
        <v>0</v>
      </c>
    </row>
    <row r="1529" spans="1:28">
      <c r="A1529" s="35">
        <v>1518</v>
      </c>
      <c r="B1529" s="35">
        <v>3.5437086295850106E-4</v>
      </c>
      <c r="C1529" s="232">
        <v>54.14</v>
      </c>
      <c r="D1529" s="35">
        <v>5.0576525054474457</v>
      </c>
      <c r="E1529" s="232">
        <v>33.15</v>
      </c>
      <c r="F1529" s="35">
        <v>5.0486690793482847</v>
      </c>
      <c r="G1529" s="232">
        <v>10617.84</v>
      </c>
      <c r="H1529" s="35">
        <v>9.0650357360221889</v>
      </c>
      <c r="I1529" s="232">
        <v>10258.030000000001</v>
      </c>
      <c r="J1529" s="35">
        <v>7.7432620168089601</v>
      </c>
      <c r="K1529" s="232">
        <v>15997.95</v>
      </c>
      <c r="L1529" s="35">
        <v>8.9625743722456974</v>
      </c>
      <c r="M1529" s="232">
        <v>42253.61</v>
      </c>
      <c r="N1529" s="35">
        <v>7.8580126241487642</v>
      </c>
      <c r="P1529" s="232">
        <v>-20.99</v>
      </c>
      <c r="Q1529" s="35">
        <v>8.9834260991610293E-3</v>
      </c>
      <c r="R1529" s="232">
        <v>-359.81</v>
      </c>
      <c r="S1529" s="35">
        <v>1.3217737192132288</v>
      </c>
      <c r="T1529" s="232">
        <v>26255.66</v>
      </c>
      <c r="U1529" s="35">
        <v>1.1045617480969332</v>
      </c>
      <c r="W1529" s="35">
        <f t="shared" si="145"/>
        <v>470.16130495805146</v>
      </c>
      <c r="X1529" s="35">
        <f t="shared" si="146"/>
        <v>66448.495960661443</v>
      </c>
      <c r="Y1529" s="35">
        <f t="shared" si="147"/>
        <v>28972.427404846658</v>
      </c>
      <c r="Z1529" s="35">
        <f t="shared" si="148"/>
        <v>0</v>
      </c>
      <c r="AA1529" s="35">
        <f t="shared" si="149"/>
        <v>1</v>
      </c>
      <c r="AB1529" s="35">
        <f t="shared" si="150"/>
        <v>0</v>
      </c>
    </row>
    <row r="1530" spans="1:28">
      <c r="A1530" s="35">
        <v>1519</v>
      </c>
      <c r="B1530" s="35">
        <v>3.6436256776875662E-4</v>
      </c>
      <c r="C1530" s="232">
        <v>51.03</v>
      </c>
      <c r="D1530" s="35">
        <v>5.0594627455363597</v>
      </c>
      <c r="E1530" s="232">
        <v>29.73</v>
      </c>
      <c r="F1530" s="35">
        <v>5.0489253326910797</v>
      </c>
      <c r="G1530" s="232">
        <v>11266.88</v>
      </c>
      <c r="H1530" s="35">
        <v>9.5989978364079143</v>
      </c>
      <c r="I1530" s="232">
        <v>12899.18</v>
      </c>
      <c r="J1530" s="35">
        <v>8.7289348361519945</v>
      </c>
      <c r="K1530" s="232">
        <v>13186.67</v>
      </c>
      <c r="L1530" s="35">
        <v>9.0157244249619595</v>
      </c>
      <c r="M1530" s="232">
        <v>39159.199999999997</v>
      </c>
      <c r="N1530" s="35">
        <v>7.9637025799978334</v>
      </c>
      <c r="P1530" s="232">
        <v>-21.3</v>
      </c>
      <c r="Q1530" s="35">
        <v>1.0537412845279981E-2</v>
      </c>
      <c r="R1530" s="232">
        <v>1632.3</v>
      </c>
      <c r="S1530" s="35">
        <v>0.87006300025591976</v>
      </c>
      <c r="T1530" s="232">
        <v>25972.53</v>
      </c>
      <c r="U1530" s="35">
        <v>1.0520218449641261</v>
      </c>
      <c r="W1530" s="35">
        <f t="shared" si="145"/>
        <v>548.17064226399896</v>
      </c>
      <c r="X1530" s="35">
        <f t="shared" si="146"/>
        <v>41870.850012795985</v>
      </c>
      <c r="Y1530" s="35">
        <f t="shared" si="147"/>
        <v>26628.562248206305</v>
      </c>
      <c r="Z1530" s="35">
        <f t="shared" si="148"/>
        <v>0</v>
      </c>
      <c r="AA1530" s="35">
        <f t="shared" si="149"/>
        <v>1</v>
      </c>
      <c r="AB1530" s="35">
        <f t="shared" si="150"/>
        <v>0</v>
      </c>
    </row>
    <row r="1531" spans="1:28">
      <c r="A1531" s="35">
        <v>1520</v>
      </c>
      <c r="B1531" s="35">
        <v>4.89647518914893E-4</v>
      </c>
      <c r="C1531" s="232">
        <v>68.540000000000006</v>
      </c>
      <c r="D1531" s="35">
        <v>5.0630563269367874</v>
      </c>
      <c r="E1531" s="232">
        <v>45.71</v>
      </c>
      <c r="F1531" s="35">
        <v>5.0533408078747568</v>
      </c>
      <c r="G1531" s="232">
        <v>10184.93</v>
      </c>
      <c r="H1531" s="35">
        <v>8.6831389745415528</v>
      </c>
      <c r="I1531" s="232">
        <v>10802.73</v>
      </c>
      <c r="J1531" s="35">
        <v>7.352089989418932</v>
      </c>
      <c r="K1531" s="232">
        <v>12429.67</v>
      </c>
      <c r="L1531" s="35">
        <v>8.5459737686390547</v>
      </c>
      <c r="M1531" s="232">
        <v>38373.85</v>
      </c>
      <c r="N1531" s="35">
        <v>7.4256731790807073</v>
      </c>
      <c r="P1531" s="232">
        <v>-22.83</v>
      </c>
      <c r="Q1531" s="35">
        <v>9.7155190620306087E-3</v>
      </c>
      <c r="R1531" s="232">
        <v>617.79</v>
      </c>
      <c r="S1531" s="35">
        <v>1.3310489851226208</v>
      </c>
      <c r="T1531" s="232">
        <v>25944.17</v>
      </c>
      <c r="U1531" s="35">
        <v>1.1203005895583473</v>
      </c>
      <c r="W1531" s="35">
        <f t="shared" si="145"/>
        <v>508.60595310153042</v>
      </c>
      <c r="X1531" s="35">
        <f t="shared" si="146"/>
        <v>65934.659256131054</v>
      </c>
      <c r="Y1531" s="35">
        <f t="shared" si="147"/>
        <v>30070.859477917365</v>
      </c>
      <c r="Z1531" s="35">
        <f t="shared" si="148"/>
        <v>0</v>
      </c>
      <c r="AA1531" s="35">
        <f t="shared" si="149"/>
        <v>1</v>
      </c>
      <c r="AB1531" s="35">
        <f t="shared" si="150"/>
        <v>0</v>
      </c>
    </row>
    <row r="1532" spans="1:28">
      <c r="A1532" s="35">
        <v>1521</v>
      </c>
      <c r="B1532" s="35">
        <v>3.9301331502063561E-4</v>
      </c>
      <c r="C1532" s="232">
        <v>69.8</v>
      </c>
      <c r="D1532" s="35">
        <v>5.0584504176036686</v>
      </c>
      <c r="E1532" s="232">
        <v>43.7</v>
      </c>
      <c r="F1532" s="35">
        <v>5.0496968632022687</v>
      </c>
      <c r="G1532" s="232">
        <v>13371.47</v>
      </c>
      <c r="H1532" s="35">
        <v>8.8322315336112052</v>
      </c>
      <c r="I1532" s="232">
        <v>13844.27</v>
      </c>
      <c r="J1532" s="35">
        <v>7.8778550765784514</v>
      </c>
      <c r="K1532" s="232">
        <v>19166.59</v>
      </c>
      <c r="L1532" s="35">
        <v>8.529384985937897</v>
      </c>
      <c r="M1532" s="232">
        <v>45455.96</v>
      </c>
      <c r="N1532" s="35">
        <v>7.4598373711504413</v>
      </c>
      <c r="P1532" s="232">
        <v>-26.1</v>
      </c>
      <c r="Q1532" s="35">
        <v>8.75355440139991E-3</v>
      </c>
      <c r="R1532" s="232">
        <v>472.8</v>
      </c>
      <c r="S1532" s="35">
        <v>0.95437645703275376</v>
      </c>
      <c r="T1532" s="232">
        <v>26289.37</v>
      </c>
      <c r="U1532" s="35">
        <v>1.0695476147874556</v>
      </c>
      <c r="W1532" s="35">
        <f t="shared" si="145"/>
        <v>463.77772006999555</v>
      </c>
      <c r="X1532" s="35">
        <f t="shared" si="146"/>
        <v>47246.022851637688</v>
      </c>
      <c r="Y1532" s="35">
        <f t="shared" si="147"/>
        <v>27188.010739372785</v>
      </c>
      <c r="Z1532" s="35">
        <f t="shared" si="148"/>
        <v>0</v>
      </c>
      <c r="AA1532" s="35">
        <f t="shared" si="149"/>
        <v>1</v>
      </c>
      <c r="AB1532" s="35">
        <f t="shared" si="150"/>
        <v>0</v>
      </c>
    </row>
    <row r="1533" spans="1:28">
      <c r="A1533" s="35">
        <v>1522</v>
      </c>
      <c r="B1533" s="35">
        <v>4.4487393907954327E-4</v>
      </c>
      <c r="C1533" s="232">
        <v>65.19</v>
      </c>
      <c r="D1533" s="35">
        <v>5.0619765974542457</v>
      </c>
      <c r="E1533" s="232">
        <v>39.11</v>
      </c>
      <c r="F1533" s="35">
        <v>5.0510017825569955</v>
      </c>
      <c r="G1533" s="232">
        <v>11842.45</v>
      </c>
      <c r="H1533" s="35">
        <v>8.913870991554413</v>
      </c>
      <c r="I1533" s="232">
        <v>13674.58</v>
      </c>
      <c r="J1533" s="35">
        <v>7.728195826319082</v>
      </c>
      <c r="K1533" s="232">
        <v>12324.52</v>
      </c>
      <c r="L1533" s="35">
        <v>8.8538485484447538</v>
      </c>
      <c r="M1533" s="232">
        <v>38348.089999999997</v>
      </c>
      <c r="N1533" s="35">
        <v>7.7917208432373197</v>
      </c>
      <c r="P1533" s="232">
        <v>-26.08</v>
      </c>
      <c r="Q1533" s="35">
        <v>1.0974814897250162E-2</v>
      </c>
      <c r="R1533" s="232">
        <v>1832.13</v>
      </c>
      <c r="S1533" s="35">
        <v>1.185675165235331</v>
      </c>
      <c r="T1533" s="232">
        <v>26023.57</v>
      </c>
      <c r="U1533" s="35">
        <v>1.062127705207434</v>
      </c>
      <c r="W1533" s="35">
        <f t="shared" si="145"/>
        <v>574.82074486250815</v>
      </c>
      <c r="X1533" s="35">
        <f t="shared" si="146"/>
        <v>57451.628261766557</v>
      </c>
      <c r="Y1533" s="35">
        <f t="shared" si="147"/>
        <v>27082.815260371703</v>
      </c>
      <c r="Z1533" s="35">
        <f t="shared" si="148"/>
        <v>0</v>
      </c>
      <c r="AA1533" s="35">
        <f t="shared" si="149"/>
        <v>1</v>
      </c>
      <c r="AB1533" s="35">
        <f t="shared" si="150"/>
        <v>0</v>
      </c>
    </row>
    <row r="1534" spans="1:28">
      <c r="A1534" s="35">
        <v>1523</v>
      </c>
      <c r="B1534" s="35">
        <v>3.6129780209057799E-4</v>
      </c>
      <c r="C1534" s="232">
        <v>45.82</v>
      </c>
      <c r="D1534" s="35">
        <v>5.0554979510307092</v>
      </c>
      <c r="E1534" s="232">
        <v>27.79</v>
      </c>
      <c r="F1534" s="35">
        <v>5.047176385802489</v>
      </c>
      <c r="G1534" s="232">
        <v>9974.6200000000008</v>
      </c>
      <c r="H1534" s="35">
        <v>8.4472704237408962</v>
      </c>
      <c r="I1534" s="232">
        <v>11295.48</v>
      </c>
      <c r="J1534" s="35">
        <v>6.7880211688371297</v>
      </c>
      <c r="K1534" s="232">
        <v>10755.45</v>
      </c>
      <c r="L1534" s="35">
        <v>8.3499044335938244</v>
      </c>
      <c r="M1534" s="232">
        <v>36679.1</v>
      </c>
      <c r="N1534" s="35">
        <v>7.2723468857545361</v>
      </c>
      <c r="P1534" s="232">
        <v>-18.03</v>
      </c>
      <c r="Q1534" s="35">
        <v>8.3215652282202512E-3</v>
      </c>
      <c r="R1534" s="232">
        <v>1320.87</v>
      </c>
      <c r="S1534" s="35">
        <v>1.6592492549037665</v>
      </c>
      <c r="T1534" s="232">
        <v>25923.65</v>
      </c>
      <c r="U1534" s="35">
        <v>1.0775575478392883</v>
      </c>
      <c r="W1534" s="35">
        <f t="shared" si="145"/>
        <v>434.10826141101256</v>
      </c>
      <c r="X1534" s="35">
        <f t="shared" si="146"/>
        <v>81641.592745188333</v>
      </c>
      <c r="Y1534" s="35">
        <f t="shared" si="147"/>
        <v>27954.227391964414</v>
      </c>
      <c r="Z1534" s="35">
        <f t="shared" si="148"/>
        <v>0</v>
      </c>
      <c r="AA1534" s="35">
        <f t="shared" si="149"/>
        <v>1</v>
      </c>
      <c r="AB1534" s="35">
        <f t="shared" si="150"/>
        <v>0</v>
      </c>
    </row>
    <row r="1535" spans="1:28">
      <c r="A1535" s="35">
        <v>1524</v>
      </c>
      <c r="B1535" s="35">
        <v>5.6079849361856393E-4</v>
      </c>
      <c r="C1535" s="232">
        <v>72.06</v>
      </c>
      <c r="D1535" s="35">
        <v>5.065555640923824</v>
      </c>
      <c r="E1535" s="232">
        <v>44.61</v>
      </c>
      <c r="F1535" s="35">
        <v>5.0536219321294906</v>
      </c>
      <c r="G1535" s="232">
        <v>10172.030000000001</v>
      </c>
      <c r="H1535" s="35">
        <v>8.3548374939554702</v>
      </c>
      <c r="I1535" s="232">
        <v>11723.7</v>
      </c>
      <c r="J1535" s="35">
        <v>7.3432066382998915</v>
      </c>
      <c r="K1535" s="232">
        <v>12442.51</v>
      </c>
      <c r="L1535" s="35">
        <v>8.5682570856385922</v>
      </c>
      <c r="M1535" s="232">
        <v>38408.019999999997</v>
      </c>
      <c r="N1535" s="35">
        <v>7.4898679509474269</v>
      </c>
      <c r="P1535" s="232">
        <v>-27.45</v>
      </c>
      <c r="Q1535" s="35">
        <v>1.193370879433342E-2</v>
      </c>
      <c r="R1535" s="232">
        <v>1551.66</v>
      </c>
      <c r="S1535" s="35">
        <v>1.0116308556555786</v>
      </c>
      <c r="T1535" s="232">
        <v>25965.51</v>
      </c>
      <c r="U1535" s="35">
        <v>1.0783891346911654</v>
      </c>
      <c r="W1535" s="35">
        <f t="shared" si="145"/>
        <v>624.13543971667104</v>
      </c>
      <c r="X1535" s="35">
        <f t="shared" si="146"/>
        <v>49029.882782778928</v>
      </c>
      <c r="Y1535" s="35">
        <f t="shared" si="147"/>
        <v>27953.946734558271</v>
      </c>
      <c r="Z1535" s="35">
        <f t="shared" si="148"/>
        <v>0</v>
      </c>
      <c r="AA1535" s="35">
        <f t="shared" si="149"/>
        <v>1</v>
      </c>
      <c r="AB1535" s="35">
        <f t="shared" si="150"/>
        <v>0</v>
      </c>
    </row>
    <row r="1536" spans="1:28">
      <c r="A1536" s="35">
        <v>1525</v>
      </c>
      <c r="B1536" s="35">
        <v>6.6462636856112756E-4</v>
      </c>
      <c r="C1536" s="232">
        <v>99.96</v>
      </c>
      <c r="D1536" s="35">
        <v>5.0716622047545519</v>
      </c>
      <c r="E1536" s="232">
        <v>62.8</v>
      </c>
      <c r="F1536" s="35">
        <v>5.0578786828819418</v>
      </c>
      <c r="G1536" s="232">
        <v>11793.41</v>
      </c>
      <c r="H1536" s="35">
        <v>8.4972991716281339</v>
      </c>
      <c r="I1536" s="232">
        <v>12729.39</v>
      </c>
      <c r="J1536" s="35">
        <v>6.7566590701858287</v>
      </c>
      <c r="K1536" s="232">
        <v>13999.44</v>
      </c>
      <c r="L1536" s="35">
        <v>8.5986114997120158</v>
      </c>
      <c r="M1536" s="232">
        <v>40046.699999999997</v>
      </c>
      <c r="N1536" s="35">
        <v>7.4371299354635498</v>
      </c>
      <c r="P1536" s="232">
        <v>-37.17</v>
      </c>
      <c r="Q1536" s="35">
        <v>1.3783521872610116E-2</v>
      </c>
      <c r="R1536" s="232">
        <v>935.98</v>
      </c>
      <c r="S1536" s="35">
        <v>1.7406401014423052</v>
      </c>
      <c r="T1536" s="232">
        <v>26047.27</v>
      </c>
      <c r="U1536" s="35">
        <v>1.1614815642484659</v>
      </c>
      <c r="W1536" s="35">
        <f t="shared" si="145"/>
        <v>726.34609363050572</v>
      </c>
      <c r="X1536" s="35">
        <f t="shared" si="146"/>
        <v>86096.02507211527</v>
      </c>
      <c r="Y1536" s="35">
        <f t="shared" si="147"/>
        <v>32026.808212423293</v>
      </c>
      <c r="Z1536" s="35">
        <f t="shared" si="148"/>
        <v>0</v>
      </c>
      <c r="AA1536" s="35">
        <f t="shared" si="149"/>
        <v>1</v>
      </c>
      <c r="AB1536" s="35">
        <f t="shared" si="150"/>
        <v>0</v>
      </c>
    </row>
    <row r="1537" spans="1:28">
      <c r="A1537" s="35">
        <v>1526</v>
      </c>
      <c r="B1537" s="35">
        <v>5.3670025584606762E-4</v>
      </c>
      <c r="C1537" s="232">
        <v>81.62</v>
      </c>
      <c r="D1537" s="35">
        <v>5.0652262481888046</v>
      </c>
      <c r="E1537" s="232">
        <v>50.23</v>
      </c>
      <c r="F1537" s="35">
        <v>5.053499230736433</v>
      </c>
      <c r="G1537" s="232">
        <v>11892.73</v>
      </c>
      <c r="H1537" s="35">
        <v>8.6669535177586852</v>
      </c>
      <c r="I1537" s="232">
        <v>13628.66</v>
      </c>
      <c r="J1537" s="35">
        <v>8.1405272665231525</v>
      </c>
      <c r="K1537" s="232">
        <v>15084.87</v>
      </c>
      <c r="L1537" s="35">
        <v>8.4504522454181643</v>
      </c>
      <c r="M1537" s="232">
        <v>41319.550000000003</v>
      </c>
      <c r="N1537" s="35">
        <v>7.3787338752735128</v>
      </c>
      <c r="P1537" s="232">
        <v>-31.39</v>
      </c>
      <c r="Q1537" s="35">
        <v>1.1727017452371591E-2</v>
      </c>
      <c r="R1537" s="232">
        <v>1735.94</v>
      </c>
      <c r="S1537" s="35">
        <v>0.52642625123553266</v>
      </c>
      <c r="T1537" s="232">
        <v>26234.68</v>
      </c>
      <c r="U1537" s="35">
        <v>1.0717183701446515</v>
      </c>
      <c r="W1537" s="35">
        <f t="shared" si="145"/>
        <v>617.74087261857949</v>
      </c>
      <c r="X1537" s="35">
        <f t="shared" si="146"/>
        <v>24585.372561776636</v>
      </c>
      <c r="Y1537" s="35">
        <f t="shared" si="147"/>
        <v>27351.238507232578</v>
      </c>
      <c r="Z1537" s="35">
        <f t="shared" si="148"/>
        <v>0</v>
      </c>
      <c r="AA1537" s="35">
        <f t="shared" si="149"/>
        <v>0</v>
      </c>
      <c r="AB1537" s="35">
        <f t="shared" si="150"/>
        <v>1</v>
      </c>
    </row>
    <row r="1538" spans="1:28">
      <c r="A1538" s="35">
        <v>1527</v>
      </c>
      <c r="B1538" s="35">
        <v>4.2994770552175806E-4</v>
      </c>
      <c r="C1538" s="232">
        <v>46.84</v>
      </c>
      <c r="D1538" s="35">
        <v>5.061449515637551</v>
      </c>
      <c r="E1538" s="232">
        <v>31.11</v>
      </c>
      <c r="F1538" s="35">
        <v>5.0517089740470693</v>
      </c>
      <c r="G1538" s="232">
        <v>8841.3799999999992</v>
      </c>
      <c r="H1538" s="35">
        <v>9.1318300772563852</v>
      </c>
      <c r="I1538" s="232">
        <v>10455.18</v>
      </c>
      <c r="J1538" s="35">
        <v>7.9106212765065376</v>
      </c>
      <c r="K1538" s="232">
        <v>10486.29</v>
      </c>
      <c r="L1538" s="35">
        <v>8.6675790313433225</v>
      </c>
      <c r="M1538" s="232">
        <v>36331.370000000003</v>
      </c>
      <c r="N1538" s="35">
        <v>7.65779270399221</v>
      </c>
      <c r="P1538" s="232">
        <v>-15.73</v>
      </c>
      <c r="Q1538" s="35">
        <v>9.740541590481655E-3</v>
      </c>
      <c r="R1538" s="232">
        <v>1613.79</v>
      </c>
      <c r="S1538" s="35">
        <v>1.2212088007498476</v>
      </c>
      <c r="T1538" s="232">
        <v>25845.08</v>
      </c>
      <c r="U1538" s="35">
        <v>1.0097863273511125</v>
      </c>
      <c r="W1538" s="35">
        <f t="shared" si="145"/>
        <v>502.75707952408277</v>
      </c>
      <c r="X1538" s="35">
        <f t="shared" si="146"/>
        <v>59446.650037492378</v>
      </c>
      <c r="Y1538" s="35">
        <f t="shared" si="147"/>
        <v>24644.236367555626</v>
      </c>
      <c r="Z1538" s="35">
        <f t="shared" si="148"/>
        <v>0</v>
      </c>
      <c r="AA1538" s="35">
        <f t="shared" si="149"/>
        <v>1</v>
      </c>
      <c r="AB1538" s="35">
        <f t="shared" si="150"/>
        <v>0</v>
      </c>
    </row>
    <row r="1539" spans="1:28">
      <c r="A1539" s="35">
        <v>1528</v>
      </c>
      <c r="B1539" s="35">
        <v>4.4641197347461414E-4</v>
      </c>
      <c r="C1539" s="232">
        <v>41.96</v>
      </c>
      <c r="D1539" s="35">
        <v>5.0592597113954598</v>
      </c>
      <c r="E1539" s="232">
        <v>25.91</v>
      </c>
      <c r="F1539" s="35">
        <v>5.049237086350459</v>
      </c>
      <c r="G1539" s="232">
        <v>7336.14</v>
      </c>
      <c r="H1539" s="35">
        <v>8.0758292048778699</v>
      </c>
      <c r="I1539" s="232">
        <v>8921.85</v>
      </c>
      <c r="J1539" s="35">
        <v>6.5816560524214074</v>
      </c>
      <c r="K1539" s="232">
        <v>8335.1200000000008</v>
      </c>
      <c r="L1539" s="35">
        <v>8.7078001698458944</v>
      </c>
      <c r="M1539" s="232">
        <v>34095.57</v>
      </c>
      <c r="N1539" s="35">
        <v>7.6496210967854106</v>
      </c>
      <c r="P1539" s="232">
        <v>-16.04</v>
      </c>
      <c r="Q1539" s="35">
        <v>1.0022625045000844E-2</v>
      </c>
      <c r="R1539" s="232">
        <v>1585.71</v>
      </c>
      <c r="S1539" s="35">
        <v>1.4941731524564625</v>
      </c>
      <c r="T1539" s="232">
        <v>25760.45</v>
      </c>
      <c r="U1539" s="35">
        <v>1.0581790730604839</v>
      </c>
      <c r="W1539" s="35">
        <f t="shared" si="145"/>
        <v>517.17125225004213</v>
      </c>
      <c r="X1539" s="35">
        <f t="shared" si="146"/>
        <v>73122.947622823121</v>
      </c>
      <c r="Y1539" s="35">
        <f t="shared" si="147"/>
        <v>27148.503653024196</v>
      </c>
      <c r="Z1539" s="35">
        <f t="shared" si="148"/>
        <v>0</v>
      </c>
      <c r="AA1539" s="35">
        <f t="shared" si="149"/>
        <v>1</v>
      </c>
      <c r="AB1539" s="35">
        <f t="shared" si="150"/>
        <v>0</v>
      </c>
    </row>
    <row r="1540" spans="1:28">
      <c r="A1540" s="35">
        <v>1529</v>
      </c>
      <c r="B1540" s="35">
        <v>5.3091926884374363E-4</v>
      </c>
      <c r="C1540" s="232">
        <v>78.08</v>
      </c>
      <c r="D1540" s="35">
        <v>5.0646263265310267</v>
      </c>
      <c r="E1540" s="232">
        <v>51.38</v>
      </c>
      <c r="F1540" s="35">
        <v>5.0542385124937832</v>
      </c>
      <c r="G1540" s="232">
        <v>11733.65</v>
      </c>
      <c r="H1540" s="35">
        <v>8.4438252279356636</v>
      </c>
      <c r="I1540" s="232">
        <v>13471.69</v>
      </c>
      <c r="J1540" s="35">
        <v>7.332920665841379</v>
      </c>
      <c r="K1540" s="232">
        <v>12790.1</v>
      </c>
      <c r="L1540" s="35">
        <v>8.5933729781213977</v>
      </c>
      <c r="M1540" s="232">
        <v>38813.089999999997</v>
      </c>
      <c r="N1540" s="35">
        <v>7.3905433584736322</v>
      </c>
      <c r="P1540" s="232">
        <v>-26.71</v>
      </c>
      <c r="Q1540" s="35">
        <v>1.0387814037243537E-2</v>
      </c>
      <c r="R1540" s="232">
        <v>1738.04</v>
      </c>
      <c r="S1540" s="35">
        <v>1.1109045620942846</v>
      </c>
      <c r="T1540" s="232">
        <v>26022.99</v>
      </c>
      <c r="U1540" s="35">
        <v>1.2028296196477655</v>
      </c>
      <c r="W1540" s="35">
        <f t="shared" si="145"/>
        <v>546.10070186217683</v>
      </c>
      <c r="X1540" s="35">
        <f t="shared" si="146"/>
        <v>53807.188104714231</v>
      </c>
      <c r="Y1540" s="35">
        <f t="shared" si="147"/>
        <v>34118.490982388277</v>
      </c>
      <c r="Z1540" s="35">
        <f t="shared" si="148"/>
        <v>0</v>
      </c>
      <c r="AA1540" s="35">
        <f t="shared" si="149"/>
        <v>1</v>
      </c>
      <c r="AB1540" s="35">
        <f t="shared" si="150"/>
        <v>0</v>
      </c>
    </row>
    <row r="1541" spans="1:28">
      <c r="A1541" s="35">
        <v>1530</v>
      </c>
      <c r="B1541" s="35">
        <v>3.9926874574870946E-4</v>
      </c>
      <c r="C1541" s="232">
        <v>59.23</v>
      </c>
      <c r="D1541" s="35">
        <v>5.0573924485321147</v>
      </c>
      <c r="E1541" s="232">
        <v>41.48</v>
      </c>
      <c r="F1541" s="35">
        <v>5.0503509151974031</v>
      </c>
      <c r="G1541" s="232">
        <v>11582.34</v>
      </c>
      <c r="H1541" s="35">
        <v>8.3806061576049107</v>
      </c>
      <c r="I1541" s="232">
        <v>12621.26</v>
      </c>
      <c r="J1541" s="35">
        <v>6.8471571661051893</v>
      </c>
      <c r="K1541" s="232">
        <v>13644.12</v>
      </c>
      <c r="L1541" s="35">
        <v>8.2659225832120971</v>
      </c>
      <c r="M1541" s="232">
        <v>39473.440000000002</v>
      </c>
      <c r="N1541" s="35">
        <v>7.2461160663066133</v>
      </c>
      <c r="P1541" s="232">
        <v>-17.760000000000002</v>
      </c>
      <c r="Q1541" s="35">
        <v>7.0415333347115805E-3</v>
      </c>
      <c r="R1541" s="232">
        <v>1038.92</v>
      </c>
      <c r="S1541" s="35">
        <v>1.5334489914997214</v>
      </c>
      <c r="T1541" s="232">
        <v>25829.32</v>
      </c>
      <c r="U1541" s="35">
        <v>1.0198065169054837</v>
      </c>
      <c r="W1541" s="35">
        <f t="shared" si="145"/>
        <v>369.836666735579</v>
      </c>
      <c r="X1541" s="35">
        <f t="shared" si="146"/>
        <v>75633.529574986067</v>
      </c>
      <c r="Y1541" s="35">
        <f t="shared" si="147"/>
        <v>25161.005845274187</v>
      </c>
      <c r="Z1541" s="35">
        <f t="shared" si="148"/>
        <v>0</v>
      </c>
      <c r="AA1541" s="35">
        <f t="shared" si="149"/>
        <v>1</v>
      </c>
      <c r="AB1541" s="35">
        <f t="shared" si="150"/>
        <v>0</v>
      </c>
    </row>
    <row r="1542" spans="1:28">
      <c r="A1542" s="35">
        <v>1531</v>
      </c>
      <c r="B1542" s="35">
        <v>5.0740886987787892E-4</v>
      </c>
      <c r="C1542" s="232">
        <v>83.72</v>
      </c>
      <c r="D1542" s="35">
        <v>5.0636035559777772</v>
      </c>
      <c r="E1542" s="232">
        <v>49.52</v>
      </c>
      <c r="F1542" s="35">
        <v>5.0519854779408728</v>
      </c>
      <c r="G1542" s="232">
        <v>12500.49</v>
      </c>
      <c r="H1542" s="35">
        <v>8.6462379923299224</v>
      </c>
      <c r="I1542" s="232">
        <v>12573.77</v>
      </c>
      <c r="J1542" s="35">
        <v>7.3604257961612154</v>
      </c>
      <c r="K1542" s="232">
        <v>18026.5</v>
      </c>
      <c r="L1542" s="35">
        <v>8.594219230418588</v>
      </c>
      <c r="M1542" s="232">
        <v>44218.92</v>
      </c>
      <c r="N1542" s="35">
        <v>7.565269413804673</v>
      </c>
      <c r="P1542" s="232">
        <v>-34.21</v>
      </c>
      <c r="Q1542" s="35">
        <v>1.16180780369044E-2</v>
      </c>
      <c r="R1542" s="232">
        <v>73.28</v>
      </c>
      <c r="S1542" s="35">
        <v>1.285812196168707</v>
      </c>
      <c r="T1542" s="232">
        <v>26192.43</v>
      </c>
      <c r="U1542" s="35">
        <v>1.028949816613915</v>
      </c>
      <c r="W1542" s="35">
        <f t="shared" si="145"/>
        <v>615.11390184522008</v>
      </c>
      <c r="X1542" s="35">
        <f t="shared" si="146"/>
        <v>64217.329808435352</v>
      </c>
      <c r="Y1542" s="35">
        <f t="shared" si="147"/>
        <v>25255.060830695751</v>
      </c>
      <c r="Z1542" s="35">
        <f t="shared" si="148"/>
        <v>0</v>
      </c>
      <c r="AA1542" s="35">
        <f t="shared" si="149"/>
        <v>1</v>
      </c>
      <c r="AB1542" s="35">
        <f t="shared" si="150"/>
        <v>0</v>
      </c>
    </row>
    <row r="1543" spans="1:28">
      <c r="A1543" s="35">
        <v>1532</v>
      </c>
      <c r="B1543" s="35">
        <v>5.6027030250127563E-4</v>
      </c>
      <c r="C1543" s="232">
        <v>104.23</v>
      </c>
      <c r="D1543" s="35">
        <v>5.0671853643393971</v>
      </c>
      <c r="E1543" s="232">
        <v>54.29</v>
      </c>
      <c r="F1543" s="35">
        <v>5.0521346099773083</v>
      </c>
      <c r="G1543" s="232">
        <v>15150.47</v>
      </c>
      <c r="H1543" s="35">
        <v>9.0399956548515128</v>
      </c>
      <c r="I1543" s="232">
        <v>16817.09</v>
      </c>
      <c r="J1543" s="35">
        <v>8.5038989150477438</v>
      </c>
      <c r="K1543" s="232">
        <v>18483.919999999998</v>
      </c>
      <c r="L1543" s="35">
        <v>8.3171615685046518</v>
      </c>
      <c r="M1543" s="232">
        <v>44749.47</v>
      </c>
      <c r="N1543" s="35">
        <v>7.20251102175017</v>
      </c>
      <c r="P1543" s="232">
        <v>-49.94</v>
      </c>
      <c r="Q1543" s="35">
        <v>1.5050754362088803E-2</v>
      </c>
      <c r="R1543" s="232">
        <v>1666.62</v>
      </c>
      <c r="S1543" s="35">
        <v>0.53609673980376904</v>
      </c>
      <c r="T1543" s="232">
        <v>26265.55</v>
      </c>
      <c r="U1543" s="35">
        <v>1.1146505467544818</v>
      </c>
      <c r="W1543" s="35">
        <f t="shared" si="145"/>
        <v>802.4777181044401</v>
      </c>
      <c r="X1543" s="35">
        <f t="shared" si="146"/>
        <v>25138.216990188452</v>
      </c>
      <c r="Y1543" s="35">
        <f t="shared" si="147"/>
        <v>29466.977337724089</v>
      </c>
      <c r="Z1543" s="35">
        <f t="shared" si="148"/>
        <v>0</v>
      </c>
      <c r="AA1543" s="35">
        <f t="shared" si="149"/>
        <v>0</v>
      </c>
      <c r="AB1543" s="35">
        <f t="shared" si="150"/>
        <v>1</v>
      </c>
    </row>
    <row r="1544" spans="1:28">
      <c r="A1544" s="35">
        <v>1533</v>
      </c>
      <c r="B1544" s="35">
        <v>4.391427543347745E-4</v>
      </c>
      <c r="C1544" s="232">
        <v>71.64</v>
      </c>
      <c r="D1544" s="35">
        <v>5.0607123042631477</v>
      </c>
      <c r="E1544" s="232">
        <v>45.25</v>
      </c>
      <c r="F1544" s="35">
        <v>5.0511509568642161</v>
      </c>
      <c r="G1544" s="232">
        <v>13204.69</v>
      </c>
      <c r="H1544" s="35">
        <v>8.8124923176114933</v>
      </c>
      <c r="I1544" s="232">
        <v>14693.76</v>
      </c>
      <c r="J1544" s="35">
        <v>7.9351257981402039</v>
      </c>
      <c r="K1544" s="232">
        <v>16865.22</v>
      </c>
      <c r="L1544" s="35">
        <v>8.3726035077120695</v>
      </c>
      <c r="M1544" s="232">
        <v>43151.76</v>
      </c>
      <c r="N1544" s="35">
        <v>7.2525841710430585</v>
      </c>
      <c r="P1544" s="232">
        <v>-26.39</v>
      </c>
      <c r="Q1544" s="35">
        <v>9.5613473989315523E-3</v>
      </c>
      <c r="R1544" s="232">
        <v>1489.08</v>
      </c>
      <c r="S1544" s="35">
        <v>0.87736651947128941</v>
      </c>
      <c r="T1544" s="232">
        <v>26286.54</v>
      </c>
      <c r="U1544" s="35">
        <v>1.120019336669011</v>
      </c>
      <c r="W1544" s="35">
        <f t="shared" si="145"/>
        <v>504.45736994657761</v>
      </c>
      <c r="X1544" s="35">
        <f t="shared" si="146"/>
        <v>42379.245973564466</v>
      </c>
      <c r="Y1544" s="35">
        <f t="shared" si="147"/>
        <v>29714.426833450547</v>
      </c>
      <c r="Z1544" s="35">
        <f t="shared" si="148"/>
        <v>0</v>
      </c>
      <c r="AA1544" s="35">
        <f t="shared" si="149"/>
        <v>1</v>
      </c>
      <c r="AB1544" s="35">
        <f t="shared" si="150"/>
        <v>0</v>
      </c>
    </row>
    <row r="1545" spans="1:28">
      <c r="A1545" s="35">
        <v>1534</v>
      </c>
      <c r="B1545" s="35">
        <v>6.2830221269516429E-4</v>
      </c>
      <c r="C1545" s="232">
        <v>107.1</v>
      </c>
      <c r="D1545" s="35">
        <v>5.0705618896904054</v>
      </c>
      <c r="E1545" s="232">
        <v>67.47</v>
      </c>
      <c r="F1545" s="35">
        <v>5.0573674786296463</v>
      </c>
      <c r="G1545" s="232">
        <v>13328.17</v>
      </c>
      <c r="H1545" s="35">
        <v>8.8482536348112433</v>
      </c>
      <c r="I1545" s="232">
        <v>14450.06</v>
      </c>
      <c r="J1545" s="35">
        <v>7.8756326670127299</v>
      </c>
      <c r="K1545" s="232">
        <v>16693.439999999999</v>
      </c>
      <c r="L1545" s="35">
        <v>8.3161317897941949</v>
      </c>
      <c r="M1545" s="232">
        <v>42847.64</v>
      </c>
      <c r="N1545" s="35">
        <v>7.2573184398425941</v>
      </c>
      <c r="P1545" s="232">
        <v>-39.619999999999997</v>
      </c>
      <c r="Q1545" s="35">
        <v>1.3194411060759137E-2</v>
      </c>
      <c r="R1545" s="232">
        <v>1121.8900000000001</v>
      </c>
      <c r="S1545" s="35">
        <v>0.97262096779851337</v>
      </c>
      <c r="T1545" s="232">
        <v>26154.2</v>
      </c>
      <c r="U1545" s="35">
        <v>1.0588133499516008</v>
      </c>
      <c r="W1545" s="35">
        <f t="shared" si="145"/>
        <v>699.34055303795685</v>
      </c>
      <c r="X1545" s="35">
        <f t="shared" si="146"/>
        <v>47509.158389925666</v>
      </c>
      <c r="Y1545" s="35">
        <f t="shared" si="147"/>
        <v>26786.467497580041</v>
      </c>
      <c r="Z1545" s="35">
        <f t="shared" si="148"/>
        <v>0</v>
      </c>
      <c r="AA1545" s="35">
        <f t="shared" si="149"/>
        <v>1</v>
      </c>
      <c r="AB1545" s="35">
        <f t="shared" si="150"/>
        <v>0</v>
      </c>
    </row>
    <row r="1546" spans="1:28">
      <c r="A1546" s="35">
        <v>1535</v>
      </c>
      <c r="B1546" s="35">
        <v>6.8935953207949208E-4</v>
      </c>
      <c r="C1546" s="232">
        <v>86.72</v>
      </c>
      <c r="D1546" s="35">
        <v>5.0745089547151423</v>
      </c>
      <c r="E1546" s="232">
        <v>52.24</v>
      </c>
      <c r="F1546" s="35">
        <v>5.0584149389390909</v>
      </c>
      <c r="G1546" s="232">
        <v>9965.08</v>
      </c>
      <c r="H1546" s="35">
        <v>8.9448870463113401</v>
      </c>
      <c r="I1546" s="232">
        <v>11685.92</v>
      </c>
      <c r="J1546" s="35">
        <v>7.8921201611902916</v>
      </c>
      <c r="K1546" s="232">
        <v>10595.01</v>
      </c>
      <c r="L1546" s="35">
        <v>8.6089990648630064</v>
      </c>
      <c r="M1546" s="232">
        <v>36419.800000000003</v>
      </c>
      <c r="N1546" s="35">
        <v>7.5574286326434175</v>
      </c>
      <c r="P1546" s="232">
        <v>-34.479999999999997</v>
      </c>
      <c r="Q1546" s="35">
        <v>1.6094015776051407E-2</v>
      </c>
      <c r="R1546" s="232">
        <v>1720.85</v>
      </c>
      <c r="S1546" s="35">
        <v>1.0527668851210485</v>
      </c>
      <c r="T1546" s="232">
        <v>25824.79</v>
      </c>
      <c r="U1546" s="35">
        <v>1.0515704322195889</v>
      </c>
      <c r="W1546" s="35">
        <f t="shared" si="145"/>
        <v>839.18078880257031</v>
      </c>
      <c r="X1546" s="35">
        <f t="shared" si="146"/>
        <v>50917.494256052429</v>
      </c>
      <c r="Y1546" s="35">
        <f t="shared" si="147"/>
        <v>26753.731610979441</v>
      </c>
      <c r="Z1546" s="35">
        <f t="shared" si="148"/>
        <v>0</v>
      </c>
      <c r="AA1546" s="35">
        <f t="shared" si="149"/>
        <v>1</v>
      </c>
      <c r="AB1546" s="35">
        <f t="shared" si="150"/>
        <v>0</v>
      </c>
    </row>
    <row r="1547" spans="1:28">
      <c r="A1547" s="35">
        <v>1536</v>
      </c>
      <c r="B1547" s="35">
        <v>4.6025063817201062E-4</v>
      </c>
      <c r="C1547" s="232">
        <v>58</v>
      </c>
      <c r="D1547" s="35">
        <v>5.0605954841861269</v>
      </c>
      <c r="E1547" s="232">
        <v>34.92</v>
      </c>
      <c r="F1547" s="35">
        <v>5.0501385295959391</v>
      </c>
      <c r="G1547" s="232">
        <v>9271.9699999999993</v>
      </c>
      <c r="H1547" s="35">
        <v>8.3627040961699191</v>
      </c>
      <c r="I1547" s="232">
        <v>9422.85</v>
      </c>
      <c r="J1547" s="35">
        <v>6.7312299467742074</v>
      </c>
      <c r="K1547" s="232">
        <v>13430.64</v>
      </c>
      <c r="L1547" s="35">
        <v>8.6410109624485401</v>
      </c>
      <c r="M1547" s="232">
        <v>39503.269999999997</v>
      </c>
      <c r="N1547" s="35">
        <v>7.5910795224993555</v>
      </c>
      <c r="P1547" s="232">
        <v>-23.09</v>
      </c>
      <c r="Q1547" s="35">
        <v>1.0456954590187806E-2</v>
      </c>
      <c r="R1547" s="232">
        <v>150.87</v>
      </c>
      <c r="S1547" s="35">
        <v>1.6314741493957117</v>
      </c>
      <c r="T1547" s="232">
        <v>26072.63</v>
      </c>
      <c r="U1547" s="35">
        <v>1.0499314399491846</v>
      </c>
      <c r="W1547" s="35">
        <f t="shared" si="145"/>
        <v>545.93772950939035</v>
      </c>
      <c r="X1547" s="35">
        <f t="shared" si="146"/>
        <v>81422.837469785591</v>
      </c>
      <c r="Y1547" s="35">
        <f t="shared" si="147"/>
        <v>26423.941997459227</v>
      </c>
      <c r="Z1547" s="35">
        <f t="shared" si="148"/>
        <v>0</v>
      </c>
      <c r="AA1547" s="35">
        <f t="shared" si="149"/>
        <v>1</v>
      </c>
      <c r="AB1547" s="35">
        <f t="shared" si="150"/>
        <v>0</v>
      </c>
    </row>
    <row r="1548" spans="1:28">
      <c r="A1548" s="35">
        <v>1537</v>
      </c>
      <c r="B1548" s="35">
        <v>4.3136149917920687E-4</v>
      </c>
      <c r="C1548" s="232">
        <v>48.86</v>
      </c>
      <c r="D1548" s="35">
        <v>5.0602557590286628</v>
      </c>
      <c r="E1548" s="232">
        <v>27.33</v>
      </c>
      <c r="F1548" s="35">
        <v>5.0487415206186386</v>
      </c>
      <c r="G1548" s="232">
        <v>9527.66</v>
      </c>
      <c r="H1548" s="35">
        <v>8.9754849512119925</v>
      </c>
      <c r="I1548" s="232">
        <v>11352.59</v>
      </c>
      <c r="J1548" s="35">
        <v>7.6654006882325216</v>
      </c>
      <c r="K1548" s="232">
        <v>10569.99</v>
      </c>
      <c r="L1548" s="35">
        <v>8.4315615012241434</v>
      </c>
      <c r="M1548" s="232">
        <v>36365.599999999999</v>
      </c>
      <c r="N1548" s="35">
        <v>7.4174708739808493</v>
      </c>
      <c r="P1548" s="232">
        <v>-21.53</v>
      </c>
      <c r="Q1548" s="35">
        <v>1.1514238410024191E-2</v>
      </c>
      <c r="R1548" s="232">
        <v>1824.93</v>
      </c>
      <c r="S1548" s="35">
        <v>1.3100842629794709</v>
      </c>
      <c r="T1548" s="232">
        <v>25795.61</v>
      </c>
      <c r="U1548" s="35">
        <v>1.0140906272432941</v>
      </c>
      <c r="W1548" s="35">
        <f t="shared" ref="W1548:W1611" si="151">$X$2*Q1548-P1548</f>
        <v>597.24192050120951</v>
      </c>
      <c r="X1548" s="35">
        <f t="shared" ref="X1548:X1611" si="152">$X$2*S1548-R1548</f>
        <v>63679.283148973547</v>
      </c>
      <c r="Y1548" s="35">
        <f t="shared" ref="Y1548:Y1611" si="153">$X$2*U1548-T1548</f>
        <v>24908.921362164707</v>
      </c>
      <c r="Z1548" s="35">
        <f t="shared" ref="Z1548:Z1611" si="154">IF(W1548=MAX($W1548:$Y1548), 1, 0)</f>
        <v>0</v>
      </c>
      <c r="AA1548" s="35">
        <f t="shared" ref="AA1548:AA1611" si="155">IF(X1548=MAX($W1548:$Y1548), 1, 0)</f>
        <v>1</v>
      </c>
      <c r="AB1548" s="35">
        <f t="shared" ref="AB1548:AB1611" si="156">IF(Y1548=MAX($W1548:$Y1548), 1, 0)</f>
        <v>0</v>
      </c>
    </row>
    <row r="1549" spans="1:28">
      <c r="A1549" s="35">
        <v>1538</v>
      </c>
      <c r="B1549" s="35">
        <v>4.1453184598137094E-4</v>
      </c>
      <c r="C1549" s="232">
        <v>49.5</v>
      </c>
      <c r="D1549" s="35">
        <v>5.0595029554440085</v>
      </c>
      <c r="E1549" s="232">
        <v>33.57</v>
      </c>
      <c r="F1549" s="35">
        <v>5.0509624995616811</v>
      </c>
      <c r="G1549" s="232">
        <v>9277.14</v>
      </c>
      <c r="H1549" s="35">
        <v>8.5030479345560721</v>
      </c>
      <c r="I1549" s="232">
        <v>10785.37</v>
      </c>
      <c r="J1549" s="35">
        <v>7.4177760897562441</v>
      </c>
      <c r="K1549" s="232">
        <v>11668.74</v>
      </c>
      <c r="L1549" s="35">
        <v>8.8621542667645841</v>
      </c>
      <c r="M1549" s="232">
        <v>37606.519999999997</v>
      </c>
      <c r="N1549" s="35">
        <v>7.7885899071823896</v>
      </c>
      <c r="P1549" s="232">
        <v>-15.93</v>
      </c>
      <c r="Q1549" s="35">
        <v>8.5404558823274357E-3</v>
      </c>
      <c r="R1549" s="232">
        <v>1508.22</v>
      </c>
      <c r="S1549" s="35">
        <v>1.085271844799828</v>
      </c>
      <c r="T1549" s="232">
        <v>25937.78</v>
      </c>
      <c r="U1549" s="35">
        <v>1.0735643595821944</v>
      </c>
      <c r="W1549" s="35">
        <f t="shared" si="151"/>
        <v>442.95279411637176</v>
      </c>
      <c r="X1549" s="35">
        <f t="shared" si="152"/>
        <v>52755.372239991397</v>
      </c>
      <c r="Y1549" s="35">
        <f t="shared" si="153"/>
        <v>27740.437979109724</v>
      </c>
      <c r="Z1549" s="35">
        <f t="shared" si="154"/>
        <v>0</v>
      </c>
      <c r="AA1549" s="35">
        <f t="shared" si="155"/>
        <v>1</v>
      </c>
      <c r="AB1549" s="35">
        <f t="shared" si="156"/>
        <v>0</v>
      </c>
    </row>
    <row r="1550" spans="1:28">
      <c r="A1550" s="35">
        <v>1539</v>
      </c>
      <c r="B1550" s="35">
        <v>4.3195794169809647E-4</v>
      </c>
      <c r="C1550" s="232">
        <v>65.73</v>
      </c>
      <c r="D1550" s="35">
        <v>5.0616916396405767</v>
      </c>
      <c r="E1550" s="232">
        <v>39.97</v>
      </c>
      <c r="F1550" s="35">
        <v>5.0510500047455329</v>
      </c>
      <c r="G1550" s="232">
        <v>11896.27</v>
      </c>
      <c r="H1550" s="35">
        <v>8.9209353004747705</v>
      </c>
      <c r="I1550" s="232">
        <v>12534.29</v>
      </c>
      <c r="J1550" s="35">
        <v>7.0115423430071075</v>
      </c>
      <c r="K1550" s="232">
        <v>14417.33</v>
      </c>
      <c r="L1550" s="35">
        <v>9.0249887328565954</v>
      </c>
      <c r="M1550" s="232">
        <v>40544.550000000003</v>
      </c>
      <c r="N1550" s="35">
        <v>7.8777659954750563</v>
      </c>
      <c r="P1550" s="232">
        <v>-25.76</v>
      </c>
      <c r="Q1550" s="35">
        <v>1.0641634895043772E-2</v>
      </c>
      <c r="R1550" s="232">
        <v>638.01</v>
      </c>
      <c r="S1550" s="35">
        <v>1.9093929574676629</v>
      </c>
      <c r="T1550" s="232">
        <v>26127.22</v>
      </c>
      <c r="U1550" s="35">
        <v>1.1472227373815391</v>
      </c>
      <c r="W1550" s="35">
        <f t="shared" si="151"/>
        <v>557.84174475218856</v>
      </c>
      <c r="X1550" s="35">
        <f t="shared" si="152"/>
        <v>94831.637873383152</v>
      </c>
      <c r="Y1550" s="35">
        <f t="shared" si="153"/>
        <v>31233.916869076958</v>
      </c>
      <c r="Z1550" s="35">
        <f t="shared" si="154"/>
        <v>0</v>
      </c>
      <c r="AA1550" s="35">
        <f t="shared" si="155"/>
        <v>1</v>
      </c>
      <c r="AB1550" s="35">
        <f t="shared" si="156"/>
        <v>0</v>
      </c>
    </row>
    <row r="1551" spans="1:28">
      <c r="A1551" s="35">
        <v>1540</v>
      </c>
      <c r="B1551" s="35">
        <v>4.8560352037152477E-4</v>
      </c>
      <c r="C1551" s="232">
        <v>71.37</v>
      </c>
      <c r="D1551" s="35">
        <v>5.0654470292219305</v>
      </c>
      <c r="E1551" s="232">
        <v>51.85</v>
      </c>
      <c r="F1551" s="35">
        <v>5.0565040561833818</v>
      </c>
      <c r="G1551" s="232">
        <v>11506.01</v>
      </c>
      <c r="H1551" s="35">
        <v>9.1803766993071676</v>
      </c>
      <c r="I1551" s="232">
        <v>13488.97</v>
      </c>
      <c r="J1551" s="35">
        <v>8.7935520887635938</v>
      </c>
      <c r="K1551" s="232">
        <v>13122.88</v>
      </c>
      <c r="L1551" s="35">
        <v>8.7777037927240009</v>
      </c>
      <c r="M1551" s="232">
        <v>39061.5</v>
      </c>
      <c r="N1551" s="35">
        <v>7.6650287028532533</v>
      </c>
      <c r="P1551" s="232">
        <v>-19.53</v>
      </c>
      <c r="Q1551" s="35">
        <v>8.9429730385486295E-3</v>
      </c>
      <c r="R1551" s="232">
        <v>1982.96</v>
      </c>
      <c r="S1551" s="35">
        <v>0.38682461054357375</v>
      </c>
      <c r="T1551" s="232">
        <v>25938.62</v>
      </c>
      <c r="U1551" s="35">
        <v>1.1126750898707476</v>
      </c>
      <c r="W1551" s="35">
        <f t="shared" si="151"/>
        <v>466.67865192743147</v>
      </c>
      <c r="X1551" s="35">
        <f t="shared" si="152"/>
        <v>17358.270527178687</v>
      </c>
      <c r="Y1551" s="35">
        <f t="shared" si="153"/>
        <v>29695.134493537382</v>
      </c>
      <c r="Z1551" s="35">
        <f t="shared" si="154"/>
        <v>0</v>
      </c>
      <c r="AA1551" s="35">
        <f t="shared" si="155"/>
        <v>0</v>
      </c>
      <c r="AB1551" s="35">
        <f t="shared" si="156"/>
        <v>1</v>
      </c>
    </row>
    <row r="1552" spans="1:28">
      <c r="A1552" s="35">
        <v>1541</v>
      </c>
      <c r="B1552" s="35">
        <v>5.711076760749334E-4</v>
      </c>
      <c r="C1552" s="232">
        <v>77.239999999999995</v>
      </c>
      <c r="D1552" s="35">
        <v>5.0647269481873005</v>
      </c>
      <c r="E1552" s="232">
        <v>42.73</v>
      </c>
      <c r="F1552" s="35">
        <v>5.0514799351048083</v>
      </c>
      <c r="G1552" s="232">
        <v>10593.23</v>
      </c>
      <c r="H1552" s="35">
        <v>8.1858024714561139</v>
      </c>
      <c r="I1552" s="232">
        <v>12252.17</v>
      </c>
      <c r="J1552" s="35">
        <v>7.2207814069354885</v>
      </c>
      <c r="K1552" s="232">
        <v>11399.08</v>
      </c>
      <c r="L1552" s="35">
        <v>8.5219865965349424</v>
      </c>
      <c r="M1552" s="232">
        <v>37257.949999999997</v>
      </c>
      <c r="N1552" s="35">
        <v>7.486198497064338</v>
      </c>
      <c r="P1552" s="232">
        <v>-34.5</v>
      </c>
      <c r="Q1552" s="35">
        <v>1.3247013082492209E-2</v>
      </c>
      <c r="R1552" s="232">
        <v>1658.94</v>
      </c>
      <c r="S1552" s="35">
        <v>0.96502106452062542</v>
      </c>
      <c r="T1552" s="232">
        <v>25858.87</v>
      </c>
      <c r="U1552" s="35">
        <v>1.0357880994706044</v>
      </c>
      <c r="W1552" s="35">
        <f t="shared" si="151"/>
        <v>696.85065412461051</v>
      </c>
      <c r="X1552" s="35">
        <f t="shared" si="152"/>
        <v>46592.113226031266</v>
      </c>
      <c r="Y1552" s="35">
        <f t="shared" si="153"/>
        <v>25930.534973530219</v>
      </c>
      <c r="Z1552" s="35">
        <f t="shared" si="154"/>
        <v>0</v>
      </c>
      <c r="AA1552" s="35">
        <f t="shared" si="155"/>
        <v>1</v>
      </c>
      <c r="AB1552" s="35">
        <f t="shared" si="156"/>
        <v>0</v>
      </c>
    </row>
    <row r="1553" spans="1:28">
      <c r="A1553" s="35">
        <v>1542</v>
      </c>
      <c r="B1553" s="35">
        <v>4.3685032461311164E-4</v>
      </c>
      <c r="C1553" s="232">
        <v>78.739999999999995</v>
      </c>
      <c r="D1553" s="35">
        <v>5.0627852909965032</v>
      </c>
      <c r="E1553" s="232">
        <v>47.27</v>
      </c>
      <c r="F1553" s="35">
        <v>5.0516905351466344</v>
      </c>
      <c r="G1553" s="232">
        <v>13949.96</v>
      </c>
      <c r="H1553" s="35">
        <v>9.3249772048670145</v>
      </c>
      <c r="I1553" s="232">
        <v>13869.83</v>
      </c>
      <c r="J1553" s="35">
        <v>7.7070686039496561</v>
      </c>
      <c r="K1553" s="232">
        <v>18106.3</v>
      </c>
      <c r="L1553" s="35">
        <v>8.8015955529686707</v>
      </c>
      <c r="M1553" s="232">
        <v>44300.78</v>
      </c>
      <c r="N1553" s="35">
        <v>7.6523085590726438</v>
      </c>
      <c r="P1553" s="232">
        <v>-31.47</v>
      </c>
      <c r="Q1553" s="35">
        <v>1.1094755849868854E-2</v>
      </c>
      <c r="R1553" s="232">
        <v>-80.13</v>
      </c>
      <c r="S1553" s="35">
        <v>1.6179086009173584</v>
      </c>
      <c r="T1553" s="232">
        <v>26194.48</v>
      </c>
      <c r="U1553" s="35">
        <v>1.1492869938960268</v>
      </c>
      <c r="W1553" s="35">
        <f t="shared" si="151"/>
        <v>586.20779249344275</v>
      </c>
      <c r="X1553" s="35">
        <f t="shared" si="152"/>
        <v>80975.560045867926</v>
      </c>
      <c r="Y1553" s="35">
        <f t="shared" si="153"/>
        <v>31269.869694801342</v>
      </c>
      <c r="Z1553" s="35">
        <f t="shared" si="154"/>
        <v>0</v>
      </c>
      <c r="AA1553" s="35">
        <f t="shared" si="155"/>
        <v>1</v>
      </c>
      <c r="AB1553" s="35">
        <f t="shared" si="156"/>
        <v>0</v>
      </c>
    </row>
    <row r="1554" spans="1:28">
      <c r="A1554" s="35">
        <v>1543</v>
      </c>
      <c r="B1554" s="35">
        <v>3.99196830415631E-4</v>
      </c>
      <c r="C1554" s="232">
        <v>74.55</v>
      </c>
      <c r="D1554" s="35">
        <v>5.060230665789148</v>
      </c>
      <c r="E1554" s="232">
        <v>49.33</v>
      </c>
      <c r="F1554" s="35">
        <v>5.05158638502924</v>
      </c>
      <c r="G1554" s="232">
        <v>14454.34</v>
      </c>
      <c r="H1554" s="35">
        <v>9.0708619317324128</v>
      </c>
      <c r="I1554" s="232">
        <v>15653.85</v>
      </c>
      <c r="J1554" s="35">
        <v>8.2084625118349166</v>
      </c>
      <c r="K1554" s="232">
        <v>18490.54</v>
      </c>
      <c r="L1554" s="35">
        <v>8.8675838433485819</v>
      </c>
      <c r="M1554" s="232">
        <v>44768.22</v>
      </c>
      <c r="N1554" s="35">
        <v>7.7345359942935747</v>
      </c>
      <c r="P1554" s="232">
        <v>-25.22</v>
      </c>
      <c r="Q1554" s="35">
        <v>8.6442807599080851E-3</v>
      </c>
      <c r="R1554" s="232">
        <v>1199.51</v>
      </c>
      <c r="S1554" s="35">
        <v>0.86239941989749624</v>
      </c>
      <c r="T1554" s="232">
        <v>26277.68</v>
      </c>
      <c r="U1554" s="35">
        <v>1.1330478490550071</v>
      </c>
      <c r="W1554" s="35">
        <f t="shared" si="151"/>
        <v>457.43403799540431</v>
      </c>
      <c r="X1554" s="35">
        <f t="shared" si="152"/>
        <v>41920.460994874811</v>
      </c>
      <c r="Y1554" s="35">
        <f t="shared" si="153"/>
        <v>30374.712452750355</v>
      </c>
      <c r="Z1554" s="35">
        <f t="shared" si="154"/>
        <v>0</v>
      </c>
      <c r="AA1554" s="35">
        <f t="shared" si="155"/>
        <v>1</v>
      </c>
      <c r="AB1554" s="35">
        <f t="shared" si="156"/>
        <v>0</v>
      </c>
    </row>
    <row r="1555" spans="1:28">
      <c r="A1555" s="35">
        <v>1544</v>
      </c>
      <c r="B1555" s="35">
        <v>3.3835180012110997E-4</v>
      </c>
      <c r="C1555" s="232">
        <v>41.03</v>
      </c>
      <c r="D1555" s="35">
        <v>5.0578116368328399</v>
      </c>
      <c r="E1555" s="232">
        <v>29.32</v>
      </c>
      <c r="F1555" s="35">
        <v>5.0503602724001109</v>
      </c>
      <c r="G1555" s="232">
        <v>9643.35</v>
      </c>
      <c r="H1555" s="35">
        <v>9.4499206851539466</v>
      </c>
      <c r="I1555" s="232">
        <v>11340.67</v>
      </c>
      <c r="J1555" s="35">
        <v>7.9622694916178789</v>
      </c>
      <c r="K1555" s="232">
        <v>10157.74</v>
      </c>
      <c r="L1555" s="35">
        <v>8.9018392169664988</v>
      </c>
      <c r="M1555" s="232">
        <v>36045.94</v>
      </c>
      <c r="N1555" s="35">
        <v>7.8521209740952473</v>
      </c>
      <c r="P1555" s="232">
        <v>-11.71</v>
      </c>
      <c r="Q1555" s="35">
        <v>7.4513644327289796E-3</v>
      </c>
      <c r="R1555" s="232">
        <v>1697.32</v>
      </c>
      <c r="S1555" s="35">
        <v>1.4876511935360677</v>
      </c>
      <c r="T1555" s="232">
        <v>25888.2</v>
      </c>
      <c r="U1555" s="35">
        <v>1.0497182428712515</v>
      </c>
      <c r="W1555" s="35">
        <f t="shared" si="151"/>
        <v>384.27822163644896</v>
      </c>
      <c r="X1555" s="35">
        <f t="shared" si="152"/>
        <v>72685.23967680338</v>
      </c>
      <c r="Y1555" s="35">
        <f t="shared" si="153"/>
        <v>26597.71214356257</v>
      </c>
      <c r="Z1555" s="35">
        <f t="shared" si="154"/>
        <v>0</v>
      </c>
      <c r="AA1555" s="35">
        <f t="shared" si="155"/>
        <v>1</v>
      </c>
      <c r="AB1555" s="35">
        <f t="shared" si="156"/>
        <v>0</v>
      </c>
    </row>
    <row r="1556" spans="1:28">
      <c r="A1556" s="35">
        <v>1545</v>
      </c>
      <c r="B1556" s="35">
        <v>4.0265082329888057E-4</v>
      </c>
      <c r="C1556" s="232">
        <v>69.53</v>
      </c>
      <c r="D1556" s="35">
        <v>5.0609086519373054</v>
      </c>
      <c r="E1556" s="232">
        <v>44.01</v>
      </c>
      <c r="F1556" s="35">
        <v>5.0512594154426074</v>
      </c>
      <c r="G1556" s="232">
        <v>13091.05</v>
      </c>
      <c r="H1556" s="35">
        <v>9.0565477447430407</v>
      </c>
      <c r="I1556" s="232">
        <v>14685.96</v>
      </c>
      <c r="J1556" s="35">
        <v>8.5322273111445668</v>
      </c>
      <c r="K1556" s="232">
        <v>17287.73</v>
      </c>
      <c r="L1556" s="35">
        <v>9.2363368687918666</v>
      </c>
      <c r="M1556" s="232">
        <v>43558.17</v>
      </c>
      <c r="N1556" s="35">
        <v>8.1081901076906977</v>
      </c>
      <c r="P1556" s="232">
        <v>-25.52</v>
      </c>
      <c r="Q1556" s="35">
        <v>9.6492364946980658E-3</v>
      </c>
      <c r="R1556" s="232">
        <v>1594.92</v>
      </c>
      <c r="S1556" s="35">
        <v>0.52432043359847391</v>
      </c>
      <c r="T1556" s="232">
        <v>26270.44</v>
      </c>
      <c r="U1556" s="35">
        <v>1.1281467611011688</v>
      </c>
      <c r="W1556" s="35">
        <f t="shared" si="151"/>
        <v>507.98182473490328</v>
      </c>
      <c r="X1556" s="35">
        <f t="shared" si="152"/>
        <v>24621.101679923697</v>
      </c>
      <c r="Y1556" s="35">
        <f t="shared" si="153"/>
        <v>30136.898055058442</v>
      </c>
      <c r="Z1556" s="35">
        <f t="shared" si="154"/>
        <v>0</v>
      </c>
      <c r="AA1556" s="35">
        <f t="shared" si="155"/>
        <v>0</v>
      </c>
      <c r="AB1556" s="35">
        <f t="shared" si="156"/>
        <v>1</v>
      </c>
    </row>
    <row r="1557" spans="1:28">
      <c r="A1557" s="35">
        <v>1546</v>
      </c>
      <c r="B1557" s="35">
        <v>4.6584006586469773E-4</v>
      </c>
      <c r="C1557" s="232">
        <v>59.84</v>
      </c>
      <c r="D1557" s="35">
        <v>5.0625011381064029</v>
      </c>
      <c r="E1557" s="232">
        <v>44.37</v>
      </c>
      <c r="F1557" s="35">
        <v>5.0546414798264765</v>
      </c>
      <c r="G1557" s="232">
        <v>10028</v>
      </c>
      <c r="H1557" s="35">
        <v>8.7251418215927661</v>
      </c>
      <c r="I1557" s="232">
        <v>11710.46</v>
      </c>
      <c r="J1557" s="35">
        <v>7.7895399663097784</v>
      </c>
      <c r="K1557" s="232">
        <v>11592.88</v>
      </c>
      <c r="L1557" s="35">
        <v>8.4433185222840184</v>
      </c>
      <c r="M1557" s="232">
        <v>37331.99</v>
      </c>
      <c r="N1557" s="35">
        <v>7.3137249276416609</v>
      </c>
      <c r="P1557" s="232">
        <v>-15.47</v>
      </c>
      <c r="Q1557" s="35">
        <v>7.859658279926407E-3</v>
      </c>
      <c r="R1557" s="232">
        <v>1682.45</v>
      </c>
      <c r="S1557" s="35">
        <v>0.93560185528298767</v>
      </c>
      <c r="T1557" s="232">
        <v>25739.11</v>
      </c>
      <c r="U1557" s="35">
        <v>1.1295935946423574</v>
      </c>
      <c r="W1557" s="35">
        <f t="shared" si="151"/>
        <v>408.45291399632038</v>
      </c>
      <c r="X1557" s="35">
        <f t="shared" si="152"/>
        <v>45097.642764149386</v>
      </c>
      <c r="Y1557" s="35">
        <f t="shared" si="153"/>
        <v>30740.569732117874</v>
      </c>
      <c r="Z1557" s="35">
        <f t="shared" si="154"/>
        <v>0</v>
      </c>
      <c r="AA1557" s="35">
        <f t="shared" si="155"/>
        <v>1</v>
      </c>
      <c r="AB1557" s="35">
        <f t="shared" si="156"/>
        <v>0</v>
      </c>
    </row>
    <row r="1558" spans="1:28">
      <c r="A1558" s="35">
        <v>1547</v>
      </c>
      <c r="B1558" s="35">
        <v>4.1082128120118773E-4</v>
      </c>
      <c r="C1558" s="232">
        <v>82.39</v>
      </c>
      <c r="D1558" s="35">
        <v>5.0597403518510307</v>
      </c>
      <c r="E1558" s="232">
        <v>49.16</v>
      </c>
      <c r="F1558" s="35">
        <v>5.0499679758568785</v>
      </c>
      <c r="G1558" s="232">
        <v>14915.29</v>
      </c>
      <c r="H1558" s="35">
        <v>8.8578044507428881</v>
      </c>
      <c r="I1558" s="232">
        <v>13027.87</v>
      </c>
      <c r="J1558" s="35">
        <v>7.076840082034483</v>
      </c>
      <c r="K1558" s="232">
        <v>22988.36</v>
      </c>
      <c r="L1558" s="35">
        <v>8.5989998239308036</v>
      </c>
      <c r="M1558" s="232">
        <v>49728.88</v>
      </c>
      <c r="N1558" s="35">
        <v>7.4136504241395338</v>
      </c>
      <c r="P1558" s="232">
        <v>-33.24</v>
      </c>
      <c r="Q1558" s="35">
        <v>9.7723759941521493E-3</v>
      </c>
      <c r="R1558" s="232">
        <v>-1887.42</v>
      </c>
      <c r="S1558" s="35">
        <v>1.7809643687084051</v>
      </c>
      <c r="T1558" s="232">
        <v>26740.52</v>
      </c>
      <c r="U1558" s="35">
        <v>1.1853493997912699</v>
      </c>
      <c r="W1558" s="35">
        <f t="shared" si="151"/>
        <v>521.85879970760743</v>
      </c>
      <c r="X1558" s="35">
        <f t="shared" si="152"/>
        <v>90935.63843542026</v>
      </c>
      <c r="Y1558" s="35">
        <f t="shared" si="153"/>
        <v>32526.949989563491</v>
      </c>
      <c r="Z1558" s="35">
        <f t="shared" si="154"/>
        <v>0</v>
      </c>
      <c r="AA1558" s="35">
        <f t="shared" si="155"/>
        <v>1</v>
      </c>
      <c r="AB1558" s="35">
        <f t="shared" si="156"/>
        <v>0</v>
      </c>
    </row>
    <row r="1559" spans="1:28">
      <c r="A1559" s="35">
        <v>1548</v>
      </c>
      <c r="B1559" s="35">
        <v>4.4004877936958868E-4</v>
      </c>
      <c r="C1559" s="232">
        <v>66.03</v>
      </c>
      <c r="D1559" s="35">
        <v>5.0590547855378167</v>
      </c>
      <c r="E1559" s="232">
        <v>38.119999999999997</v>
      </c>
      <c r="F1559" s="35">
        <v>5.048950260416313</v>
      </c>
      <c r="G1559" s="232">
        <v>12003.18</v>
      </c>
      <c r="H1559" s="35">
        <v>8.2752443264885418</v>
      </c>
      <c r="I1559" s="232">
        <v>13311.37</v>
      </c>
      <c r="J1559" s="35">
        <v>6.6488251557749924</v>
      </c>
      <c r="K1559" s="232">
        <v>13396.99</v>
      </c>
      <c r="L1559" s="35">
        <v>8.419265439764974</v>
      </c>
      <c r="M1559" s="232">
        <v>39399.65</v>
      </c>
      <c r="N1559" s="35">
        <v>7.2887667737556301</v>
      </c>
      <c r="P1559" s="232">
        <v>-27.91</v>
      </c>
      <c r="Q1559" s="35">
        <v>1.0104525121503727E-2</v>
      </c>
      <c r="R1559" s="232">
        <v>1308.19</v>
      </c>
      <c r="S1559" s="35">
        <v>1.6264191707135494</v>
      </c>
      <c r="T1559" s="232">
        <v>26002.65</v>
      </c>
      <c r="U1559" s="35">
        <v>1.1304986660093439</v>
      </c>
      <c r="W1559" s="35">
        <f t="shared" si="151"/>
        <v>533.13625607518634</v>
      </c>
      <c r="X1559" s="35">
        <f t="shared" si="152"/>
        <v>80012.76853567746</v>
      </c>
      <c r="Y1559" s="35">
        <f t="shared" si="153"/>
        <v>30522.283300467192</v>
      </c>
      <c r="Z1559" s="35">
        <f t="shared" si="154"/>
        <v>0</v>
      </c>
      <c r="AA1559" s="35">
        <f t="shared" si="155"/>
        <v>1</v>
      </c>
      <c r="AB1559" s="35">
        <f t="shared" si="156"/>
        <v>0</v>
      </c>
    </row>
    <row r="1560" spans="1:28">
      <c r="A1560" s="35">
        <v>1549</v>
      </c>
      <c r="B1560" s="35">
        <v>3.8382581487586711E-4</v>
      </c>
      <c r="C1560" s="232">
        <v>55.48</v>
      </c>
      <c r="D1560" s="35">
        <v>5.0582531849629824</v>
      </c>
      <c r="E1560" s="232">
        <v>37.869999999999997</v>
      </c>
      <c r="F1560" s="35">
        <v>5.0504573860548359</v>
      </c>
      <c r="G1560" s="232">
        <v>10972</v>
      </c>
      <c r="H1560" s="35">
        <v>8.7270359826112607</v>
      </c>
      <c r="I1560" s="232">
        <v>12021.44</v>
      </c>
      <c r="J1560" s="35">
        <v>7.6863430334429363</v>
      </c>
      <c r="K1560" s="232">
        <v>14842.12</v>
      </c>
      <c r="L1560" s="35">
        <v>8.8489228510916185</v>
      </c>
      <c r="M1560" s="232">
        <v>40971.699999999997</v>
      </c>
      <c r="N1560" s="35">
        <v>7.7352373771805185</v>
      </c>
      <c r="P1560" s="232">
        <v>-17.61</v>
      </c>
      <c r="Q1560" s="35">
        <v>7.7957989081465229E-3</v>
      </c>
      <c r="R1560" s="232">
        <v>1049.43</v>
      </c>
      <c r="S1560" s="35">
        <v>1.0406929491683243</v>
      </c>
      <c r="T1560" s="232">
        <v>26129.58</v>
      </c>
      <c r="U1560" s="35">
        <v>1.1136854739111</v>
      </c>
      <c r="W1560" s="35">
        <f t="shared" si="151"/>
        <v>407.39994540732619</v>
      </c>
      <c r="X1560" s="35">
        <f t="shared" si="152"/>
        <v>50985.217458416213</v>
      </c>
      <c r="Y1560" s="35">
        <f t="shared" si="153"/>
        <v>29554.693695554997</v>
      </c>
      <c r="Z1560" s="35">
        <f t="shared" si="154"/>
        <v>0</v>
      </c>
      <c r="AA1560" s="35">
        <f t="shared" si="155"/>
        <v>1</v>
      </c>
      <c r="AB1560" s="35">
        <f t="shared" si="156"/>
        <v>0</v>
      </c>
    </row>
    <row r="1561" spans="1:28">
      <c r="A1561" s="35">
        <v>1550</v>
      </c>
      <c r="B1561" s="35">
        <v>5.5246654321128297E-4</v>
      </c>
      <c r="C1561" s="232">
        <v>98.88</v>
      </c>
      <c r="D1561" s="35">
        <v>5.0687799135287577</v>
      </c>
      <c r="E1561" s="232">
        <v>63.4</v>
      </c>
      <c r="F1561" s="35">
        <v>5.056561624187597</v>
      </c>
      <c r="G1561" s="232">
        <v>13513.89</v>
      </c>
      <c r="H1561" s="35">
        <v>9.1359089888900336</v>
      </c>
      <c r="I1561" s="232">
        <v>15489.28</v>
      </c>
      <c r="J1561" s="35">
        <v>8.9343652025534794</v>
      </c>
      <c r="K1561" s="232">
        <v>16707.919999999998</v>
      </c>
      <c r="L1561" s="35">
        <v>8.7852936969270594</v>
      </c>
      <c r="M1561" s="232">
        <v>42964.25</v>
      </c>
      <c r="N1561" s="35">
        <v>7.6972602527683911</v>
      </c>
      <c r="P1561" s="232">
        <v>-35.49</v>
      </c>
      <c r="Q1561" s="35">
        <v>1.2218289341160649E-2</v>
      </c>
      <c r="R1561" s="232">
        <v>1975.4</v>
      </c>
      <c r="S1561" s="35">
        <v>0.20154378633655412</v>
      </c>
      <c r="T1561" s="232">
        <v>26256.32</v>
      </c>
      <c r="U1561" s="35">
        <v>1.0880334441586683</v>
      </c>
      <c r="W1561" s="35">
        <f t="shared" si="151"/>
        <v>646.40446705803242</v>
      </c>
      <c r="X1561" s="35">
        <f t="shared" si="152"/>
        <v>8101.789316827706</v>
      </c>
      <c r="Y1561" s="35">
        <f t="shared" si="153"/>
        <v>28145.352207933414</v>
      </c>
      <c r="Z1561" s="35">
        <f t="shared" si="154"/>
        <v>0</v>
      </c>
      <c r="AA1561" s="35">
        <f t="shared" si="155"/>
        <v>0</v>
      </c>
      <c r="AB1561" s="35">
        <f t="shared" si="156"/>
        <v>1</v>
      </c>
    </row>
    <row r="1562" spans="1:28">
      <c r="A1562" s="35">
        <v>1551</v>
      </c>
      <c r="B1562" s="35">
        <v>4.8394666708673206E-4</v>
      </c>
      <c r="C1562" s="232">
        <v>67.37</v>
      </c>
      <c r="D1562" s="35">
        <v>5.0636252156633743</v>
      </c>
      <c r="E1562" s="232">
        <v>43.2</v>
      </c>
      <c r="F1562" s="35">
        <v>5.0530039246980518</v>
      </c>
      <c r="G1562" s="232">
        <v>11007.16</v>
      </c>
      <c r="H1562" s="35">
        <v>9.0445225852297835</v>
      </c>
      <c r="I1562" s="232">
        <v>12968.41</v>
      </c>
      <c r="J1562" s="35">
        <v>8.5224865106675907</v>
      </c>
      <c r="K1562" s="232">
        <v>11863.97</v>
      </c>
      <c r="L1562" s="35">
        <v>8.2594239320637772</v>
      </c>
      <c r="M1562" s="232">
        <v>37879.21</v>
      </c>
      <c r="N1562" s="35">
        <v>7.1539555624637803</v>
      </c>
      <c r="P1562" s="232">
        <v>-24.18</v>
      </c>
      <c r="Q1562" s="35">
        <v>1.0621290965322494E-2</v>
      </c>
      <c r="R1562" s="232">
        <v>1961.25</v>
      </c>
      <c r="S1562" s="35">
        <v>0.52203607456219281</v>
      </c>
      <c r="T1562" s="232">
        <v>26015.24</v>
      </c>
      <c r="U1562" s="35">
        <v>1.1054683695999969</v>
      </c>
      <c r="W1562" s="35">
        <f t="shared" si="151"/>
        <v>555.24454826612464</v>
      </c>
      <c r="X1562" s="35">
        <f t="shared" si="152"/>
        <v>24140.55372810964</v>
      </c>
      <c r="Y1562" s="35">
        <f t="shared" si="153"/>
        <v>29258.178479999846</v>
      </c>
      <c r="Z1562" s="35">
        <f t="shared" si="154"/>
        <v>0</v>
      </c>
      <c r="AA1562" s="35">
        <f t="shared" si="155"/>
        <v>0</v>
      </c>
      <c r="AB1562" s="35">
        <f t="shared" si="156"/>
        <v>1</v>
      </c>
    </row>
    <row r="1563" spans="1:28">
      <c r="A1563" s="35">
        <v>1552</v>
      </c>
      <c r="B1563" s="35">
        <v>5.2353668372084883E-4</v>
      </c>
      <c r="C1563" s="232">
        <v>83.96</v>
      </c>
      <c r="D1563" s="35">
        <v>5.0649440971979418</v>
      </c>
      <c r="E1563" s="232">
        <v>47.34</v>
      </c>
      <c r="F1563" s="35">
        <v>5.0519771962207631</v>
      </c>
      <c r="G1563" s="232">
        <v>12182.8</v>
      </c>
      <c r="H1563" s="35">
        <v>8.5774090037707857</v>
      </c>
      <c r="I1563" s="232">
        <v>12657.12</v>
      </c>
      <c r="J1563" s="35">
        <v>7.2841619322406919</v>
      </c>
      <c r="K1563" s="232">
        <v>17203.61</v>
      </c>
      <c r="L1563" s="35">
        <v>8.722022907875921</v>
      </c>
      <c r="M1563" s="232">
        <v>43493.81</v>
      </c>
      <c r="N1563" s="35">
        <v>7.5629987676023784</v>
      </c>
      <c r="P1563" s="232">
        <v>-36.619999999999997</v>
      </c>
      <c r="Q1563" s="35">
        <v>1.2966900977178675E-2</v>
      </c>
      <c r="R1563" s="232">
        <v>474.32</v>
      </c>
      <c r="S1563" s="35">
        <v>1.2932470715300939</v>
      </c>
      <c r="T1563" s="232">
        <v>26290.21</v>
      </c>
      <c r="U1563" s="35">
        <v>1.1590241402735426</v>
      </c>
      <c r="W1563" s="35">
        <f t="shared" si="151"/>
        <v>684.96504885893376</v>
      </c>
      <c r="X1563" s="35">
        <f t="shared" si="152"/>
        <v>64188.033576504691</v>
      </c>
      <c r="Y1563" s="35">
        <f t="shared" si="153"/>
        <v>31660.99701367713</v>
      </c>
      <c r="Z1563" s="35">
        <f t="shared" si="154"/>
        <v>0</v>
      </c>
      <c r="AA1563" s="35">
        <f t="shared" si="155"/>
        <v>1</v>
      </c>
      <c r="AB1563" s="35">
        <f t="shared" si="156"/>
        <v>0</v>
      </c>
    </row>
    <row r="1564" spans="1:28">
      <c r="A1564" s="35">
        <v>1553</v>
      </c>
      <c r="B1564" s="35">
        <v>4.4778712846438307E-4</v>
      </c>
      <c r="C1564" s="232">
        <v>75.77</v>
      </c>
      <c r="D1564" s="35">
        <v>5.0625946301076779</v>
      </c>
      <c r="E1564" s="232">
        <v>48.97</v>
      </c>
      <c r="F1564" s="35">
        <v>5.052675142357284</v>
      </c>
      <c r="G1564" s="232">
        <v>12999.11</v>
      </c>
      <c r="H1564" s="35">
        <v>9.1258954234151748</v>
      </c>
      <c r="I1564" s="232">
        <v>13845.74</v>
      </c>
      <c r="J1564" s="35">
        <v>7.9778997621599954</v>
      </c>
      <c r="K1564" s="232">
        <v>16166.26</v>
      </c>
      <c r="L1564" s="35">
        <v>8.7554250803283917</v>
      </c>
      <c r="M1564" s="232">
        <v>42325.68</v>
      </c>
      <c r="N1564" s="35">
        <v>7.7398717044635212</v>
      </c>
      <c r="P1564" s="232">
        <v>-26.8</v>
      </c>
      <c r="Q1564" s="35">
        <v>9.9194877503938628E-3</v>
      </c>
      <c r="R1564" s="232">
        <v>846.63</v>
      </c>
      <c r="S1564" s="35">
        <v>1.1479956612551794</v>
      </c>
      <c r="T1564" s="232">
        <v>26159.41</v>
      </c>
      <c r="U1564" s="35">
        <v>1.0155533758648705</v>
      </c>
      <c r="W1564" s="35">
        <f t="shared" si="151"/>
        <v>522.77438751969316</v>
      </c>
      <c r="X1564" s="35">
        <f t="shared" si="152"/>
        <v>56553.153062758975</v>
      </c>
      <c r="Y1564" s="35">
        <f t="shared" si="153"/>
        <v>24618.258793243524</v>
      </c>
      <c r="Z1564" s="35">
        <f t="shared" si="154"/>
        <v>0</v>
      </c>
      <c r="AA1564" s="35">
        <f t="shared" si="155"/>
        <v>1</v>
      </c>
      <c r="AB1564" s="35">
        <f t="shared" si="156"/>
        <v>0</v>
      </c>
    </row>
    <row r="1565" spans="1:28">
      <c r="A1565" s="35">
        <v>1554</v>
      </c>
      <c r="B1565" s="35">
        <v>4.986332131996507E-4</v>
      </c>
      <c r="C1565" s="232">
        <v>87.6</v>
      </c>
      <c r="D1565" s="35">
        <v>5.0628958127138377</v>
      </c>
      <c r="E1565" s="232">
        <v>55.27</v>
      </c>
      <c r="F1565" s="35">
        <v>5.0526323573787515</v>
      </c>
      <c r="G1565" s="232">
        <v>13622.56</v>
      </c>
      <c r="H1565" s="35">
        <v>8.6392612329475025</v>
      </c>
      <c r="I1565" s="232">
        <v>15089.76</v>
      </c>
      <c r="J1565" s="35">
        <v>8.0443380560032072</v>
      </c>
      <c r="K1565" s="232">
        <v>17545.400000000001</v>
      </c>
      <c r="L1565" s="35">
        <v>8.3427392600146959</v>
      </c>
      <c r="M1565" s="232">
        <v>43673.61</v>
      </c>
      <c r="N1565" s="35">
        <v>7.3023487247728749</v>
      </c>
      <c r="P1565" s="232">
        <v>-32.33</v>
      </c>
      <c r="Q1565" s="35">
        <v>1.0263455335086213E-2</v>
      </c>
      <c r="R1565" s="232">
        <v>1467.2</v>
      </c>
      <c r="S1565" s="35">
        <v>0.59492317694429531</v>
      </c>
      <c r="T1565" s="232">
        <v>26128.21</v>
      </c>
      <c r="U1565" s="35">
        <v>1.040390535241821</v>
      </c>
      <c r="W1565" s="35">
        <f t="shared" si="151"/>
        <v>545.50276675431076</v>
      </c>
      <c r="X1565" s="35">
        <f t="shared" si="152"/>
        <v>28278.958847214766</v>
      </c>
      <c r="Y1565" s="35">
        <f t="shared" si="153"/>
        <v>25891.316762091054</v>
      </c>
      <c r="Z1565" s="35">
        <f t="shared" si="154"/>
        <v>0</v>
      </c>
      <c r="AA1565" s="35">
        <f t="shared" si="155"/>
        <v>1</v>
      </c>
      <c r="AB1565" s="35">
        <f t="shared" si="156"/>
        <v>0</v>
      </c>
    </row>
    <row r="1566" spans="1:28">
      <c r="A1566" s="35">
        <v>1555</v>
      </c>
      <c r="B1566" s="35">
        <v>3.3056156025472396E-4</v>
      </c>
      <c r="C1566" s="232">
        <v>53.31</v>
      </c>
      <c r="D1566" s="35">
        <v>5.054584735312762</v>
      </c>
      <c r="E1566" s="232">
        <v>32.46</v>
      </c>
      <c r="F1566" s="35">
        <v>5.0469235452375401</v>
      </c>
      <c r="G1566" s="232">
        <v>11611.14</v>
      </c>
      <c r="H1566" s="35">
        <v>8.5295021778800582</v>
      </c>
      <c r="I1566" s="232">
        <v>12323.74</v>
      </c>
      <c r="J1566" s="35">
        <v>7.7506688527969922</v>
      </c>
      <c r="K1566" s="232">
        <v>18058.68</v>
      </c>
      <c r="L1566" s="35">
        <v>8.6098403097817613</v>
      </c>
      <c r="M1566" s="232">
        <v>44305.32</v>
      </c>
      <c r="N1566" s="35">
        <v>7.4879195930873435</v>
      </c>
      <c r="P1566" s="232">
        <v>-20.85</v>
      </c>
      <c r="Q1566" s="35">
        <v>7.6611900752219242E-3</v>
      </c>
      <c r="R1566" s="232">
        <v>712.61</v>
      </c>
      <c r="S1566" s="35">
        <v>0.77883332508306591</v>
      </c>
      <c r="T1566" s="232">
        <v>26246.639999999999</v>
      </c>
      <c r="U1566" s="35">
        <v>1.1219207166944178</v>
      </c>
      <c r="W1566" s="35">
        <f t="shared" si="151"/>
        <v>403.90950376109623</v>
      </c>
      <c r="X1566" s="35">
        <f t="shared" si="152"/>
        <v>38229.056254153293</v>
      </c>
      <c r="Y1566" s="35">
        <f t="shared" si="153"/>
        <v>29849.39583472089</v>
      </c>
      <c r="Z1566" s="35">
        <f t="shared" si="154"/>
        <v>0</v>
      </c>
      <c r="AA1566" s="35">
        <f t="shared" si="155"/>
        <v>1</v>
      </c>
      <c r="AB1566" s="35">
        <f t="shared" si="156"/>
        <v>0</v>
      </c>
    </row>
    <row r="1567" spans="1:28">
      <c r="A1567" s="35">
        <v>1556</v>
      </c>
      <c r="B1567" s="35">
        <v>4.2807076140864101E-4</v>
      </c>
      <c r="C1567" s="232">
        <v>47.76</v>
      </c>
      <c r="D1567" s="35">
        <v>5.060388998243921</v>
      </c>
      <c r="E1567" s="232">
        <v>31.34</v>
      </c>
      <c r="F1567" s="35">
        <v>5.0509411014621968</v>
      </c>
      <c r="G1567" s="232">
        <v>8707.82</v>
      </c>
      <c r="H1567" s="35">
        <v>8.8579820177797259</v>
      </c>
      <c r="I1567" s="232">
        <v>10199.51</v>
      </c>
      <c r="J1567" s="35">
        <v>7.8728526058377195</v>
      </c>
      <c r="K1567" s="232">
        <v>10883.66</v>
      </c>
      <c r="L1567" s="35">
        <v>8.5399139261305166</v>
      </c>
      <c r="M1567" s="232">
        <v>36818.730000000003</v>
      </c>
      <c r="N1567" s="35">
        <v>7.4287250195185823</v>
      </c>
      <c r="P1567" s="232">
        <v>-16.420000000000002</v>
      </c>
      <c r="Q1567" s="35">
        <v>9.4478967817241966E-3</v>
      </c>
      <c r="R1567" s="232">
        <v>1491.68</v>
      </c>
      <c r="S1567" s="35">
        <v>0.98512941194200643</v>
      </c>
      <c r="T1567" s="232">
        <v>25935.06</v>
      </c>
      <c r="U1567" s="35">
        <v>1.1111889066119343</v>
      </c>
      <c r="W1567" s="35">
        <f t="shared" si="151"/>
        <v>488.81483908620982</v>
      </c>
      <c r="X1567" s="35">
        <f t="shared" si="152"/>
        <v>47764.79059710032</v>
      </c>
      <c r="Y1567" s="35">
        <f t="shared" si="153"/>
        <v>29624.38533059671</v>
      </c>
      <c r="Z1567" s="35">
        <f t="shared" si="154"/>
        <v>0</v>
      </c>
      <c r="AA1567" s="35">
        <f t="shared" si="155"/>
        <v>1</v>
      </c>
      <c r="AB1567" s="35">
        <f t="shared" si="156"/>
        <v>0</v>
      </c>
    </row>
    <row r="1568" spans="1:28">
      <c r="A1568" s="35">
        <v>1557</v>
      </c>
      <c r="B1568" s="35">
        <v>4.2342494068085427E-4</v>
      </c>
      <c r="C1568" s="232">
        <v>52.2</v>
      </c>
      <c r="D1568" s="35">
        <v>5.0593181543687926</v>
      </c>
      <c r="E1568" s="232">
        <v>33.42</v>
      </c>
      <c r="F1568" s="35">
        <v>5.0501192081485371</v>
      </c>
      <c r="G1568" s="232">
        <v>9450.16</v>
      </c>
      <c r="H1568" s="35">
        <v>8.7743649416798739</v>
      </c>
      <c r="I1568" s="232">
        <v>11766.16</v>
      </c>
      <c r="J1568" s="35">
        <v>8.8632412744738325</v>
      </c>
      <c r="K1568" s="232">
        <v>12296.8</v>
      </c>
      <c r="L1568" s="35">
        <v>8.2169764700426118</v>
      </c>
      <c r="M1568" s="232">
        <v>38293.89</v>
      </c>
      <c r="N1568" s="35">
        <v>7.1765012623655711</v>
      </c>
      <c r="P1568" s="232">
        <v>-18.78</v>
      </c>
      <c r="Q1568" s="35">
        <v>9.1989462202555217E-3</v>
      </c>
      <c r="R1568" s="232">
        <v>2316</v>
      </c>
      <c r="S1568" s="35">
        <v>-8.8876332793958568E-2</v>
      </c>
      <c r="T1568" s="232">
        <v>25997.09</v>
      </c>
      <c r="U1568" s="35">
        <v>1.0404752076770407</v>
      </c>
      <c r="W1568" s="35">
        <f t="shared" si="151"/>
        <v>478.72731101277611</v>
      </c>
      <c r="X1568" s="35">
        <f t="shared" si="152"/>
        <v>-6759.8166396979286</v>
      </c>
      <c r="Y1568" s="35">
        <f t="shared" si="153"/>
        <v>26026.670383852037</v>
      </c>
      <c r="Z1568" s="35">
        <f t="shared" si="154"/>
        <v>0</v>
      </c>
      <c r="AA1568" s="35">
        <f t="shared" si="155"/>
        <v>0</v>
      </c>
      <c r="AB1568" s="35">
        <f t="shared" si="156"/>
        <v>1</v>
      </c>
    </row>
    <row r="1569" spans="1:28">
      <c r="A1569" s="35">
        <v>1558</v>
      </c>
      <c r="B1569" s="35">
        <v>4.6818550349336796E-4</v>
      </c>
      <c r="C1569" s="232">
        <v>80.37</v>
      </c>
      <c r="D1569" s="35">
        <v>5.0640162187061328</v>
      </c>
      <c r="E1569" s="232">
        <v>50.79</v>
      </c>
      <c r="F1569" s="35">
        <v>5.053222515151349</v>
      </c>
      <c r="G1569" s="232">
        <v>13033.05</v>
      </c>
      <c r="H1569" s="35">
        <v>9.0423332259398279</v>
      </c>
      <c r="I1569" s="232">
        <v>14817.76</v>
      </c>
      <c r="J1569" s="35">
        <v>8.7529041852838425</v>
      </c>
      <c r="K1569" s="232">
        <v>19101.47</v>
      </c>
      <c r="L1569" s="35">
        <v>8.9242457636417978</v>
      </c>
      <c r="M1569" s="232">
        <v>45446.3</v>
      </c>
      <c r="N1569" s="35">
        <v>7.8354121145468554</v>
      </c>
      <c r="P1569" s="232">
        <v>-29.58</v>
      </c>
      <c r="Q1569" s="35">
        <v>1.0793703554783818E-2</v>
      </c>
      <c r="R1569" s="232">
        <v>1784.71</v>
      </c>
      <c r="S1569" s="35">
        <v>0.2894290406559854</v>
      </c>
      <c r="T1569" s="232">
        <v>26344.83</v>
      </c>
      <c r="U1569" s="35">
        <v>1.0888336490949424</v>
      </c>
      <c r="W1569" s="35">
        <f t="shared" si="151"/>
        <v>569.2651777391909</v>
      </c>
      <c r="X1569" s="35">
        <f t="shared" si="152"/>
        <v>12686.74203279927</v>
      </c>
      <c r="Y1569" s="35">
        <f t="shared" si="153"/>
        <v>28096.852454747117</v>
      </c>
      <c r="Z1569" s="35">
        <f t="shared" si="154"/>
        <v>0</v>
      </c>
      <c r="AA1569" s="35">
        <f t="shared" si="155"/>
        <v>0</v>
      </c>
      <c r="AB1569" s="35">
        <f t="shared" si="156"/>
        <v>1</v>
      </c>
    </row>
    <row r="1570" spans="1:28">
      <c r="A1570" s="35">
        <v>1559</v>
      </c>
      <c r="B1570" s="35">
        <v>5.5733810271396678E-4</v>
      </c>
      <c r="C1570" s="232">
        <v>67.11</v>
      </c>
      <c r="D1570" s="35">
        <v>5.0663917203416453</v>
      </c>
      <c r="E1570" s="232">
        <v>42.25</v>
      </c>
      <c r="F1570" s="35">
        <v>5.0542904726420428</v>
      </c>
      <c r="G1570" s="232">
        <v>9192.19</v>
      </c>
      <c r="H1570" s="35">
        <v>8.5107351407029732</v>
      </c>
      <c r="I1570" s="232">
        <v>10308.450000000001</v>
      </c>
      <c r="J1570" s="35">
        <v>7.1163600776808993</v>
      </c>
      <c r="K1570" s="232">
        <v>11613.42</v>
      </c>
      <c r="L1570" s="35">
        <v>8.7603703865787761</v>
      </c>
      <c r="M1570" s="232">
        <v>37563.25</v>
      </c>
      <c r="N1570" s="35">
        <v>7.7034795031576451</v>
      </c>
      <c r="P1570" s="232">
        <v>-24.86</v>
      </c>
      <c r="Q1570" s="35">
        <v>1.2101247699602524E-2</v>
      </c>
      <c r="R1570" s="232">
        <v>1116.27</v>
      </c>
      <c r="S1570" s="35">
        <v>1.3943750630220739</v>
      </c>
      <c r="T1570" s="232">
        <v>25949.83</v>
      </c>
      <c r="U1570" s="35">
        <v>1.056890883421131</v>
      </c>
      <c r="W1570" s="35">
        <f t="shared" si="151"/>
        <v>629.92238498012625</v>
      </c>
      <c r="X1570" s="35">
        <f t="shared" si="152"/>
        <v>68602.48315110369</v>
      </c>
      <c r="Y1570" s="35">
        <f t="shared" si="153"/>
        <v>26894.714171056548</v>
      </c>
      <c r="Z1570" s="35">
        <f t="shared" si="154"/>
        <v>0</v>
      </c>
      <c r="AA1570" s="35">
        <f t="shared" si="155"/>
        <v>1</v>
      </c>
      <c r="AB1570" s="35">
        <f t="shared" si="156"/>
        <v>0</v>
      </c>
    </row>
    <row r="1571" spans="1:28">
      <c r="A1571" s="35">
        <v>1560</v>
      </c>
      <c r="B1571" s="35">
        <v>4.5467628783801839E-4</v>
      </c>
      <c r="C1571" s="232">
        <v>74.11</v>
      </c>
      <c r="D1571" s="35">
        <v>5.0626526965005185</v>
      </c>
      <c r="E1571" s="232">
        <v>44.08</v>
      </c>
      <c r="F1571" s="35">
        <v>5.0514079895195767</v>
      </c>
      <c r="G1571" s="232">
        <v>12149.69</v>
      </c>
      <c r="H1571" s="35">
        <v>8.8636802421519736</v>
      </c>
      <c r="I1571" s="232">
        <v>13257.11</v>
      </c>
      <c r="J1571" s="35">
        <v>8.1054464154970933</v>
      </c>
      <c r="K1571" s="232">
        <v>16887.29</v>
      </c>
      <c r="L1571" s="35">
        <v>8.9983500306405322</v>
      </c>
      <c r="M1571" s="232">
        <v>43062.15</v>
      </c>
      <c r="N1571" s="35">
        <v>7.8838201679659754</v>
      </c>
      <c r="P1571" s="232">
        <v>-30.03</v>
      </c>
      <c r="Q1571" s="35">
        <v>1.1244706980941821E-2</v>
      </c>
      <c r="R1571" s="232">
        <v>1107.43</v>
      </c>
      <c r="S1571" s="35">
        <v>0.75823382665488026</v>
      </c>
      <c r="T1571" s="232">
        <v>26174.86</v>
      </c>
      <c r="U1571" s="35">
        <v>1.1145298626745568</v>
      </c>
      <c r="W1571" s="35">
        <f t="shared" si="151"/>
        <v>592.26534904709104</v>
      </c>
      <c r="X1571" s="35">
        <f t="shared" si="152"/>
        <v>36804.261332744012</v>
      </c>
      <c r="Y1571" s="35">
        <f t="shared" si="153"/>
        <v>29551.633133727839</v>
      </c>
      <c r="Z1571" s="35">
        <f t="shared" si="154"/>
        <v>0</v>
      </c>
      <c r="AA1571" s="35">
        <f t="shared" si="155"/>
        <v>1</v>
      </c>
      <c r="AB1571" s="35">
        <f t="shared" si="156"/>
        <v>0</v>
      </c>
    </row>
    <row r="1572" spans="1:28">
      <c r="A1572" s="35">
        <v>1561</v>
      </c>
      <c r="B1572" s="35">
        <v>5.2438144695665656E-4</v>
      </c>
      <c r="C1572" s="232">
        <v>54.4</v>
      </c>
      <c r="D1572" s="35">
        <v>5.0647427699124465</v>
      </c>
      <c r="E1572" s="232">
        <v>34.840000000000003</v>
      </c>
      <c r="F1572" s="35">
        <v>5.0532930088251531</v>
      </c>
      <c r="G1572" s="232">
        <v>8162.42</v>
      </c>
      <c r="H1572" s="35">
        <v>8.6688391012468013</v>
      </c>
      <c r="I1572" s="232">
        <v>10203.31</v>
      </c>
      <c r="J1572" s="35">
        <v>7.9835238865324074</v>
      </c>
      <c r="K1572" s="232">
        <v>8002.05</v>
      </c>
      <c r="L1572" s="35">
        <v>8.6167607730289291</v>
      </c>
      <c r="M1572" s="232">
        <v>33778.230000000003</v>
      </c>
      <c r="N1572" s="35">
        <v>7.6042058711360125</v>
      </c>
      <c r="P1572" s="232">
        <v>-19.559999999999999</v>
      </c>
      <c r="Q1572" s="35">
        <v>1.1449761087293453E-2</v>
      </c>
      <c r="R1572" s="232">
        <v>2040.89</v>
      </c>
      <c r="S1572" s="35">
        <v>0.68531521471439394</v>
      </c>
      <c r="T1572" s="232">
        <v>25776.18</v>
      </c>
      <c r="U1572" s="35">
        <v>1.0125549018929165</v>
      </c>
      <c r="W1572" s="35">
        <f t="shared" si="151"/>
        <v>592.04805436467257</v>
      </c>
      <c r="X1572" s="35">
        <f t="shared" si="152"/>
        <v>32224.870735719698</v>
      </c>
      <c r="Y1572" s="35">
        <f t="shared" si="153"/>
        <v>24851.565094645826</v>
      </c>
      <c r="Z1572" s="35">
        <f t="shared" si="154"/>
        <v>0</v>
      </c>
      <c r="AA1572" s="35">
        <f t="shared" si="155"/>
        <v>1</v>
      </c>
      <c r="AB1572" s="35">
        <f t="shared" si="156"/>
        <v>0</v>
      </c>
    </row>
    <row r="1573" spans="1:28">
      <c r="A1573" s="35">
        <v>1562</v>
      </c>
      <c r="B1573" s="35">
        <v>4.2519471442508739E-4</v>
      </c>
      <c r="C1573" s="232">
        <v>54.17</v>
      </c>
      <c r="D1573" s="35">
        <v>5.0610367285332281</v>
      </c>
      <c r="E1573" s="232">
        <v>33.94</v>
      </c>
      <c r="F1573" s="35">
        <v>5.050841968999201</v>
      </c>
      <c r="G1573" s="232">
        <v>9477.89</v>
      </c>
      <c r="H1573" s="35">
        <v>8.9275668622561586</v>
      </c>
      <c r="I1573" s="232">
        <v>10233.379999999999</v>
      </c>
      <c r="J1573" s="35">
        <v>7.7171114215028425</v>
      </c>
      <c r="K1573" s="232">
        <v>13300.23</v>
      </c>
      <c r="L1573" s="35">
        <v>8.8831570200881877</v>
      </c>
      <c r="M1573" s="232">
        <v>39328.65</v>
      </c>
      <c r="N1573" s="35">
        <v>7.7846404482363631</v>
      </c>
      <c r="P1573" s="232">
        <v>-20.23</v>
      </c>
      <c r="Q1573" s="35">
        <v>1.0194759534027042E-2</v>
      </c>
      <c r="R1573" s="232">
        <v>755.49</v>
      </c>
      <c r="S1573" s="35">
        <v>1.2104554407533161</v>
      </c>
      <c r="T1573" s="232">
        <v>26028.42</v>
      </c>
      <c r="U1573" s="35">
        <v>1.0985165718518246</v>
      </c>
      <c r="W1573" s="35">
        <f t="shared" si="151"/>
        <v>529.96797670135209</v>
      </c>
      <c r="X1573" s="35">
        <f t="shared" si="152"/>
        <v>59767.282037665806</v>
      </c>
      <c r="Y1573" s="35">
        <f t="shared" si="153"/>
        <v>28897.40859259123</v>
      </c>
      <c r="Z1573" s="35">
        <f t="shared" si="154"/>
        <v>0</v>
      </c>
      <c r="AA1573" s="35">
        <f t="shared" si="155"/>
        <v>1</v>
      </c>
      <c r="AB1573" s="35">
        <f t="shared" si="156"/>
        <v>0</v>
      </c>
    </row>
    <row r="1574" spans="1:28">
      <c r="A1574" s="35">
        <v>1563</v>
      </c>
      <c r="B1574" s="35">
        <v>3.7404986912496606E-4</v>
      </c>
      <c r="C1574" s="232">
        <v>56.75</v>
      </c>
      <c r="D1574" s="35">
        <v>5.0577840821373998</v>
      </c>
      <c r="E1574" s="232">
        <v>33.32</v>
      </c>
      <c r="F1574" s="35">
        <v>5.0483008971535819</v>
      </c>
      <c r="G1574" s="232">
        <v>11944.86</v>
      </c>
      <c r="H1574" s="35">
        <v>8.954729057196456</v>
      </c>
      <c r="I1574" s="232">
        <v>13198.07</v>
      </c>
      <c r="J1574" s="35">
        <v>7.9820603704454065</v>
      </c>
      <c r="K1574" s="232">
        <v>14858.44</v>
      </c>
      <c r="L1574" s="35">
        <v>8.5720872538346686</v>
      </c>
      <c r="M1574" s="232">
        <v>40879.47</v>
      </c>
      <c r="N1574" s="35">
        <v>7.434970161301778</v>
      </c>
      <c r="P1574" s="232">
        <v>-23.43</v>
      </c>
      <c r="Q1574" s="35">
        <v>9.4831849838179494E-3</v>
      </c>
      <c r="R1574" s="232">
        <v>1253.21</v>
      </c>
      <c r="S1574" s="35">
        <v>0.97266868675104945</v>
      </c>
      <c r="T1574" s="232">
        <v>26021.02</v>
      </c>
      <c r="U1574" s="35">
        <v>1.1371170925328906</v>
      </c>
      <c r="W1574" s="35">
        <f t="shared" si="151"/>
        <v>497.58924919089748</v>
      </c>
      <c r="X1574" s="35">
        <f t="shared" si="152"/>
        <v>47380.22433755247</v>
      </c>
      <c r="Y1574" s="35">
        <f t="shared" si="153"/>
        <v>30834.834626644533</v>
      </c>
      <c r="Z1574" s="35">
        <f t="shared" si="154"/>
        <v>0</v>
      </c>
      <c r="AA1574" s="35">
        <f t="shared" si="155"/>
        <v>1</v>
      </c>
      <c r="AB1574" s="35">
        <f t="shared" si="156"/>
        <v>0</v>
      </c>
    </row>
    <row r="1575" spans="1:28">
      <c r="A1575" s="35">
        <v>1564</v>
      </c>
      <c r="B1575" s="35">
        <v>4.3697696037698486E-4</v>
      </c>
      <c r="C1575" s="232">
        <v>63.64</v>
      </c>
      <c r="D1575" s="35">
        <v>5.0595482814268999</v>
      </c>
      <c r="E1575" s="232">
        <v>35.96</v>
      </c>
      <c r="F1575" s="35">
        <v>5.0488969741862153</v>
      </c>
      <c r="G1575" s="232">
        <v>11191.5</v>
      </c>
      <c r="H1575" s="35">
        <v>8.7067404686885244</v>
      </c>
      <c r="I1575" s="232">
        <v>12762.37</v>
      </c>
      <c r="J1575" s="35">
        <v>8.0642442981553621</v>
      </c>
      <c r="K1575" s="232">
        <v>13026.89</v>
      </c>
      <c r="L1575" s="35">
        <v>8.3291056526535368</v>
      </c>
      <c r="M1575" s="232">
        <v>38931.69</v>
      </c>
      <c r="N1575" s="35">
        <v>7.3982161997882603</v>
      </c>
      <c r="P1575" s="232">
        <v>-27.68</v>
      </c>
      <c r="Q1575" s="35">
        <v>1.0651307240684638E-2</v>
      </c>
      <c r="R1575" s="232">
        <v>1570.87</v>
      </c>
      <c r="S1575" s="35">
        <v>0.64249617053316221</v>
      </c>
      <c r="T1575" s="232">
        <v>25904.799999999999</v>
      </c>
      <c r="U1575" s="35">
        <v>0.93088945286527647</v>
      </c>
      <c r="W1575" s="35">
        <f t="shared" si="151"/>
        <v>560.24536203423179</v>
      </c>
      <c r="X1575" s="35">
        <f t="shared" si="152"/>
        <v>30553.938526658112</v>
      </c>
      <c r="Y1575" s="35">
        <f t="shared" si="153"/>
        <v>20639.672643263821</v>
      </c>
      <c r="Z1575" s="35">
        <f t="shared" si="154"/>
        <v>0</v>
      </c>
      <c r="AA1575" s="35">
        <f t="shared" si="155"/>
        <v>1</v>
      </c>
      <c r="AB1575" s="35">
        <f t="shared" si="156"/>
        <v>0</v>
      </c>
    </row>
    <row r="1576" spans="1:28">
      <c r="A1576" s="35">
        <v>1565</v>
      </c>
      <c r="B1576" s="35">
        <v>3.3417509323403484E-4</v>
      </c>
      <c r="C1576" s="232">
        <v>56.28</v>
      </c>
      <c r="D1576" s="35">
        <v>5.056308867038334</v>
      </c>
      <c r="E1576" s="232">
        <v>36.369999999999997</v>
      </c>
      <c r="F1576" s="35">
        <v>5.0486091595975005</v>
      </c>
      <c r="G1576" s="232">
        <v>12798.72</v>
      </c>
      <c r="H1576" s="35">
        <v>9.0412667367430686</v>
      </c>
      <c r="I1576" s="232">
        <v>11961.61</v>
      </c>
      <c r="J1576" s="35">
        <v>7.0951064336087439</v>
      </c>
      <c r="K1576" s="232">
        <v>18036.28</v>
      </c>
      <c r="L1576" s="35">
        <v>8.7836393286547452</v>
      </c>
      <c r="M1576" s="232">
        <v>44440.99</v>
      </c>
      <c r="N1576" s="35">
        <v>7.6647939061837</v>
      </c>
      <c r="P1576" s="232">
        <v>-19.899999999999999</v>
      </c>
      <c r="Q1576" s="35">
        <v>7.6997074408335919E-3</v>
      </c>
      <c r="R1576" s="232">
        <v>-837.11</v>
      </c>
      <c r="S1576" s="35">
        <v>1.9461603031343246</v>
      </c>
      <c r="T1576" s="232">
        <v>26404.720000000001</v>
      </c>
      <c r="U1576" s="35">
        <v>1.1188454224710451</v>
      </c>
      <c r="W1576" s="35">
        <f t="shared" si="151"/>
        <v>404.8853720416796</v>
      </c>
      <c r="X1576" s="35">
        <f t="shared" si="152"/>
        <v>98145.12515671624</v>
      </c>
      <c r="Y1576" s="35">
        <f t="shared" si="153"/>
        <v>29537.551123552257</v>
      </c>
      <c r="Z1576" s="35">
        <f t="shared" si="154"/>
        <v>0</v>
      </c>
      <c r="AA1576" s="35">
        <f t="shared" si="155"/>
        <v>1</v>
      </c>
      <c r="AB1576" s="35">
        <f t="shared" si="156"/>
        <v>0</v>
      </c>
    </row>
    <row r="1577" spans="1:28">
      <c r="A1577" s="35">
        <v>1566</v>
      </c>
      <c r="B1577" s="35">
        <v>3.954679435924012E-4</v>
      </c>
      <c r="C1577" s="232">
        <v>71.78</v>
      </c>
      <c r="D1577" s="35">
        <v>5.05894126044545</v>
      </c>
      <c r="E1577" s="232">
        <v>46.07</v>
      </c>
      <c r="F1577" s="35">
        <v>5.0503381784910744</v>
      </c>
      <c r="G1577" s="232">
        <v>13734.25</v>
      </c>
      <c r="H1577" s="35">
        <v>8.8754800742171689</v>
      </c>
      <c r="I1577" s="232">
        <v>13984.17</v>
      </c>
      <c r="J1577" s="35">
        <v>7.7807745061791973</v>
      </c>
      <c r="K1577" s="232">
        <v>20197.36</v>
      </c>
      <c r="L1577" s="35">
        <v>8.5131525673037078</v>
      </c>
      <c r="M1577" s="232">
        <v>46551.79</v>
      </c>
      <c r="N1577" s="35">
        <v>7.4397779320637145</v>
      </c>
      <c r="P1577" s="232">
        <v>-25.72</v>
      </c>
      <c r="Q1577" s="35">
        <v>8.6030819543756465E-3</v>
      </c>
      <c r="R1577" s="232">
        <v>249.92</v>
      </c>
      <c r="S1577" s="35">
        <v>1.0947055680379716</v>
      </c>
      <c r="T1577" s="232">
        <v>26354.43</v>
      </c>
      <c r="U1577" s="35">
        <v>1.0733746352399933</v>
      </c>
      <c r="W1577" s="35">
        <f t="shared" si="151"/>
        <v>455.87409771878231</v>
      </c>
      <c r="X1577" s="35">
        <f t="shared" si="152"/>
        <v>54485.358401898578</v>
      </c>
      <c r="Y1577" s="35">
        <f t="shared" si="153"/>
        <v>27314.301761999668</v>
      </c>
      <c r="Z1577" s="35">
        <f t="shared" si="154"/>
        <v>0</v>
      </c>
      <c r="AA1577" s="35">
        <f t="shared" si="155"/>
        <v>1</v>
      </c>
      <c r="AB1577" s="35">
        <f t="shared" si="156"/>
        <v>0</v>
      </c>
    </row>
    <row r="1578" spans="1:28">
      <c r="A1578" s="35">
        <v>1567</v>
      </c>
      <c r="B1578" s="35">
        <v>4.5392809354583008E-4</v>
      </c>
      <c r="C1578" s="232">
        <v>70.27</v>
      </c>
      <c r="D1578" s="35">
        <v>5.0639445686518725</v>
      </c>
      <c r="E1578" s="232">
        <v>45.01</v>
      </c>
      <c r="F1578" s="35">
        <v>5.0532325958068123</v>
      </c>
      <c r="G1578" s="232">
        <v>11485.9</v>
      </c>
      <c r="H1578" s="35">
        <v>9.2433631532523357</v>
      </c>
      <c r="I1578" s="232">
        <v>12390.23</v>
      </c>
      <c r="J1578" s="35">
        <v>8.185887594318098</v>
      </c>
      <c r="K1578" s="232">
        <v>14454.73</v>
      </c>
      <c r="L1578" s="35">
        <v>9.1112590006128613</v>
      </c>
      <c r="M1578" s="232">
        <v>40508.410000000003</v>
      </c>
      <c r="N1578" s="35">
        <v>8.0393036916376364</v>
      </c>
      <c r="P1578" s="232">
        <v>-25.26</v>
      </c>
      <c r="Q1578" s="35">
        <v>1.0711972845060203E-2</v>
      </c>
      <c r="R1578" s="232">
        <v>904.33</v>
      </c>
      <c r="S1578" s="35">
        <v>1.0574755589342377</v>
      </c>
      <c r="T1578" s="232">
        <v>26053.68</v>
      </c>
      <c r="U1578" s="35">
        <v>1.071955308975225</v>
      </c>
      <c r="W1578" s="35">
        <f t="shared" si="151"/>
        <v>560.85864225301009</v>
      </c>
      <c r="X1578" s="35">
        <f t="shared" si="152"/>
        <v>51969.447946711887</v>
      </c>
      <c r="Y1578" s="35">
        <f t="shared" si="153"/>
        <v>27544.085448761245</v>
      </c>
      <c r="Z1578" s="35">
        <f t="shared" si="154"/>
        <v>0</v>
      </c>
      <c r="AA1578" s="35">
        <f t="shared" si="155"/>
        <v>1</v>
      </c>
      <c r="AB1578" s="35">
        <f t="shared" si="156"/>
        <v>0</v>
      </c>
    </row>
    <row r="1579" spans="1:28">
      <c r="A1579" s="35">
        <v>1568</v>
      </c>
      <c r="B1579" s="35">
        <v>3.4641075040867358E-4</v>
      </c>
      <c r="C1579" s="232">
        <v>47.04</v>
      </c>
      <c r="D1579" s="35">
        <v>5.0559492668445776</v>
      </c>
      <c r="E1579" s="232">
        <v>30.16</v>
      </c>
      <c r="F1579" s="35">
        <v>5.0480749397454394</v>
      </c>
      <c r="G1579" s="232">
        <v>10901.64</v>
      </c>
      <c r="H1579" s="35">
        <v>8.740664069797015</v>
      </c>
      <c r="I1579" s="232">
        <v>12454.84</v>
      </c>
      <c r="J1579" s="35">
        <v>7.1648603314803143</v>
      </c>
      <c r="K1579" s="232">
        <v>11551.87</v>
      </c>
      <c r="L1579" s="35">
        <v>8.6397542547446964</v>
      </c>
      <c r="M1579" s="232">
        <v>37304.25</v>
      </c>
      <c r="N1579" s="35">
        <v>7.5605108062827453</v>
      </c>
      <c r="P1579" s="232">
        <v>-16.89</v>
      </c>
      <c r="Q1579" s="35">
        <v>7.8743270991381564E-3</v>
      </c>
      <c r="R1579" s="232">
        <v>1553.2</v>
      </c>
      <c r="S1579" s="35">
        <v>1.5758037383167007</v>
      </c>
      <c r="T1579" s="232">
        <v>25752.37</v>
      </c>
      <c r="U1579" s="35">
        <v>1.0792434484619511</v>
      </c>
      <c r="W1579" s="35">
        <f t="shared" si="151"/>
        <v>410.60635495690781</v>
      </c>
      <c r="X1579" s="35">
        <f t="shared" si="152"/>
        <v>77236.986915835034</v>
      </c>
      <c r="Y1579" s="35">
        <f t="shared" si="153"/>
        <v>28209.802423097553</v>
      </c>
      <c r="Z1579" s="35">
        <f t="shared" si="154"/>
        <v>0</v>
      </c>
      <c r="AA1579" s="35">
        <f t="shared" si="155"/>
        <v>1</v>
      </c>
      <c r="AB1579" s="35">
        <f t="shared" si="156"/>
        <v>0</v>
      </c>
    </row>
    <row r="1580" spans="1:28">
      <c r="A1580" s="35">
        <v>1569</v>
      </c>
      <c r="B1580" s="35">
        <v>2.8882594697700976E-4</v>
      </c>
      <c r="C1580" s="232">
        <v>46.81</v>
      </c>
      <c r="D1580" s="35">
        <v>5.0515886709400055</v>
      </c>
      <c r="E1580" s="232">
        <v>31.2</v>
      </c>
      <c r="F1580" s="35">
        <v>5.0459627477315951</v>
      </c>
      <c r="G1580" s="232">
        <v>12588.25</v>
      </c>
      <c r="H1580" s="35">
        <v>8.3082344830314749</v>
      </c>
      <c r="I1580" s="232">
        <v>13050.56</v>
      </c>
      <c r="J1580" s="35">
        <v>6.9253442041967324</v>
      </c>
      <c r="K1580" s="232">
        <v>17017.11</v>
      </c>
      <c r="L1580" s="35">
        <v>8.3127664036706026</v>
      </c>
      <c r="M1580" s="232">
        <v>43140.639999999999</v>
      </c>
      <c r="N1580" s="35">
        <v>7.3594052606713047</v>
      </c>
      <c r="P1580" s="232">
        <v>-15.61</v>
      </c>
      <c r="Q1580" s="35">
        <v>5.6259232084103772E-3</v>
      </c>
      <c r="R1580" s="232">
        <v>462.31</v>
      </c>
      <c r="S1580" s="35">
        <v>1.3828902788347426</v>
      </c>
      <c r="T1580" s="232">
        <v>26123.53</v>
      </c>
      <c r="U1580" s="35">
        <v>0.95336114299929786</v>
      </c>
      <c r="W1580" s="35">
        <f t="shared" si="151"/>
        <v>296.90616042051886</v>
      </c>
      <c r="X1580" s="35">
        <f t="shared" si="152"/>
        <v>68682.203941737127</v>
      </c>
      <c r="Y1580" s="35">
        <f t="shared" si="153"/>
        <v>21544.527149964895</v>
      </c>
      <c r="Z1580" s="35">
        <f t="shared" si="154"/>
        <v>0</v>
      </c>
      <c r="AA1580" s="35">
        <f t="shared" si="155"/>
        <v>1</v>
      </c>
      <c r="AB1580" s="35">
        <f t="shared" si="156"/>
        <v>0</v>
      </c>
    </row>
    <row r="1581" spans="1:28">
      <c r="A1581" s="35">
        <v>1570</v>
      </c>
      <c r="B1581" s="35">
        <v>5.1672071545383336E-4</v>
      </c>
      <c r="C1581" s="232">
        <v>67.650000000000006</v>
      </c>
      <c r="D1581" s="35">
        <v>5.0649076930277097</v>
      </c>
      <c r="E1581" s="232">
        <v>43.58</v>
      </c>
      <c r="F1581" s="35">
        <v>5.0538435498384331</v>
      </c>
      <c r="G1581" s="232">
        <v>10696.97</v>
      </c>
      <c r="H1581" s="35">
        <v>8.8780216790553848</v>
      </c>
      <c r="I1581" s="232">
        <v>12563.1</v>
      </c>
      <c r="J1581" s="35">
        <v>7.440168045211589</v>
      </c>
      <c r="K1581" s="232">
        <v>11150.23</v>
      </c>
      <c r="L1581" s="35">
        <v>8.3399948088729339</v>
      </c>
      <c r="M1581" s="232">
        <v>36996.94</v>
      </c>
      <c r="N1581" s="35">
        <v>7.3242898655879882</v>
      </c>
      <c r="P1581" s="232">
        <v>-24.07</v>
      </c>
      <c r="Q1581" s="35">
        <v>1.1064143189276621E-2</v>
      </c>
      <c r="R1581" s="232">
        <v>1866.13</v>
      </c>
      <c r="S1581" s="35">
        <v>1.4378536338437957</v>
      </c>
      <c r="T1581" s="232">
        <v>25846.7</v>
      </c>
      <c r="U1581" s="35">
        <v>1.0157049432849456</v>
      </c>
      <c r="W1581" s="35">
        <f t="shared" si="151"/>
        <v>577.27715946383103</v>
      </c>
      <c r="X1581" s="35">
        <f t="shared" si="152"/>
        <v>70026.55169218978</v>
      </c>
      <c r="Y1581" s="35">
        <f t="shared" si="153"/>
        <v>24938.54716424728</v>
      </c>
      <c r="Z1581" s="35">
        <f t="shared" si="154"/>
        <v>0</v>
      </c>
      <c r="AA1581" s="35">
        <f t="shared" si="155"/>
        <v>1</v>
      </c>
      <c r="AB1581" s="35">
        <f t="shared" si="156"/>
        <v>0</v>
      </c>
    </row>
    <row r="1582" spans="1:28">
      <c r="A1582" s="35">
        <v>1571</v>
      </c>
      <c r="B1582" s="35">
        <v>4.2184254316379922E-4</v>
      </c>
      <c r="C1582" s="232">
        <v>63.74</v>
      </c>
      <c r="D1582" s="35">
        <v>5.0616807432295117</v>
      </c>
      <c r="E1582" s="232">
        <v>38.94</v>
      </c>
      <c r="F1582" s="35">
        <v>5.0510695942661448</v>
      </c>
      <c r="G1582" s="232">
        <v>11725</v>
      </c>
      <c r="H1582" s="35">
        <v>9.3635399673007882</v>
      </c>
      <c r="I1582" s="232">
        <v>12065.63</v>
      </c>
      <c r="J1582" s="35">
        <v>7.6912037554770816</v>
      </c>
      <c r="K1582" s="232">
        <v>14571.07</v>
      </c>
      <c r="L1582" s="35">
        <v>8.6631880216794794</v>
      </c>
      <c r="M1582" s="232">
        <v>40705.839999999997</v>
      </c>
      <c r="N1582" s="35">
        <v>7.6380105161346084</v>
      </c>
      <c r="P1582" s="232">
        <v>-24.8</v>
      </c>
      <c r="Q1582" s="35">
        <v>1.0611148963366901E-2</v>
      </c>
      <c r="R1582" s="232">
        <v>340.64</v>
      </c>
      <c r="S1582" s="35">
        <v>1.6723362118237066</v>
      </c>
      <c r="T1582" s="232">
        <v>26134.77</v>
      </c>
      <c r="U1582" s="35">
        <v>1.0251775055448711</v>
      </c>
      <c r="W1582" s="35">
        <f t="shared" si="151"/>
        <v>555.35744816834494</v>
      </c>
      <c r="X1582" s="35">
        <f t="shared" si="152"/>
        <v>83276.170591185335</v>
      </c>
      <c r="Y1582" s="35">
        <f t="shared" si="153"/>
        <v>25124.105277243554</v>
      </c>
      <c r="Z1582" s="35">
        <f t="shared" si="154"/>
        <v>0</v>
      </c>
      <c r="AA1582" s="35">
        <f t="shared" si="155"/>
        <v>1</v>
      </c>
      <c r="AB1582" s="35">
        <f t="shared" si="156"/>
        <v>0</v>
      </c>
    </row>
    <row r="1583" spans="1:28">
      <c r="A1583" s="35">
        <v>1572</v>
      </c>
      <c r="B1583" s="35">
        <v>4.9664983592145884E-4</v>
      </c>
      <c r="C1583" s="232">
        <v>92.06</v>
      </c>
      <c r="D1583" s="35">
        <v>5.0645785450080245</v>
      </c>
      <c r="E1583" s="232">
        <v>61.03</v>
      </c>
      <c r="F1583" s="35">
        <v>5.0545304529792423</v>
      </c>
      <c r="G1583" s="232">
        <v>13751.54</v>
      </c>
      <c r="H1583" s="35">
        <v>8.7196997154179385</v>
      </c>
      <c r="I1583" s="232">
        <v>12934.7</v>
      </c>
      <c r="J1583" s="35">
        <v>6.9588417464519798</v>
      </c>
      <c r="K1583" s="232">
        <v>19753.560000000001</v>
      </c>
      <c r="L1583" s="35">
        <v>8.8462901628266071</v>
      </c>
      <c r="M1583" s="232">
        <v>45912.23</v>
      </c>
      <c r="N1583" s="35">
        <v>7.6800408741294888</v>
      </c>
      <c r="P1583" s="232">
        <v>-31.04</v>
      </c>
      <c r="Q1583" s="35">
        <v>1.0048092028782207E-2</v>
      </c>
      <c r="R1583" s="232">
        <v>-816.84</v>
      </c>
      <c r="S1583" s="35">
        <v>1.7608579689659587</v>
      </c>
      <c r="T1583" s="232">
        <v>26158.67</v>
      </c>
      <c r="U1583" s="35">
        <v>1.1662492886971183</v>
      </c>
      <c r="W1583" s="35">
        <f t="shared" si="151"/>
        <v>533.44460143911033</v>
      </c>
      <c r="X1583" s="35">
        <f t="shared" si="152"/>
        <v>88859.738448297925</v>
      </c>
      <c r="Y1583" s="35">
        <f t="shared" si="153"/>
        <v>32153.794434855918</v>
      </c>
      <c r="Z1583" s="35">
        <f t="shared" si="154"/>
        <v>0</v>
      </c>
      <c r="AA1583" s="35">
        <f t="shared" si="155"/>
        <v>1</v>
      </c>
      <c r="AB1583" s="35">
        <f t="shared" si="156"/>
        <v>0</v>
      </c>
    </row>
    <row r="1584" spans="1:28">
      <c r="A1584" s="35">
        <v>1573</v>
      </c>
      <c r="B1584" s="35">
        <v>5.4673455458320586E-4</v>
      </c>
      <c r="C1584" s="232">
        <v>59.56</v>
      </c>
      <c r="D1584" s="35">
        <v>5.0634532418589746</v>
      </c>
      <c r="E1584" s="232">
        <v>33.68</v>
      </c>
      <c r="F1584" s="35">
        <v>5.0507872240915583</v>
      </c>
      <c r="G1584" s="232">
        <v>9002.08</v>
      </c>
      <c r="H1584" s="35">
        <v>8.3033866011985484</v>
      </c>
      <c r="I1584" s="232">
        <v>10966.83</v>
      </c>
      <c r="J1584" s="35">
        <v>6.8513098529118066</v>
      </c>
      <c r="K1584" s="232">
        <v>9050.73</v>
      </c>
      <c r="L1584" s="35">
        <v>8.2139426046682971</v>
      </c>
      <c r="M1584" s="232">
        <v>34820.26</v>
      </c>
      <c r="N1584" s="35">
        <v>7.1769822816276951</v>
      </c>
      <c r="P1584" s="232">
        <v>-25.88</v>
      </c>
      <c r="Q1584" s="35">
        <v>1.2666017767416271E-2</v>
      </c>
      <c r="R1584" s="232">
        <v>1964.76</v>
      </c>
      <c r="S1584" s="35">
        <v>1.4520767482867418</v>
      </c>
      <c r="T1584" s="232">
        <v>25769.53</v>
      </c>
      <c r="U1584" s="35">
        <v>1.0369603230406019</v>
      </c>
      <c r="W1584" s="35">
        <f t="shared" si="151"/>
        <v>659.18088837081359</v>
      </c>
      <c r="X1584" s="35">
        <f t="shared" si="152"/>
        <v>70639.077414337095</v>
      </c>
      <c r="Y1584" s="35">
        <f t="shared" si="153"/>
        <v>26078.486152030098</v>
      </c>
      <c r="Z1584" s="35">
        <f t="shared" si="154"/>
        <v>0</v>
      </c>
      <c r="AA1584" s="35">
        <f t="shared" si="155"/>
        <v>1</v>
      </c>
      <c r="AB1584" s="35">
        <f t="shared" si="156"/>
        <v>0</v>
      </c>
    </row>
    <row r="1585" spans="1:28">
      <c r="A1585" s="35">
        <v>1574</v>
      </c>
      <c r="B1585" s="35">
        <v>4.7189608541686745E-4</v>
      </c>
      <c r="C1585" s="232">
        <v>71.34</v>
      </c>
      <c r="D1585" s="35">
        <v>5.0642579918328856</v>
      </c>
      <c r="E1585" s="232">
        <v>42.32</v>
      </c>
      <c r="F1585" s="35">
        <v>5.0521919840672318</v>
      </c>
      <c r="G1585" s="232">
        <v>11593.86</v>
      </c>
      <c r="H1585" s="35">
        <v>9.2593664039604935</v>
      </c>
      <c r="I1585" s="232">
        <v>13342.27</v>
      </c>
      <c r="J1585" s="35">
        <v>8.7841881272684379</v>
      </c>
      <c r="K1585" s="232">
        <v>13677.46</v>
      </c>
      <c r="L1585" s="35">
        <v>8.6809823456182187</v>
      </c>
      <c r="M1585" s="232">
        <v>39642.54</v>
      </c>
      <c r="N1585" s="35">
        <v>7.5659423571880051</v>
      </c>
      <c r="P1585" s="232">
        <v>-29.02</v>
      </c>
      <c r="Q1585" s="35">
        <v>1.2066007765653808E-2</v>
      </c>
      <c r="R1585" s="232">
        <v>1748.41</v>
      </c>
      <c r="S1585" s="35">
        <v>0.47517827669205559</v>
      </c>
      <c r="T1585" s="232">
        <v>25965.08</v>
      </c>
      <c r="U1585" s="35">
        <v>1.1150399884302136</v>
      </c>
      <c r="W1585" s="35">
        <f t="shared" si="151"/>
        <v>632.32038828269037</v>
      </c>
      <c r="X1585" s="35">
        <f t="shared" si="152"/>
        <v>22010.50383460278</v>
      </c>
      <c r="Y1585" s="35">
        <f t="shared" si="153"/>
        <v>29786.919421510676</v>
      </c>
      <c r="Z1585" s="35">
        <f t="shared" si="154"/>
        <v>0</v>
      </c>
      <c r="AA1585" s="35">
        <f t="shared" si="155"/>
        <v>0</v>
      </c>
      <c r="AB1585" s="35">
        <f t="shared" si="156"/>
        <v>1</v>
      </c>
    </row>
    <row r="1586" spans="1:28">
      <c r="A1586" s="35">
        <v>1575</v>
      </c>
      <c r="B1586" s="35">
        <v>3.7069041612667285E-4</v>
      </c>
      <c r="C1586" s="232">
        <v>57.56</v>
      </c>
      <c r="D1586" s="35">
        <v>5.0582792032877446</v>
      </c>
      <c r="E1586" s="232">
        <v>34.54</v>
      </c>
      <c r="F1586" s="35">
        <v>5.0488417603880826</v>
      </c>
      <c r="G1586" s="232">
        <v>11972.95</v>
      </c>
      <c r="H1586" s="35">
        <v>9.2532469264043851</v>
      </c>
      <c r="I1586" s="232">
        <v>13663.08</v>
      </c>
      <c r="J1586" s="35">
        <v>8.684900992788199</v>
      </c>
      <c r="K1586" s="232">
        <v>13525.3</v>
      </c>
      <c r="L1586" s="35">
        <v>8.6090608989624258</v>
      </c>
      <c r="M1586" s="232">
        <v>39596.629999999997</v>
      </c>
      <c r="N1586" s="35">
        <v>7.6009208807050657</v>
      </c>
      <c r="P1586" s="232">
        <v>-23.02</v>
      </c>
      <c r="Q1586" s="35">
        <v>9.4374428996619741E-3</v>
      </c>
      <c r="R1586" s="232">
        <v>1690.14</v>
      </c>
      <c r="S1586" s="35">
        <v>0.56834593361618602</v>
      </c>
      <c r="T1586" s="232">
        <v>26071.33</v>
      </c>
      <c r="U1586" s="35">
        <v>1.0081400182573601</v>
      </c>
      <c r="W1586" s="35">
        <f t="shared" si="151"/>
        <v>494.89214498309866</v>
      </c>
      <c r="X1586" s="35">
        <f t="shared" si="152"/>
        <v>26727.156680809301</v>
      </c>
      <c r="Y1586" s="35">
        <f t="shared" si="153"/>
        <v>24335.670912868001</v>
      </c>
      <c r="Z1586" s="35">
        <f t="shared" si="154"/>
        <v>0</v>
      </c>
      <c r="AA1586" s="35">
        <f t="shared" si="155"/>
        <v>1</v>
      </c>
      <c r="AB1586" s="35">
        <f t="shared" si="156"/>
        <v>0</v>
      </c>
    </row>
    <row r="1587" spans="1:28">
      <c r="A1587" s="35">
        <v>1576</v>
      </c>
      <c r="B1587" s="35">
        <v>2.8116845636707785E-4</v>
      </c>
      <c r="C1587" s="232">
        <v>33.56</v>
      </c>
      <c r="D1587" s="35">
        <v>5.0523376018607324</v>
      </c>
      <c r="E1587" s="232">
        <v>20.97</v>
      </c>
      <c r="F1587" s="35">
        <v>5.0453587398827677</v>
      </c>
      <c r="G1587" s="232">
        <v>8763.02</v>
      </c>
      <c r="H1587" s="35">
        <v>8.817263013427171</v>
      </c>
      <c r="I1587" s="232">
        <v>10085.51</v>
      </c>
      <c r="J1587" s="35">
        <v>8.0263254525439898</v>
      </c>
      <c r="K1587" s="232">
        <v>11075.79</v>
      </c>
      <c r="L1587" s="35">
        <v>8.3133371703022547</v>
      </c>
      <c r="M1587" s="232">
        <v>37013.78</v>
      </c>
      <c r="N1587" s="35">
        <v>7.1974988761144374</v>
      </c>
      <c r="P1587" s="232">
        <v>-12.59</v>
      </c>
      <c r="Q1587" s="35">
        <v>6.9788619779647121E-3</v>
      </c>
      <c r="R1587" s="232">
        <v>1322.49</v>
      </c>
      <c r="S1587" s="35">
        <v>0.79093756088318123</v>
      </c>
      <c r="T1587" s="232">
        <v>25937.99</v>
      </c>
      <c r="U1587" s="35">
        <v>1.1158382941878173</v>
      </c>
      <c r="W1587" s="35">
        <f t="shared" si="151"/>
        <v>361.53309889823555</v>
      </c>
      <c r="X1587" s="35">
        <f t="shared" si="152"/>
        <v>38224.388044159066</v>
      </c>
      <c r="Y1587" s="35">
        <f t="shared" si="153"/>
        <v>29853.924709390867</v>
      </c>
      <c r="Z1587" s="35">
        <f t="shared" si="154"/>
        <v>0</v>
      </c>
      <c r="AA1587" s="35">
        <f t="shared" si="155"/>
        <v>1</v>
      </c>
      <c r="AB1587" s="35">
        <f t="shared" si="156"/>
        <v>0</v>
      </c>
    </row>
    <row r="1588" spans="1:28">
      <c r="A1588" s="35">
        <v>1577</v>
      </c>
      <c r="B1588" s="35">
        <v>3.8573682580436258E-4</v>
      </c>
      <c r="C1588" s="232">
        <v>46.5</v>
      </c>
      <c r="D1588" s="35">
        <v>5.0599866105803946</v>
      </c>
      <c r="E1588" s="232">
        <v>29.49</v>
      </c>
      <c r="F1588" s="35">
        <v>5.0501751045995018</v>
      </c>
      <c r="G1588" s="232">
        <v>9409.67</v>
      </c>
      <c r="H1588" s="35">
        <v>9.2320762816529331</v>
      </c>
      <c r="I1588" s="232">
        <v>10767.38</v>
      </c>
      <c r="J1588" s="35">
        <v>7.5645481572744453</v>
      </c>
      <c r="K1588" s="232">
        <v>10108.24</v>
      </c>
      <c r="L1588" s="35">
        <v>9.0999474974269763</v>
      </c>
      <c r="M1588" s="232">
        <v>35958.89</v>
      </c>
      <c r="N1588" s="35">
        <v>8.1032519662935556</v>
      </c>
      <c r="P1588" s="232">
        <v>-17.02</v>
      </c>
      <c r="Q1588" s="35">
        <v>9.8115059808927541E-3</v>
      </c>
      <c r="R1588" s="232">
        <v>1357.7</v>
      </c>
      <c r="S1588" s="35">
        <v>1.6675281243784879</v>
      </c>
      <c r="T1588" s="232">
        <v>25850.65</v>
      </c>
      <c r="U1588" s="35">
        <v>0.99669553113342069</v>
      </c>
      <c r="W1588" s="35">
        <f t="shared" si="151"/>
        <v>507.59529904463767</v>
      </c>
      <c r="X1588" s="35">
        <f t="shared" si="152"/>
        <v>82018.706218924402</v>
      </c>
      <c r="Y1588" s="35">
        <f t="shared" si="153"/>
        <v>23984.126556671035</v>
      </c>
      <c r="Z1588" s="35">
        <f t="shared" si="154"/>
        <v>0</v>
      </c>
      <c r="AA1588" s="35">
        <f t="shared" si="155"/>
        <v>1</v>
      </c>
      <c r="AB1588" s="35">
        <f t="shared" si="156"/>
        <v>0</v>
      </c>
    </row>
    <row r="1589" spans="1:28">
      <c r="A1589" s="35">
        <v>1578</v>
      </c>
      <c r="B1589" s="35">
        <v>4.0426880653450829E-4</v>
      </c>
      <c r="C1589" s="232">
        <v>52.49</v>
      </c>
      <c r="D1589" s="35">
        <v>5.0586086578948564</v>
      </c>
      <c r="E1589" s="232">
        <v>30.67</v>
      </c>
      <c r="F1589" s="35">
        <v>5.0485654323940947</v>
      </c>
      <c r="G1589" s="232">
        <v>10653.73</v>
      </c>
      <c r="H1589" s="35">
        <v>8.9100453907026367</v>
      </c>
      <c r="I1589" s="232">
        <v>12052.92</v>
      </c>
      <c r="J1589" s="35">
        <v>7.5301224675554739</v>
      </c>
      <c r="K1589" s="232">
        <v>12507.43</v>
      </c>
      <c r="L1589" s="35">
        <v>8.3514023561252007</v>
      </c>
      <c r="M1589" s="232">
        <v>38491.49</v>
      </c>
      <c r="N1589" s="35">
        <v>7.3591589988720836</v>
      </c>
      <c r="P1589" s="232">
        <v>-21.82</v>
      </c>
      <c r="Q1589" s="35">
        <v>1.0043225500761643E-2</v>
      </c>
      <c r="R1589" s="232">
        <v>1399.2</v>
      </c>
      <c r="S1589" s="35">
        <v>1.3799229231471628</v>
      </c>
      <c r="T1589" s="232">
        <v>25984.06</v>
      </c>
      <c r="U1589" s="35">
        <v>0.99224335725311708</v>
      </c>
      <c r="W1589" s="35">
        <f t="shared" si="151"/>
        <v>523.98127503808223</v>
      </c>
      <c r="X1589" s="35">
        <f t="shared" si="152"/>
        <v>67596.94615735815</v>
      </c>
      <c r="Y1589" s="35">
        <f t="shared" si="153"/>
        <v>23628.107862655856</v>
      </c>
      <c r="Z1589" s="35">
        <f t="shared" si="154"/>
        <v>0</v>
      </c>
      <c r="AA1589" s="35">
        <f t="shared" si="155"/>
        <v>1</v>
      </c>
      <c r="AB1589" s="35">
        <f t="shared" si="156"/>
        <v>0</v>
      </c>
    </row>
    <row r="1590" spans="1:28">
      <c r="A1590" s="35">
        <v>1579</v>
      </c>
      <c r="B1590" s="35">
        <v>6.3657422933593999E-4</v>
      </c>
      <c r="C1590" s="232">
        <v>100.36</v>
      </c>
      <c r="D1590" s="35">
        <v>5.0748021106618104</v>
      </c>
      <c r="E1590" s="232">
        <v>54.47</v>
      </c>
      <c r="F1590" s="35">
        <v>5.0565900153246197</v>
      </c>
      <c r="G1590" s="232">
        <v>13387.24</v>
      </c>
      <c r="H1590" s="35">
        <v>9.3167921156358471</v>
      </c>
      <c r="I1590" s="232">
        <v>15342.07</v>
      </c>
      <c r="J1590" s="35">
        <v>8.1752344072257657</v>
      </c>
      <c r="K1590" s="232">
        <v>14736.28</v>
      </c>
      <c r="L1590" s="35">
        <v>9.3100474910322095</v>
      </c>
      <c r="M1590" s="232">
        <v>40718.129999999997</v>
      </c>
      <c r="N1590" s="35">
        <v>8.2591797094405948</v>
      </c>
      <c r="P1590" s="232">
        <v>-45.89</v>
      </c>
      <c r="Q1590" s="35">
        <v>1.8212095337190704E-2</v>
      </c>
      <c r="R1590" s="232">
        <v>1954.83</v>
      </c>
      <c r="S1590" s="35">
        <v>1.1415577084100814</v>
      </c>
      <c r="T1590" s="232">
        <v>25981.85</v>
      </c>
      <c r="U1590" s="35">
        <v>1.0508677815916148</v>
      </c>
      <c r="W1590" s="35">
        <f t="shared" si="151"/>
        <v>956.49476685953516</v>
      </c>
      <c r="X1590" s="35">
        <f t="shared" si="152"/>
        <v>55123.055420504068</v>
      </c>
      <c r="Y1590" s="35">
        <f t="shared" si="153"/>
        <v>26561.53907958074</v>
      </c>
      <c r="Z1590" s="35">
        <f t="shared" si="154"/>
        <v>0</v>
      </c>
      <c r="AA1590" s="35">
        <f t="shared" si="155"/>
        <v>1</v>
      </c>
      <c r="AB1590" s="35">
        <f t="shared" si="156"/>
        <v>0</v>
      </c>
    </row>
    <row r="1591" spans="1:28">
      <c r="A1591" s="35">
        <v>1580</v>
      </c>
      <c r="B1591" s="35">
        <v>5.3158447381951301E-4</v>
      </c>
      <c r="C1591" s="232">
        <v>55.95</v>
      </c>
      <c r="D1591" s="35">
        <v>5.0654326515089947</v>
      </c>
      <c r="E1591" s="232">
        <v>34.47</v>
      </c>
      <c r="F1591" s="35">
        <v>5.0530697211025686</v>
      </c>
      <c r="G1591" s="232">
        <v>8728.48</v>
      </c>
      <c r="H1591" s="35">
        <v>8.7053163033181598</v>
      </c>
      <c r="I1591" s="232">
        <v>10858.56</v>
      </c>
      <c r="J1591" s="35">
        <v>7.9541136613851053</v>
      </c>
      <c r="K1591" s="232">
        <v>9035.6200000000008</v>
      </c>
      <c r="L1591" s="35">
        <v>8.6244246440889807</v>
      </c>
      <c r="M1591" s="232">
        <v>34982.69</v>
      </c>
      <c r="N1591" s="35">
        <v>7.4681328945492842</v>
      </c>
      <c r="P1591" s="232">
        <v>-21.48</v>
      </c>
      <c r="Q1591" s="35">
        <v>1.2362930406426109E-2</v>
      </c>
      <c r="R1591" s="232">
        <v>2130.08</v>
      </c>
      <c r="S1591" s="35">
        <v>0.75120264193305442</v>
      </c>
      <c r="T1591" s="232">
        <v>25947.07</v>
      </c>
      <c r="U1591" s="35">
        <v>1.1562917495396965</v>
      </c>
      <c r="W1591" s="35">
        <f t="shared" si="151"/>
        <v>639.62652032130552</v>
      </c>
      <c r="X1591" s="35">
        <f t="shared" si="152"/>
        <v>35430.052096652718</v>
      </c>
      <c r="Y1591" s="35">
        <f t="shared" si="153"/>
        <v>31867.517476984824</v>
      </c>
      <c r="Z1591" s="35">
        <f t="shared" si="154"/>
        <v>0</v>
      </c>
      <c r="AA1591" s="35">
        <f t="shared" si="155"/>
        <v>1</v>
      </c>
      <c r="AB1591" s="35">
        <f t="shared" si="156"/>
        <v>0</v>
      </c>
    </row>
    <row r="1592" spans="1:28">
      <c r="A1592" s="35">
        <v>1581</v>
      </c>
      <c r="B1592" s="35">
        <v>5.6178630441228172E-4</v>
      </c>
      <c r="C1592" s="232">
        <v>96.94</v>
      </c>
      <c r="D1592" s="35">
        <v>5.0694006603521489</v>
      </c>
      <c r="E1592" s="232">
        <v>62.03</v>
      </c>
      <c r="F1592" s="35">
        <v>5.056874415394681</v>
      </c>
      <c r="G1592" s="232">
        <v>13094.29</v>
      </c>
      <c r="H1592" s="35">
        <v>9.2814681708639952</v>
      </c>
      <c r="I1592" s="232">
        <v>14009</v>
      </c>
      <c r="J1592" s="35">
        <v>8.4416660291902499</v>
      </c>
      <c r="K1592" s="232">
        <v>17228.2</v>
      </c>
      <c r="L1592" s="35">
        <v>8.6310722066209102</v>
      </c>
      <c r="M1592" s="232">
        <v>43424.03</v>
      </c>
      <c r="N1592" s="35">
        <v>7.5237957138129934</v>
      </c>
      <c r="P1592" s="232">
        <v>-34.909999999999997</v>
      </c>
      <c r="Q1592" s="35">
        <v>1.2526244957467902E-2</v>
      </c>
      <c r="R1592" s="232">
        <v>914.71</v>
      </c>
      <c r="S1592" s="35">
        <v>0.83980214167374534</v>
      </c>
      <c r="T1592" s="232">
        <v>26195.83</v>
      </c>
      <c r="U1592" s="35">
        <v>1.1072764928079168</v>
      </c>
      <c r="W1592" s="35">
        <f t="shared" si="151"/>
        <v>661.22224787339508</v>
      </c>
      <c r="X1592" s="35">
        <f t="shared" si="152"/>
        <v>41075.397083687269</v>
      </c>
      <c r="Y1592" s="35">
        <f t="shared" si="153"/>
        <v>29167.994640395838</v>
      </c>
      <c r="Z1592" s="35">
        <f t="shared" si="154"/>
        <v>0</v>
      </c>
      <c r="AA1592" s="35">
        <f t="shared" si="155"/>
        <v>1</v>
      </c>
      <c r="AB1592" s="35">
        <f t="shared" si="156"/>
        <v>0</v>
      </c>
    </row>
    <row r="1593" spans="1:28">
      <c r="A1593" s="35">
        <v>1582</v>
      </c>
      <c r="B1593" s="35">
        <v>4.6276368854292205E-4</v>
      </c>
      <c r="C1593" s="232">
        <v>65.17</v>
      </c>
      <c r="D1593" s="35">
        <v>5.0614667434478262</v>
      </c>
      <c r="E1593" s="232">
        <v>40.29</v>
      </c>
      <c r="F1593" s="35">
        <v>5.051154159524204</v>
      </c>
      <c r="G1593" s="232">
        <v>11509.88</v>
      </c>
      <c r="H1593" s="35">
        <v>8.5482384564778719</v>
      </c>
      <c r="I1593" s="232">
        <v>13286.92</v>
      </c>
      <c r="J1593" s="35">
        <v>7.0434558261580218</v>
      </c>
      <c r="K1593" s="232">
        <v>12364.81</v>
      </c>
      <c r="L1593" s="35">
        <v>8.6675079275288347</v>
      </c>
      <c r="M1593" s="232">
        <v>38395.26</v>
      </c>
      <c r="N1593" s="35">
        <v>7.5981930849577903</v>
      </c>
      <c r="P1593" s="232">
        <v>-24.88</v>
      </c>
      <c r="Q1593" s="35">
        <v>1.0312583923622221E-2</v>
      </c>
      <c r="R1593" s="232">
        <v>1777.04</v>
      </c>
      <c r="S1593" s="35">
        <v>1.5047826303198502</v>
      </c>
      <c r="T1593" s="232">
        <v>26030.45</v>
      </c>
      <c r="U1593" s="35">
        <v>1.0693148425710444</v>
      </c>
      <c r="W1593" s="35">
        <f t="shared" si="151"/>
        <v>540.50919618111107</v>
      </c>
      <c r="X1593" s="35">
        <f t="shared" si="152"/>
        <v>73462.091515992521</v>
      </c>
      <c r="Y1593" s="35">
        <f t="shared" si="153"/>
        <v>27435.292128552221</v>
      </c>
      <c r="Z1593" s="35">
        <f t="shared" si="154"/>
        <v>0</v>
      </c>
      <c r="AA1593" s="35">
        <f t="shared" si="155"/>
        <v>1</v>
      </c>
      <c r="AB1593" s="35">
        <f t="shared" si="156"/>
        <v>0</v>
      </c>
    </row>
    <row r="1594" spans="1:28">
      <c r="A1594" s="35">
        <v>1583</v>
      </c>
      <c r="B1594" s="35">
        <v>4.9526012925771301E-4</v>
      </c>
      <c r="C1594" s="232">
        <v>80.23</v>
      </c>
      <c r="D1594" s="35">
        <v>5.0633241511325791</v>
      </c>
      <c r="E1594" s="232">
        <v>46.93</v>
      </c>
      <c r="F1594" s="35">
        <v>5.0516203276466252</v>
      </c>
      <c r="G1594" s="232">
        <v>13172.82</v>
      </c>
      <c r="H1594" s="35">
        <v>8.9203982576678964</v>
      </c>
      <c r="I1594" s="232">
        <v>14496.66</v>
      </c>
      <c r="J1594" s="35">
        <v>7.6600159904145295</v>
      </c>
      <c r="K1594" s="232">
        <v>15393.31</v>
      </c>
      <c r="L1594" s="35">
        <v>8.2932729813227208</v>
      </c>
      <c r="M1594" s="232">
        <v>41562.81</v>
      </c>
      <c r="N1594" s="35">
        <v>7.269577184228055</v>
      </c>
      <c r="P1594" s="232">
        <v>-33.299999999999997</v>
      </c>
      <c r="Q1594" s="35">
        <v>1.170382348595389E-2</v>
      </c>
      <c r="R1594" s="232">
        <v>1323.83</v>
      </c>
      <c r="S1594" s="35">
        <v>1.2603822672533669</v>
      </c>
      <c r="T1594" s="232">
        <v>26169.5</v>
      </c>
      <c r="U1594" s="35">
        <v>1.0236957970946658</v>
      </c>
      <c r="W1594" s="35">
        <f t="shared" si="151"/>
        <v>618.49117429769444</v>
      </c>
      <c r="X1594" s="35">
        <f t="shared" si="152"/>
        <v>61695.283362668342</v>
      </c>
      <c r="Y1594" s="35">
        <f t="shared" si="153"/>
        <v>25015.289854733295</v>
      </c>
      <c r="Z1594" s="35">
        <f t="shared" si="154"/>
        <v>0</v>
      </c>
      <c r="AA1594" s="35">
        <f t="shared" si="155"/>
        <v>1</v>
      </c>
      <c r="AB1594" s="35">
        <f t="shared" si="156"/>
        <v>0</v>
      </c>
    </row>
    <row r="1595" spans="1:28">
      <c r="A1595" s="35">
        <v>1584</v>
      </c>
      <c r="B1595" s="35">
        <v>4.9647217830584012E-4</v>
      </c>
      <c r="C1595" s="232">
        <v>86.81</v>
      </c>
      <c r="D1595" s="35">
        <v>5.0685582229133894</v>
      </c>
      <c r="E1595" s="232">
        <v>64.849999999999994</v>
      </c>
      <c r="F1595" s="35">
        <v>5.0595134745644978</v>
      </c>
      <c r="G1595" s="232">
        <v>14010.98</v>
      </c>
      <c r="H1595" s="35">
        <v>9.5900373546951432</v>
      </c>
      <c r="I1595" s="232">
        <v>14975.98</v>
      </c>
      <c r="J1595" s="35">
        <v>7.4321841588632616</v>
      </c>
      <c r="K1595" s="232">
        <v>16408.61</v>
      </c>
      <c r="L1595" s="35">
        <v>9.0512292455381402</v>
      </c>
      <c r="M1595" s="232">
        <v>42635.91</v>
      </c>
      <c r="N1595" s="35">
        <v>7.8386871327222343</v>
      </c>
      <c r="P1595" s="232">
        <v>-21.96</v>
      </c>
      <c r="Q1595" s="35">
        <v>9.0447483488915736E-3</v>
      </c>
      <c r="R1595" s="232">
        <v>965</v>
      </c>
      <c r="S1595" s="35">
        <v>2.1578531958318816</v>
      </c>
      <c r="T1595" s="232">
        <v>26227.3</v>
      </c>
      <c r="U1595" s="35">
        <v>1.212542112815906</v>
      </c>
      <c r="W1595" s="35">
        <f t="shared" si="151"/>
        <v>474.19741744457866</v>
      </c>
      <c r="X1595" s="35">
        <f t="shared" si="152"/>
        <v>106927.65979159408</v>
      </c>
      <c r="Y1595" s="35">
        <f t="shared" si="153"/>
        <v>34399.805640795297</v>
      </c>
      <c r="Z1595" s="35">
        <f t="shared" si="154"/>
        <v>0</v>
      </c>
      <c r="AA1595" s="35">
        <f t="shared" si="155"/>
        <v>1</v>
      </c>
      <c r="AB1595" s="35">
        <f t="shared" si="156"/>
        <v>0</v>
      </c>
    </row>
    <row r="1596" spans="1:28">
      <c r="A1596" s="35">
        <v>1585</v>
      </c>
      <c r="B1596" s="35">
        <v>4.914451977100498E-4</v>
      </c>
      <c r="C1596" s="232">
        <v>75.87</v>
      </c>
      <c r="D1596" s="35">
        <v>5.0617747779329889</v>
      </c>
      <c r="E1596" s="232">
        <v>45.44</v>
      </c>
      <c r="F1596" s="35">
        <v>5.0510536730653808</v>
      </c>
      <c r="G1596" s="232">
        <v>11668.85</v>
      </c>
      <c r="H1596" s="35">
        <v>8.3780567388883664</v>
      </c>
      <c r="I1596" s="232">
        <v>11155.21</v>
      </c>
      <c r="J1596" s="35">
        <v>6.6786434117878892</v>
      </c>
      <c r="K1596" s="232">
        <v>17338.37</v>
      </c>
      <c r="L1596" s="35">
        <v>8.4023979757455809</v>
      </c>
      <c r="M1596" s="232">
        <v>43516.17</v>
      </c>
      <c r="N1596" s="35">
        <v>7.2686446916975056</v>
      </c>
      <c r="P1596" s="232">
        <v>-30.44</v>
      </c>
      <c r="Q1596" s="35">
        <v>1.0721104867608133E-2</v>
      </c>
      <c r="R1596" s="232">
        <v>-513.64</v>
      </c>
      <c r="S1596" s="35">
        <v>1.6994133271004772</v>
      </c>
      <c r="T1596" s="232">
        <v>26177.8</v>
      </c>
      <c r="U1596" s="35">
        <v>1.1337532840480753</v>
      </c>
      <c r="W1596" s="35">
        <f t="shared" si="151"/>
        <v>566.49524338040669</v>
      </c>
      <c r="X1596" s="35">
        <f t="shared" si="152"/>
        <v>85484.306355023858</v>
      </c>
      <c r="Y1596" s="35">
        <f t="shared" si="153"/>
        <v>30509.864202403765</v>
      </c>
      <c r="Z1596" s="35">
        <f t="shared" si="154"/>
        <v>0</v>
      </c>
      <c r="AA1596" s="35">
        <f t="shared" si="155"/>
        <v>1</v>
      </c>
      <c r="AB1596" s="35">
        <f t="shared" si="156"/>
        <v>0</v>
      </c>
    </row>
    <row r="1597" spans="1:28">
      <c r="A1597" s="35">
        <v>1586</v>
      </c>
      <c r="B1597" s="35">
        <v>6.4113360852213752E-4</v>
      </c>
      <c r="C1597" s="232">
        <v>79.66</v>
      </c>
      <c r="D1597" s="35">
        <v>5.072120169237647</v>
      </c>
      <c r="E1597" s="232">
        <v>49.19</v>
      </c>
      <c r="F1597" s="35">
        <v>5.0574626430311698</v>
      </c>
      <c r="G1597" s="232">
        <v>9508.4599999999991</v>
      </c>
      <c r="H1597" s="35">
        <v>8.9822383460833759</v>
      </c>
      <c r="I1597" s="232">
        <v>11368.62</v>
      </c>
      <c r="J1597" s="35">
        <v>8.4895062363549023</v>
      </c>
      <c r="K1597" s="232">
        <v>10680.73</v>
      </c>
      <c r="L1597" s="35">
        <v>8.6592729567004501</v>
      </c>
      <c r="M1597" s="232">
        <v>36431.550000000003</v>
      </c>
      <c r="N1597" s="35">
        <v>7.6992818412144794</v>
      </c>
      <c r="P1597" s="232">
        <v>-30.48</v>
      </c>
      <c r="Q1597" s="35">
        <v>1.4657526206477201E-2</v>
      </c>
      <c r="R1597" s="232">
        <v>1860.16</v>
      </c>
      <c r="S1597" s="35">
        <v>0.49273210972847359</v>
      </c>
      <c r="T1597" s="232">
        <v>25750.82</v>
      </c>
      <c r="U1597" s="35">
        <v>0.9599911154859706</v>
      </c>
      <c r="W1597" s="35">
        <f t="shared" si="151"/>
        <v>763.35631032386004</v>
      </c>
      <c r="X1597" s="35">
        <f t="shared" si="152"/>
        <v>22776.44548642368</v>
      </c>
      <c r="Y1597" s="35">
        <f t="shared" si="153"/>
        <v>22248.735774298533</v>
      </c>
      <c r="Z1597" s="35">
        <f t="shared" si="154"/>
        <v>0</v>
      </c>
      <c r="AA1597" s="35">
        <f t="shared" si="155"/>
        <v>1</v>
      </c>
      <c r="AB1597" s="35">
        <f t="shared" si="156"/>
        <v>0</v>
      </c>
    </row>
    <row r="1598" spans="1:28">
      <c r="A1598" s="35">
        <v>1587</v>
      </c>
      <c r="B1598" s="35">
        <v>5.2428610960397748E-4</v>
      </c>
      <c r="C1598" s="232">
        <v>69.61</v>
      </c>
      <c r="D1598" s="35">
        <v>5.0675361003770423</v>
      </c>
      <c r="E1598" s="232">
        <v>49.85</v>
      </c>
      <c r="F1598" s="35">
        <v>5.0575697480141661</v>
      </c>
      <c r="G1598" s="232">
        <v>10551.61</v>
      </c>
      <c r="H1598" s="35">
        <v>9.1862246194713357</v>
      </c>
      <c r="I1598" s="232">
        <v>11993.17</v>
      </c>
      <c r="J1598" s="35">
        <v>7.5850641280331104</v>
      </c>
      <c r="K1598" s="232">
        <v>11744.01</v>
      </c>
      <c r="L1598" s="35">
        <v>8.6874026277784022</v>
      </c>
      <c r="M1598" s="232">
        <v>37576</v>
      </c>
      <c r="N1598" s="35">
        <v>7.5761664763226486</v>
      </c>
      <c r="P1598" s="232">
        <v>-19.760000000000002</v>
      </c>
      <c r="Q1598" s="35">
        <v>9.9663523628761297E-3</v>
      </c>
      <c r="R1598" s="232">
        <v>1441.55</v>
      </c>
      <c r="S1598" s="35">
        <v>1.6011604914382254</v>
      </c>
      <c r="T1598" s="232">
        <v>25831.99</v>
      </c>
      <c r="U1598" s="35">
        <v>1.1112361514557536</v>
      </c>
      <c r="W1598" s="35">
        <f t="shared" si="151"/>
        <v>518.07761814380649</v>
      </c>
      <c r="X1598" s="35">
        <f t="shared" si="152"/>
        <v>78616.474571911269</v>
      </c>
      <c r="Y1598" s="35">
        <f t="shared" si="153"/>
        <v>29729.817572787677</v>
      </c>
      <c r="Z1598" s="35">
        <f t="shared" si="154"/>
        <v>0</v>
      </c>
      <c r="AA1598" s="35">
        <f t="shared" si="155"/>
        <v>1</v>
      </c>
      <c r="AB1598" s="35">
        <f t="shared" si="156"/>
        <v>0</v>
      </c>
    </row>
    <row r="1599" spans="1:28">
      <c r="A1599" s="35">
        <v>1588</v>
      </c>
      <c r="B1599" s="35">
        <v>5.0053868411870095E-4</v>
      </c>
      <c r="C1599" s="232">
        <v>66.17</v>
      </c>
      <c r="D1599" s="35">
        <v>5.0626312603386072</v>
      </c>
      <c r="E1599" s="232">
        <v>40.049999999999997</v>
      </c>
      <c r="F1599" s="35">
        <v>5.0515085604837449</v>
      </c>
      <c r="G1599" s="232">
        <v>10053.370000000001</v>
      </c>
      <c r="H1599" s="35">
        <v>8.1531865949406352</v>
      </c>
      <c r="I1599" s="232">
        <v>11097.83</v>
      </c>
      <c r="J1599" s="35">
        <v>6.7698206354936197</v>
      </c>
      <c r="K1599" s="232">
        <v>13185.54</v>
      </c>
      <c r="L1599" s="35">
        <v>8.9352143846940333</v>
      </c>
      <c r="M1599" s="232">
        <v>39263.440000000002</v>
      </c>
      <c r="N1599" s="35">
        <v>7.8289997868995869</v>
      </c>
      <c r="P1599" s="232">
        <v>-26.12</v>
      </c>
      <c r="Q1599" s="35">
        <v>1.1122699854862361E-2</v>
      </c>
      <c r="R1599" s="232">
        <v>1044.46</v>
      </c>
      <c r="S1599" s="35">
        <v>1.3833659594470156</v>
      </c>
      <c r="T1599" s="232">
        <v>26077.89</v>
      </c>
      <c r="U1599" s="35">
        <v>1.1062145977944464</v>
      </c>
      <c r="W1599" s="35">
        <f t="shared" si="151"/>
        <v>582.25499274311812</v>
      </c>
      <c r="X1599" s="35">
        <f t="shared" si="152"/>
        <v>68123.837972350768</v>
      </c>
      <c r="Y1599" s="35">
        <f t="shared" si="153"/>
        <v>29232.839889722323</v>
      </c>
      <c r="Z1599" s="35">
        <f t="shared" si="154"/>
        <v>0</v>
      </c>
      <c r="AA1599" s="35">
        <f t="shared" si="155"/>
        <v>1</v>
      </c>
      <c r="AB1599" s="35">
        <f t="shared" si="156"/>
        <v>0</v>
      </c>
    </row>
    <row r="1600" spans="1:28">
      <c r="A1600" s="35">
        <v>1589</v>
      </c>
      <c r="B1600" s="35">
        <v>5.147761075793289E-4</v>
      </c>
      <c r="C1600" s="232">
        <v>99.32</v>
      </c>
      <c r="D1600" s="35">
        <v>5.0645382009463527</v>
      </c>
      <c r="E1600" s="232">
        <v>59.81</v>
      </c>
      <c r="F1600" s="35">
        <v>5.0529664232422808</v>
      </c>
      <c r="G1600" s="232">
        <v>15222.97</v>
      </c>
      <c r="H1600" s="35">
        <v>8.8100174468439718</v>
      </c>
      <c r="I1600" s="232">
        <v>15826.29</v>
      </c>
      <c r="J1600" s="35">
        <v>7.500581068810531</v>
      </c>
      <c r="K1600" s="232">
        <v>19112.810000000001</v>
      </c>
      <c r="L1600" s="35">
        <v>8.4630002440715515</v>
      </c>
      <c r="M1600" s="232">
        <v>45314.36</v>
      </c>
      <c r="N1600" s="35">
        <v>7.3836712506180566</v>
      </c>
      <c r="P1600" s="232">
        <v>-39.51</v>
      </c>
      <c r="Q1600" s="35">
        <v>1.1571777704071806E-2</v>
      </c>
      <c r="R1600" s="232">
        <v>603.32000000000005</v>
      </c>
      <c r="S1600" s="35">
        <v>1.3094363780334408</v>
      </c>
      <c r="T1600" s="232">
        <v>26201.55</v>
      </c>
      <c r="U1600" s="35">
        <v>1.0793289934534949</v>
      </c>
      <c r="W1600" s="35">
        <f t="shared" si="151"/>
        <v>618.09888520359027</v>
      </c>
      <c r="X1600" s="35">
        <f t="shared" si="152"/>
        <v>64868.498901672043</v>
      </c>
      <c r="Y1600" s="35">
        <f t="shared" si="153"/>
        <v>27764.899672674746</v>
      </c>
      <c r="Z1600" s="35">
        <f t="shared" si="154"/>
        <v>0</v>
      </c>
      <c r="AA1600" s="35">
        <f t="shared" si="155"/>
        <v>1</v>
      </c>
      <c r="AB1600" s="35">
        <f t="shared" si="156"/>
        <v>0</v>
      </c>
    </row>
    <row r="1601" spans="1:28">
      <c r="A1601" s="35">
        <v>1590</v>
      </c>
      <c r="B1601" s="35">
        <v>3.8563197240005815E-4</v>
      </c>
      <c r="C1601" s="232">
        <v>55.86</v>
      </c>
      <c r="D1601" s="35">
        <v>5.0578920996215828</v>
      </c>
      <c r="E1601" s="232">
        <v>41.57</v>
      </c>
      <c r="F1601" s="35">
        <v>5.0514723330021578</v>
      </c>
      <c r="G1601" s="232">
        <v>10572.68</v>
      </c>
      <c r="H1601" s="35">
        <v>8.5166206424493147</v>
      </c>
      <c r="I1601" s="232">
        <v>9706.93</v>
      </c>
      <c r="J1601" s="35">
        <v>6.4331949240864859</v>
      </c>
      <c r="K1601" s="232">
        <v>15781.52</v>
      </c>
      <c r="L1601" s="35">
        <v>8.7003461890118494</v>
      </c>
      <c r="M1601" s="232">
        <v>41865.300000000003</v>
      </c>
      <c r="N1601" s="35">
        <v>7.6130169011085158</v>
      </c>
      <c r="P1601" s="232">
        <v>-14.3</v>
      </c>
      <c r="Q1601" s="35">
        <v>6.4197666194250047E-3</v>
      </c>
      <c r="R1601" s="232">
        <v>-865.75</v>
      </c>
      <c r="S1601" s="35">
        <v>2.0834257183628289</v>
      </c>
      <c r="T1601" s="232">
        <v>26083.78</v>
      </c>
      <c r="U1601" s="35">
        <v>1.0873292879033336</v>
      </c>
      <c r="W1601" s="35">
        <f t="shared" si="151"/>
        <v>335.28833097125022</v>
      </c>
      <c r="X1601" s="35">
        <f t="shared" si="152"/>
        <v>105037.03591814144</v>
      </c>
      <c r="Y1601" s="35">
        <f t="shared" si="153"/>
        <v>28282.684395166681</v>
      </c>
      <c r="Z1601" s="35">
        <f t="shared" si="154"/>
        <v>0</v>
      </c>
      <c r="AA1601" s="35">
        <f t="shared" si="155"/>
        <v>1</v>
      </c>
      <c r="AB1601" s="35">
        <f t="shared" si="156"/>
        <v>0</v>
      </c>
    </row>
    <row r="1602" spans="1:28">
      <c r="A1602" s="35">
        <v>1591</v>
      </c>
      <c r="B1602" s="35">
        <v>4.3661766482520106E-4</v>
      </c>
      <c r="C1602" s="232">
        <v>42.66</v>
      </c>
      <c r="D1602" s="35">
        <v>5.0625987823860337</v>
      </c>
      <c r="E1602" s="232">
        <v>26.75</v>
      </c>
      <c r="F1602" s="35">
        <v>5.0512738306226259</v>
      </c>
      <c r="G1602" s="232">
        <v>7958.26</v>
      </c>
      <c r="H1602" s="35">
        <v>9.3530007521496472</v>
      </c>
      <c r="I1602" s="232">
        <v>10188.43</v>
      </c>
      <c r="J1602" s="35">
        <v>8.762506512988816</v>
      </c>
      <c r="K1602" s="232">
        <v>6825.2</v>
      </c>
      <c r="L1602" s="35">
        <v>8.6695817602935321</v>
      </c>
      <c r="M1602" s="232">
        <v>32486.04</v>
      </c>
      <c r="N1602" s="35">
        <v>7.5435000553427702</v>
      </c>
      <c r="P1602" s="232">
        <v>-15.92</v>
      </c>
      <c r="Q1602" s="35">
        <v>1.1324951763407753E-2</v>
      </c>
      <c r="R1602" s="232">
        <v>2230.17</v>
      </c>
      <c r="S1602" s="35">
        <v>0.59049423916083121</v>
      </c>
      <c r="T1602" s="232">
        <v>25660.83</v>
      </c>
      <c r="U1602" s="35">
        <v>1.1260817049507619</v>
      </c>
      <c r="W1602" s="35">
        <f t="shared" si="151"/>
        <v>582.1675881703876</v>
      </c>
      <c r="X1602" s="35">
        <f t="shared" si="152"/>
        <v>27294.541958041562</v>
      </c>
      <c r="Y1602" s="35">
        <f t="shared" si="153"/>
        <v>30643.255247538094</v>
      </c>
      <c r="Z1602" s="35">
        <f t="shared" si="154"/>
        <v>0</v>
      </c>
      <c r="AA1602" s="35">
        <f t="shared" si="155"/>
        <v>0</v>
      </c>
      <c r="AB1602" s="35">
        <f t="shared" si="156"/>
        <v>1</v>
      </c>
    </row>
    <row r="1603" spans="1:28">
      <c r="A1603" s="35">
        <v>1592</v>
      </c>
      <c r="B1603" s="35">
        <v>5.450471713313032E-4</v>
      </c>
      <c r="C1603" s="232">
        <v>57.77</v>
      </c>
      <c r="D1603" s="35">
        <v>5.0647468085123011</v>
      </c>
      <c r="E1603" s="232">
        <v>36.979999999999997</v>
      </c>
      <c r="F1603" s="35">
        <v>5.0533904394152867</v>
      </c>
      <c r="G1603" s="232">
        <v>8307.82</v>
      </c>
      <c r="H1603" s="35">
        <v>8.4509085622445106</v>
      </c>
      <c r="I1603" s="232">
        <v>10344.61</v>
      </c>
      <c r="J1603" s="35">
        <v>7.1665648871800141</v>
      </c>
      <c r="K1603" s="232">
        <v>7151.82</v>
      </c>
      <c r="L1603" s="35">
        <v>8.4894194680669806</v>
      </c>
      <c r="M1603" s="232">
        <v>32825.480000000003</v>
      </c>
      <c r="N1603" s="35">
        <v>7.4423011926069265</v>
      </c>
      <c r="P1603" s="232">
        <v>-20.79</v>
      </c>
      <c r="Q1603" s="35">
        <v>1.1356369097014429E-2</v>
      </c>
      <c r="R1603" s="232">
        <v>2036.78</v>
      </c>
      <c r="S1603" s="35">
        <v>1.2843436750644965</v>
      </c>
      <c r="T1603" s="232">
        <v>25673.67</v>
      </c>
      <c r="U1603" s="35">
        <v>1.0471182754600541</v>
      </c>
      <c r="W1603" s="35">
        <f t="shared" si="151"/>
        <v>588.60845485072139</v>
      </c>
      <c r="X1603" s="35">
        <f t="shared" si="152"/>
        <v>62180.403753224826</v>
      </c>
      <c r="Y1603" s="35">
        <f t="shared" si="153"/>
        <v>26682.243773002709</v>
      </c>
      <c r="Z1603" s="35">
        <f t="shared" si="154"/>
        <v>0</v>
      </c>
      <c r="AA1603" s="35">
        <f t="shared" si="155"/>
        <v>1</v>
      </c>
      <c r="AB1603" s="35">
        <f t="shared" si="156"/>
        <v>0</v>
      </c>
    </row>
    <row r="1604" spans="1:28">
      <c r="A1604" s="35">
        <v>1593</v>
      </c>
      <c r="B1604" s="35">
        <v>4.1721612104019272E-4</v>
      </c>
      <c r="C1604" s="232">
        <v>62.03</v>
      </c>
      <c r="D1604" s="35">
        <v>5.0571764859485722</v>
      </c>
      <c r="E1604" s="232">
        <v>41.36</v>
      </c>
      <c r="F1604" s="35">
        <v>5.0496210896795866</v>
      </c>
      <c r="G1604" s="232">
        <v>11528.9</v>
      </c>
      <c r="H1604" s="35">
        <v>8.182387762930329</v>
      </c>
      <c r="I1604" s="232">
        <v>12941.35</v>
      </c>
      <c r="J1604" s="35">
        <v>7.2081945219664139</v>
      </c>
      <c r="K1604" s="232">
        <v>13712.15</v>
      </c>
      <c r="L1604" s="35">
        <v>8.0990322769726397</v>
      </c>
      <c r="M1604" s="232">
        <v>39809.730000000003</v>
      </c>
      <c r="N1604" s="35">
        <v>7.0481385215731134</v>
      </c>
      <c r="P1604" s="232">
        <v>-20.68</v>
      </c>
      <c r="Q1604" s="35">
        <v>7.5553962689856036E-3</v>
      </c>
      <c r="R1604" s="232">
        <v>1412.45</v>
      </c>
      <c r="S1604" s="35">
        <v>0.97419324096391513</v>
      </c>
      <c r="T1604" s="232">
        <v>26097.59</v>
      </c>
      <c r="U1604" s="35">
        <v>1.0508937553995263</v>
      </c>
      <c r="W1604" s="35">
        <f t="shared" si="151"/>
        <v>398.44981344928016</v>
      </c>
      <c r="X1604" s="35">
        <f t="shared" si="152"/>
        <v>47297.212048195761</v>
      </c>
      <c r="Y1604" s="35">
        <f t="shared" si="153"/>
        <v>26447.097769976313</v>
      </c>
      <c r="Z1604" s="35">
        <f t="shared" si="154"/>
        <v>0</v>
      </c>
      <c r="AA1604" s="35">
        <f t="shared" si="155"/>
        <v>1</v>
      </c>
      <c r="AB1604" s="35">
        <f t="shared" si="156"/>
        <v>0</v>
      </c>
    </row>
    <row r="1605" spans="1:28">
      <c r="A1605" s="35">
        <v>1594</v>
      </c>
      <c r="B1605" s="35">
        <v>4.9304682497186558E-4</v>
      </c>
      <c r="C1605" s="232">
        <v>74.58</v>
      </c>
      <c r="D1605" s="35">
        <v>5.0623843086399587</v>
      </c>
      <c r="E1605" s="232">
        <v>42.44</v>
      </c>
      <c r="F1605" s="35">
        <v>5.0506385237406279</v>
      </c>
      <c r="G1605" s="232">
        <v>11728.31</v>
      </c>
      <c r="H1605" s="35">
        <v>8.3024443918445687</v>
      </c>
      <c r="I1605" s="232">
        <v>12684.18</v>
      </c>
      <c r="J1605" s="35">
        <v>7.0608950288691901</v>
      </c>
      <c r="K1605" s="232">
        <v>15950.97</v>
      </c>
      <c r="L1605" s="35">
        <v>8.6902490931986414</v>
      </c>
      <c r="M1605" s="232">
        <v>42286.03</v>
      </c>
      <c r="N1605" s="35">
        <v>7.5208398535752163</v>
      </c>
      <c r="P1605" s="232">
        <v>-32.14</v>
      </c>
      <c r="Q1605" s="35">
        <v>1.1745784899330758E-2</v>
      </c>
      <c r="R1605" s="232">
        <v>955.86</v>
      </c>
      <c r="S1605" s="35">
        <v>1.2415493629753787</v>
      </c>
      <c r="T1605" s="232">
        <v>26335.06</v>
      </c>
      <c r="U1605" s="35">
        <v>1.169409239623425</v>
      </c>
      <c r="W1605" s="35">
        <f t="shared" si="151"/>
        <v>619.42924496653791</v>
      </c>
      <c r="X1605" s="35">
        <f t="shared" si="152"/>
        <v>61121.60814876893</v>
      </c>
      <c r="Y1605" s="35">
        <f t="shared" si="153"/>
        <v>32135.401981171253</v>
      </c>
      <c r="Z1605" s="35">
        <f t="shared" si="154"/>
        <v>0</v>
      </c>
      <c r="AA1605" s="35">
        <f t="shared" si="155"/>
        <v>1</v>
      </c>
      <c r="AB1605" s="35">
        <f t="shared" si="156"/>
        <v>0</v>
      </c>
    </row>
    <row r="1606" spans="1:28">
      <c r="A1606" s="35">
        <v>1595</v>
      </c>
      <c r="B1606" s="35">
        <v>5.3973256031736305E-4</v>
      </c>
      <c r="C1606" s="232">
        <v>68.63</v>
      </c>
      <c r="D1606" s="35">
        <v>5.0667476940947411</v>
      </c>
      <c r="E1606" s="232">
        <v>43.68</v>
      </c>
      <c r="F1606" s="35">
        <v>5.0547302682307667</v>
      </c>
      <c r="G1606" s="232">
        <v>10514.9</v>
      </c>
      <c r="H1606" s="35">
        <v>8.8833941118170774</v>
      </c>
      <c r="I1606" s="232">
        <v>12802.92</v>
      </c>
      <c r="J1606" s="35">
        <v>8.0090046549321947</v>
      </c>
      <c r="K1606" s="232">
        <v>9529.44</v>
      </c>
      <c r="L1606" s="35">
        <v>8.7023037962512984</v>
      </c>
      <c r="M1606" s="232">
        <v>35405.980000000003</v>
      </c>
      <c r="N1606" s="35">
        <v>7.597538587812795</v>
      </c>
      <c r="P1606" s="232">
        <v>-24.94</v>
      </c>
      <c r="Q1606" s="35">
        <v>1.2017425863974474E-2</v>
      </c>
      <c r="R1606" s="232">
        <v>2288.0300000000002</v>
      </c>
      <c r="S1606" s="35">
        <v>0.87438945688488268</v>
      </c>
      <c r="T1606" s="232">
        <v>25876.54</v>
      </c>
      <c r="U1606" s="35">
        <v>1.1047652084385033</v>
      </c>
      <c r="W1606" s="35">
        <f t="shared" si="151"/>
        <v>625.81129319872377</v>
      </c>
      <c r="X1606" s="35">
        <f t="shared" si="152"/>
        <v>41431.442844244135</v>
      </c>
      <c r="Y1606" s="35">
        <f t="shared" si="153"/>
        <v>29361.720421925165</v>
      </c>
      <c r="Z1606" s="35">
        <f t="shared" si="154"/>
        <v>0</v>
      </c>
      <c r="AA1606" s="35">
        <f t="shared" si="155"/>
        <v>1</v>
      </c>
      <c r="AB1606" s="35">
        <f t="shared" si="156"/>
        <v>0</v>
      </c>
    </row>
    <row r="1607" spans="1:28">
      <c r="A1607" s="35">
        <v>1596</v>
      </c>
      <c r="B1607" s="35">
        <v>4.0768208992350693E-4</v>
      </c>
      <c r="C1607" s="232">
        <v>60.42</v>
      </c>
      <c r="D1607" s="35">
        <v>5.0594222961866562</v>
      </c>
      <c r="E1607" s="232">
        <v>43.75</v>
      </c>
      <c r="F1607" s="35">
        <v>5.0521864809425061</v>
      </c>
      <c r="G1607" s="232">
        <v>11498.18</v>
      </c>
      <c r="H1607" s="35">
        <v>8.7758435440568174</v>
      </c>
      <c r="I1607" s="232">
        <v>12746.15</v>
      </c>
      <c r="J1607" s="35">
        <v>7.5901974836643946</v>
      </c>
      <c r="K1607" s="232">
        <v>13926.97</v>
      </c>
      <c r="L1607" s="35">
        <v>8.5628865912362873</v>
      </c>
      <c r="M1607" s="232">
        <v>40060.21</v>
      </c>
      <c r="N1607" s="35">
        <v>7.4244799122323171</v>
      </c>
      <c r="P1607" s="232">
        <v>-16.670000000000002</v>
      </c>
      <c r="Q1607" s="35">
        <v>7.2358152441500678E-3</v>
      </c>
      <c r="R1607" s="232">
        <v>1247.97</v>
      </c>
      <c r="S1607" s="35">
        <v>1.1856460603924228</v>
      </c>
      <c r="T1607" s="232">
        <v>26133.24</v>
      </c>
      <c r="U1607" s="35">
        <v>1.1384066790039702</v>
      </c>
      <c r="W1607" s="35">
        <f t="shared" si="151"/>
        <v>378.46076220750342</v>
      </c>
      <c r="X1607" s="35">
        <f t="shared" si="152"/>
        <v>58034.333019621139</v>
      </c>
      <c r="Y1607" s="35">
        <f t="shared" si="153"/>
        <v>30787.093950198509</v>
      </c>
      <c r="Z1607" s="35">
        <f t="shared" si="154"/>
        <v>0</v>
      </c>
      <c r="AA1607" s="35">
        <f t="shared" si="155"/>
        <v>1</v>
      </c>
      <c r="AB1607" s="35">
        <f t="shared" si="156"/>
        <v>0</v>
      </c>
    </row>
    <row r="1608" spans="1:28">
      <c r="A1608" s="35">
        <v>1597</v>
      </c>
      <c r="B1608" s="35">
        <v>6.06795213508593E-4</v>
      </c>
      <c r="C1608" s="232">
        <v>82</v>
      </c>
      <c r="D1608" s="35">
        <v>5.0705376501781272</v>
      </c>
      <c r="E1608" s="232">
        <v>46.55</v>
      </c>
      <c r="F1608" s="35">
        <v>5.054978428150493</v>
      </c>
      <c r="G1608" s="232">
        <v>10842.22</v>
      </c>
      <c r="H1608" s="35">
        <v>9.0222667811209547</v>
      </c>
      <c r="I1608" s="232">
        <v>12643.14</v>
      </c>
      <c r="J1608" s="35">
        <v>8.2995176963760198</v>
      </c>
      <c r="K1608" s="232">
        <v>12382.41</v>
      </c>
      <c r="L1608" s="35">
        <v>8.6326104926216942</v>
      </c>
      <c r="M1608" s="232">
        <v>38315.120000000003</v>
      </c>
      <c r="N1608" s="35">
        <v>7.5206766135211147</v>
      </c>
      <c r="P1608" s="232">
        <v>-35.450000000000003</v>
      </c>
      <c r="Q1608" s="35">
        <v>1.5559222027634156E-2</v>
      </c>
      <c r="R1608" s="232">
        <v>1800.92</v>
      </c>
      <c r="S1608" s="35">
        <v>0.72274908474493493</v>
      </c>
      <c r="T1608" s="232">
        <v>25932.720000000001</v>
      </c>
      <c r="U1608" s="35">
        <v>1.1119338791005795</v>
      </c>
      <c r="W1608" s="35">
        <f t="shared" si="151"/>
        <v>813.41110138170791</v>
      </c>
      <c r="X1608" s="35">
        <f t="shared" si="152"/>
        <v>34336.534237246749</v>
      </c>
      <c r="Y1608" s="35">
        <f t="shared" si="153"/>
        <v>29663.973955028974</v>
      </c>
      <c r="Z1608" s="35">
        <f t="shared" si="154"/>
        <v>0</v>
      </c>
      <c r="AA1608" s="35">
        <f t="shared" si="155"/>
        <v>1</v>
      </c>
      <c r="AB1608" s="35">
        <f t="shared" si="156"/>
        <v>0</v>
      </c>
    </row>
    <row r="1609" spans="1:28">
      <c r="A1609" s="35">
        <v>1598</v>
      </c>
      <c r="B1609" s="35">
        <v>5.085085094942432E-4</v>
      </c>
      <c r="C1609" s="232">
        <v>110.4</v>
      </c>
      <c r="D1609" s="35">
        <v>5.0656854204674753</v>
      </c>
      <c r="E1609" s="232">
        <v>54.95</v>
      </c>
      <c r="F1609" s="35">
        <v>5.0508172701516179</v>
      </c>
      <c r="G1609" s="232">
        <v>16942.82</v>
      </c>
      <c r="H1609" s="35">
        <v>9.0425680924936334</v>
      </c>
      <c r="I1609" s="232">
        <v>16823.37</v>
      </c>
      <c r="J1609" s="35">
        <v>7.7297124293239632</v>
      </c>
      <c r="K1609" s="232">
        <v>23155.79</v>
      </c>
      <c r="L1609" s="35">
        <v>8.9892255955082003</v>
      </c>
      <c r="M1609" s="232">
        <v>49790.81</v>
      </c>
      <c r="N1609" s="35">
        <v>7.8586749753742939</v>
      </c>
      <c r="P1609" s="232">
        <v>-55.45</v>
      </c>
      <c r="Q1609" s="35">
        <v>1.486815031585742E-2</v>
      </c>
      <c r="R1609" s="232">
        <v>-119.45</v>
      </c>
      <c r="S1609" s="35">
        <v>1.3128556631696702</v>
      </c>
      <c r="T1609" s="232">
        <v>26635.01</v>
      </c>
      <c r="U1609" s="35">
        <v>1.1305506201339064</v>
      </c>
      <c r="W1609" s="35">
        <f t="shared" si="151"/>
        <v>798.85751579287103</v>
      </c>
      <c r="X1609" s="35">
        <f t="shared" si="152"/>
        <v>65762.233158483505</v>
      </c>
      <c r="Y1609" s="35">
        <f t="shared" si="153"/>
        <v>29892.521006695319</v>
      </c>
      <c r="Z1609" s="35">
        <f t="shared" si="154"/>
        <v>0</v>
      </c>
      <c r="AA1609" s="35">
        <f t="shared" si="155"/>
        <v>1</v>
      </c>
      <c r="AB1609" s="35">
        <f t="shared" si="156"/>
        <v>0</v>
      </c>
    </row>
    <row r="1610" spans="1:28">
      <c r="A1610" s="35">
        <v>1599</v>
      </c>
      <c r="B1610" s="35">
        <v>4.9281883493790257E-4</v>
      </c>
      <c r="C1610" s="232">
        <v>73.23</v>
      </c>
      <c r="D1610" s="35">
        <v>5.0630965250485058</v>
      </c>
      <c r="E1610" s="232">
        <v>41.37</v>
      </c>
      <c r="F1610" s="35">
        <v>5.0508841624231655</v>
      </c>
      <c r="G1610" s="232">
        <v>11215.94</v>
      </c>
      <c r="H1610" s="35">
        <v>8.7539877925791387</v>
      </c>
      <c r="I1610" s="232">
        <v>10946.38</v>
      </c>
      <c r="J1610" s="35">
        <v>7.1384790714990123</v>
      </c>
      <c r="K1610" s="232">
        <v>15542.69</v>
      </c>
      <c r="L1610" s="35">
        <v>8.5456024926702554</v>
      </c>
      <c r="M1610" s="232">
        <v>41644.53</v>
      </c>
      <c r="N1610" s="35">
        <v>7.4309814076201421</v>
      </c>
      <c r="P1610" s="232">
        <v>-31.86</v>
      </c>
      <c r="Q1610" s="35">
        <v>1.2212362625340312E-2</v>
      </c>
      <c r="R1610" s="232">
        <v>-269.56</v>
      </c>
      <c r="S1610" s="35">
        <v>1.6155087210801264</v>
      </c>
      <c r="T1610" s="232">
        <v>26101.85</v>
      </c>
      <c r="U1610" s="35">
        <v>1.1146210850501133</v>
      </c>
      <c r="W1610" s="35">
        <f t="shared" si="151"/>
        <v>642.47813126701556</v>
      </c>
      <c r="X1610" s="35">
        <f t="shared" si="152"/>
        <v>81044.996054006318</v>
      </c>
      <c r="Y1610" s="35">
        <f t="shared" si="153"/>
        <v>29629.204252505668</v>
      </c>
      <c r="Z1610" s="35">
        <f t="shared" si="154"/>
        <v>0</v>
      </c>
      <c r="AA1610" s="35">
        <f t="shared" si="155"/>
        <v>1</v>
      </c>
      <c r="AB1610" s="35">
        <f t="shared" si="156"/>
        <v>0</v>
      </c>
    </row>
    <row r="1611" spans="1:28">
      <c r="A1611" s="35">
        <v>1600</v>
      </c>
      <c r="B1611" s="35">
        <v>4.1507845646603932E-4</v>
      </c>
      <c r="C1611" s="232">
        <v>62.22</v>
      </c>
      <c r="D1611" s="35">
        <v>5.0594002388119312</v>
      </c>
      <c r="E1611" s="232">
        <v>32.94</v>
      </c>
      <c r="F1611" s="35">
        <v>5.048027575373891</v>
      </c>
      <c r="G1611" s="232">
        <v>11576</v>
      </c>
      <c r="H1611" s="35">
        <v>8.8015374297906863</v>
      </c>
      <c r="I1611" s="232">
        <v>13353.03</v>
      </c>
      <c r="J1611" s="35">
        <v>8.2743175158014921</v>
      </c>
      <c r="K1611" s="232">
        <v>13014.22</v>
      </c>
      <c r="L1611" s="35">
        <v>8.6955624000117311</v>
      </c>
      <c r="M1611" s="232">
        <v>38937.01</v>
      </c>
      <c r="N1611" s="35">
        <v>7.6821355022603823</v>
      </c>
      <c r="P1611" s="232">
        <v>-29.28</v>
      </c>
      <c r="Q1611" s="35">
        <v>1.137266343804022E-2</v>
      </c>
      <c r="R1611" s="232">
        <v>1777.03</v>
      </c>
      <c r="S1611" s="35">
        <v>0.52721991398919421</v>
      </c>
      <c r="T1611" s="232">
        <v>25922.79</v>
      </c>
      <c r="U1611" s="35">
        <v>1.0134268977513488</v>
      </c>
      <c r="W1611" s="35">
        <f t="shared" si="151"/>
        <v>597.91317190201096</v>
      </c>
      <c r="X1611" s="35">
        <f t="shared" si="152"/>
        <v>24583.965699459714</v>
      </c>
      <c r="Y1611" s="35">
        <f t="shared" si="153"/>
        <v>24748.554887567436</v>
      </c>
      <c r="Z1611" s="35">
        <f t="shared" si="154"/>
        <v>0</v>
      </c>
      <c r="AA1611" s="35">
        <f t="shared" si="155"/>
        <v>0</v>
      </c>
      <c r="AB1611" s="35">
        <f t="shared" si="156"/>
        <v>1</v>
      </c>
    </row>
    <row r="1612" spans="1:28">
      <c r="A1612" s="35">
        <v>1601</v>
      </c>
      <c r="B1612" s="35">
        <v>4.8073525304803688E-4</v>
      </c>
      <c r="C1612" s="232">
        <v>78.319999999999993</v>
      </c>
      <c r="D1612" s="35">
        <v>5.0645774036802171</v>
      </c>
      <c r="E1612" s="232">
        <v>52.01</v>
      </c>
      <c r="F1612" s="35">
        <v>5.0543742718976858</v>
      </c>
      <c r="G1612" s="232">
        <v>12386.09</v>
      </c>
      <c r="H1612" s="35">
        <v>9.0779679042863517</v>
      </c>
      <c r="I1612" s="232">
        <v>11988.18</v>
      </c>
      <c r="J1612" s="35">
        <v>7.2506062729198462</v>
      </c>
      <c r="K1612" s="232">
        <v>17002.939999999999</v>
      </c>
      <c r="L1612" s="35">
        <v>8.7600618500211773</v>
      </c>
      <c r="M1612" s="232">
        <v>43281.54</v>
      </c>
      <c r="N1612" s="35">
        <v>7.6834979772430874</v>
      </c>
      <c r="P1612" s="232">
        <v>-26.31</v>
      </c>
      <c r="Q1612" s="35">
        <v>1.0203131782531294E-2</v>
      </c>
      <c r="R1612" s="232">
        <v>-397.91</v>
      </c>
      <c r="S1612" s="35">
        <v>1.8273616313665055</v>
      </c>
      <c r="T1612" s="232">
        <v>26278.6</v>
      </c>
      <c r="U1612" s="35">
        <v>1.07656387277809</v>
      </c>
      <c r="W1612" s="35">
        <f t="shared" ref="W1612:W1675" si="157">$X$2*Q1612-P1612</f>
        <v>536.46658912656471</v>
      </c>
      <c r="X1612" s="35">
        <f t="shared" ref="X1612:X1675" si="158">$X$2*S1612-R1612</f>
        <v>91765.991568325277</v>
      </c>
      <c r="Y1612" s="35">
        <f t="shared" ref="Y1612:Y1675" si="159">$X$2*U1612-T1612</f>
        <v>27549.593638904502</v>
      </c>
      <c r="Z1612" s="35">
        <f t="shared" ref="Z1612:Z1675" si="160">IF(W1612=MAX($W1612:$Y1612), 1, 0)</f>
        <v>0</v>
      </c>
      <c r="AA1612" s="35">
        <f t="shared" ref="AA1612:AA1675" si="161">IF(X1612=MAX($W1612:$Y1612), 1, 0)</f>
        <v>1</v>
      </c>
      <c r="AB1612" s="35">
        <f t="shared" ref="AB1612:AB1675" si="162">IF(Y1612=MAX($W1612:$Y1612), 1, 0)</f>
        <v>0</v>
      </c>
    </row>
    <row r="1613" spans="1:28">
      <c r="A1613" s="35">
        <v>1602</v>
      </c>
      <c r="B1613" s="35">
        <v>4.0252193809230786E-4</v>
      </c>
      <c r="C1613" s="232">
        <v>49.29</v>
      </c>
      <c r="D1613" s="35">
        <v>5.0591151205183422</v>
      </c>
      <c r="E1613" s="232">
        <v>29.4</v>
      </c>
      <c r="F1613" s="35">
        <v>5.0489888169756121</v>
      </c>
      <c r="G1613" s="232">
        <v>9761.2800000000007</v>
      </c>
      <c r="H1613" s="35">
        <v>8.7394428898498688</v>
      </c>
      <c r="I1613" s="232">
        <v>11263.71</v>
      </c>
      <c r="J1613" s="35">
        <v>7.1829687170617031</v>
      </c>
      <c r="K1613" s="232">
        <v>10937.8</v>
      </c>
      <c r="L1613" s="35">
        <v>8.8171107756570279</v>
      </c>
      <c r="M1613" s="232">
        <v>36930.39</v>
      </c>
      <c r="N1613" s="35">
        <v>7.6982679357062702</v>
      </c>
      <c r="P1613" s="232">
        <v>-19.89</v>
      </c>
      <c r="Q1613" s="35">
        <v>1.0126303542730142E-2</v>
      </c>
      <c r="R1613" s="232">
        <v>1502.43</v>
      </c>
      <c r="S1613" s="35">
        <v>1.5564741727881657</v>
      </c>
      <c r="T1613" s="232">
        <v>25992.59</v>
      </c>
      <c r="U1613" s="35">
        <v>1.1188428399507577</v>
      </c>
      <c r="W1613" s="35">
        <f t="shared" si="157"/>
        <v>526.20517713650713</v>
      </c>
      <c r="X1613" s="35">
        <f t="shared" si="158"/>
        <v>76321.278639408294</v>
      </c>
      <c r="Y1613" s="35">
        <f t="shared" si="159"/>
        <v>29949.551997537888</v>
      </c>
      <c r="Z1613" s="35">
        <f t="shared" si="160"/>
        <v>0</v>
      </c>
      <c r="AA1613" s="35">
        <f t="shared" si="161"/>
        <v>1</v>
      </c>
      <c r="AB1613" s="35">
        <f t="shared" si="162"/>
        <v>0</v>
      </c>
    </row>
    <row r="1614" spans="1:28">
      <c r="A1614" s="35">
        <v>1603</v>
      </c>
      <c r="B1614" s="35">
        <v>4.7278620712432051E-4</v>
      </c>
      <c r="C1614" s="232">
        <v>54.23</v>
      </c>
      <c r="D1614" s="35">
        <v>5.0622878267048135</v>
      </c>
      <c r="E1614" s="232">
        <v>34</v>
      </c>
      <c r="F1614" s="35">
        <v>5.0515500050066029</v>
      </c>
      <c r="G1614" s="232">
        <v>9249.35</v>
      </c>
      <c r="H1614" s="35">
        <v>8.6920944494175423</v>
      </c>
      <c r="I1614" s="232">
        <v>11161.91</v>
      </c>
      <c r="J1614" s="35">
        <v>8.0137436173697765</v>
      </c>
      <c r="K1614" s="232">
        <v>10744.28</v>
      </c>
      <c r="L1614" s="35">
        <v>8.5135765094255529</v>
      </c>
      <c r="M1614" s="232">
        <v>36634.129999999997</v>
      </c>
      <c r="N1614" s="35">
        <v>7.3750238991301416</v>
      </c>
      <c r="P1614" s="232">
        <v>-20.239999999999998</v>
      </c>
      <c r="Q1614" s="35">
        <v>1.0737821698210581E-2</v>
      </c>
      <c r="R1614" s="232">
        <v>1912.57</v>
      </c>
      <c r="S1614" s="35">
        <v>0.67835083204776581</v>
      </c>
      <c r="T1614" s="232">
        <v>25889.85</v>
      </c>
      <c r="U1614" s="35">
        <v>1.1385526102954113</v>
      </c>
      <c r="W1614" s="35">
        <f t="shared" si="157"/>
        <v>557.13108491052913</v>
      </c>
      <c r="X1614" s="35">
        <f t="shared" si="158"/>
        <v>32004.971602388294</v>
      </c>
      <c r="Y1614" s="35">
        <f t="shared" si="159"/>
        <v>31037.780514770566</v>
      </c>
      <c r="Z1614" s="35">
        <f t="shared" si="160"/>
        <v>0</v>
      </c>
      <c r="AA1614" s="35">
        <f t="shared" si="161"/>
        <v>1</v>
      </c>
      <c r="AB1614" s="35">
        <f t="shared" si="162"/>
        <v>0</v>
      </c>
    </row>
    <row r="1615" spans="1:28">
      <c r="A1615" s="35">
        <v>1604</v>
      </c>
      <c r="B1615" s="35">
        <v>4.1867340114377818E-4</v>
      </c>
      <c r="C1615" s="232">
        <v>56.28</v>
      </c>
      <c r="D1615" s="35">
        <v>5.0616315173352628</v>
      </c>
      <c r="E1615" s="232">
        <v>34.93</v>
      </c>
      <c r="F1615" s="35">
        <v>5.0510944317955291</v>
      </c>
      <c r="G1615" s="232">
        <v>10604.74</v>
      </c>
      <c r="H1615" s="35">
        <v>9.2391172670129098</v>
      </c>
      <c r="I1615" s="232">
        <v>11730.91</v>
      </c>
      <c r="J1615" s="35">
        <v>7.8085845967288483</v>
      </c>
      <c r="K1615" s="232">
        <v>12908.27</v>
      </c>
      <c r="L1615" s="35">
        <v>8.9328121294000855</v>
      </c>
      <c r="M1615" s="232">
        <v>38971.730000000003</v>
      </c>
      <c r="N1615" s="35">
        <v>7.7893024299664537</v>
      </c>
      <c r="P1615" s="232">
        <v>-21.35</v>
      </c>
      <c r="Q1615" s="35">
        <v>1.0537085539733759E-2</v>
      </c>
      <c r="R1615" s="232">
        <v>1126.17</v>
      </c>
      <c r="S1615" s="35">
        <v>1.4305326702840615</v>
      </c>
      <c r="T1615" s="232">
        <v>26063.46</v>
      </c>
      <c r="U1615" s="35">
        <v>1.1435096994336318</v>
      </c>
      <c r="W1615" s="35">
        <f t="shared" si="157"/>
        <v>548.204276986688</v>
      </c>
      <c r="X1615" s="35">
        <f t="shared" si="158"/>
        <v>70400.463514203075</v>
      </c>
      <c r="Y1615" s="35">
        <f t="shared" si="159"/>
        <v>31112.024971681589</v>
      </c>
      <c r="Z1615" s="35">
        <f t="shared" si="160"/>
        <v>0</v>
      </c>
      <c r="AA1615" s="35">
        <f t="shared" si="161"/>
        <v>1</v>
      </c>
      <c r="AB1615" s="35">
        <f t="shared" si="162"/>
        <v>0</v>
      </c>
    </row>
    <row r="1616" spans="1:28">
      <c r="A1616" s="35">
        <v>1605</v>
      </c>
      <c r="B1616" s="35">
        <v>5.2757529038438555E-4</v>
      </c>
      <c r="C1616" s="232">
        <v>76.45</v>
      </c>
      <c r="D1616" s="35">
        <v>5.0668183456817992</v>
      </c>
      <c r="E1616" s="232">
        <v>41.07</v>
      </c>
      <c r="F1616" s="35">
        <v>5.0520604700709093</v>
      </c>
      <c r="G1616" s="232">
        <v>11399.37</v>
      </c>
      <c r="H1616" s="35">
        <v>9.2144898075690982</v>
      </c>
      <c r="I1616" s="232">
        <v>11979.78</v>
      </c>
      <c r="J1616" s="35">
        <v>7.7866563150390204</v>
      </c>
      <c r="K1616" s="232">
        <v>14637.79</v>
      </c>
      <c r="L1616" s="35">
        <v>8.6485177781107723</v>
      </c>
      <c r="M1616" s="232">
        <v>40715.99</v>
      </c>
      <c r="N1616" s="35">
        <v>7.5504103885694249</v>
      </c>
      <c r="P1616" s="232">
        <v>-35.380000000000003</v>
      </c>
      <c r="Q1616" s="35">
        <v>1.4757875610889926E-2</v>
      </c>
      <c r="R1616" s="232">
        <v>580.41</v>
      </c>
      <c r="S1616" s="35">
        <v>1.4278334925300777</v>
      </c>
      <c r="T1616" s="232">
        <v>26078.2</v>
      </c>
      <c r="U1616" s="35">
        <v>1.0981073895413473</v>
      </c>
      <c r="W1616" s="35">
        <f t="shared" si="157"/>
        <v>773.27378054449628</v>
      </c>
      <c r="X1616" s="35">
        <f t="shared" si="158"/>
        <v>70811.264626503878</v>
      </c>
      <c r="Y1616" s="35">
        <f t="shared" si="159"/>
        <v>28827.169477067368</v>
      </c>
      <c r="Z1616" s="35">
        <f t="shared" si="160"/>
        <v>0</v>
      </c>
      <c r="AA1616" s="35">
        <f t="shared" si="161"/>
        <v>1</v>
      </c>
      <c r="AB1616" s="35">
        <f t="shared" si="162"/>
        <v>0</v>
      </c>
    </row>
    <row r="1617" spans="1:28">
      <c r="A1617" s="35">
        <v>1606</v>
      </c>
      <c r="B1617" s="35">
        <v>3.4810064707429557E-4</v>
      </c>
      <c r="C1617" s="232">
        <v>48.18</v>
      </c>
      <c r="D1617" s="35">
        <v>5.0586749171815955</v>
      </c>
      <c r="E1617" s="232">
        <v>35.83</v>
      </c>
      <c r="F1617" s="35">
        <v>5.0517801897741457</v>
      </c>
      <c r="G1617" s="232">
        <v>11410.67</v>
      </c>
      <c r="H1617" s="35">
        <v>9.4008344560416948</v>
      </c>
      <c r="I1617" s="232">
        <v>13467.87</v>
      </c>
      <c r="J1617" s="35">
        <v>7.8813354473339841</v>
      </c>
      <c r="K1617" s="232">
        <v>11898.9</v>
      </c>
      <c r="L1617" s="35">
        <v>9.1559192382351107</v>
      </c>
      <c r="M1617" s="232">
        <v>37765.089999999997</v>
      </c>
      <c r="N1617" s="35">
        <v>8.1391449964698168</v>
      </c>
      <c r="P1617" s="232">
        <v>-12.35</v>
      </c>
      <c r="Q1617" s="35">
        <v>6.8947274074497855E-3</v>
      </c>
      <c r="R1617" s="232">
        <v>2057.1999999999998</v>
      </c>
      <c r="S1617" s="35">
        <v>1.5194990087077107</v>
      </c>
      <c r="T1617" s="232">
        <v>25866.19</v>
      </c>
      <c r="U1617" s="35">
        <v>1.0167742417652939</v>
      </c>
      <c r="W1617" s="35">
        <f t="shared" si="157"/>
        <v>357.08637037248928</v>
      </c>
      <c r="X1617" s="35">
        <f t="shared" si="158"/>
        <v>73917.750435385533</v>
      </c>
      <c r="Y1617" s="35">
        <f t="shared" si="159"/>
        <v>24972.522088264694</v>
      </c>
      <c r="Z1617" s="35">
        <f t="shared" si="160"/>
        <v>0</v>
      </c>
      <c r="AA1617" s="35">
        <f t="shared" si="161"/>
        <v>1</v>
      </c>
      <c r="AB1617" s="35">
        <f t="shared" si="162"/>
        <v>0</v>
      </c>
    </row>
    <row r="1618" spans="1:28">
      <c r="A1618" s="35">
        <v>1607</v>
      </c>
      <c r="B1618" s="35">
        <v>6.2339275417677698E-4</v>
      </c>
      <c r="C1618" s="232">
        <v>140.13999999999999</v>
      </c>
      <c r="D1618" s="35">
        <v>5.0699875862635553</v>
      </c>
      <c r="E1618" s="232">
        <v>86.05</v>
      </c>
      <c r="F1618" s="35">
        <v>5.0567707489969349</v>
      </c>
      <c r="G1618" s="232">
        <v>16872.02</v>
      </c>
      <c r="H1618" s="35">
        <v>8.3931607472704801</v>
      </c>
      <c r="I1618" s="232">
        <v>16605.12</v>
      </c>
      <c r="J1618" s="35">
        <v>7.167310397574064</v>
      </c>
      <c r="K1618" s="232">
        <v>25584.9</v>
      </c>
      <c r="L1618" s="35">
        <v>8.9527831708860326</v>
      </c>
      <c r="M1618" s="232">
        <v>52152.73</v>
      </c>
      <c r="N1618" s="35">
        <v>7.8692275311278435</v>
      </c>
      <c r="P1618" s="232">
        <v>-54.09</v>
      </c>
      <c r="Q1618" s="35">
        <v>1.3216837266620374E-2</v>
      </c>
      <c r="R1618" s="232">
        <v>-266.89999999999998</v>
      </c>
      <c r="S1618" s="35">
        <v>1.2258503496964162</v>
      </c>
      <c r="T1618" s="232">
        <v>26567.82</v>
      </c>
      <c r="U1618" s="35">
        <v>1.0835556397581891</v>
      </c>
      <c r="W1618" s="35">
        <f t="shared" si="157"/>
        <v>714.93186333101869</v>
      </c>
      <c r="X1618" s="35">
        <f t="shared" si="158"/>
        <v>61559.417484820806</v>
      </c>
      <c r="Y1618" s="35">
        <f t="shared" si="159"/>
        <v>27609.961987909461</v>
      </c>
      <c r="Z1618" s="35">
        <f t="shared" si="160"/>
        <v>0</v>
      </c>
      <c r="AA1618" s="35">
        <f t="shared" si="161"/>
        <v>1</v>
      </c>
      <c r="AB1618" s="35">
        <f t="shared" si="162"/>
        <v>0</v>
      </c>
    </row>
    <row r="1619" spans="1:28">
      <c r="A1619" s="35">
        <v>1608</v>
      </c>
      <c r="B1619" s="35">
        <v>4.3060239406576719E-4</v>
      </c>
      <c r="C1619" s="232">
        <v>56.75</v>
      </c>
      <c r="D1619" s="35">
        <v>5.0624798424609425</v>
      </c>
      <c r="E1619" s="232">
        <v>43.9</v>
      </c>
      <c r="F1619" s="35">
        <v>5.0553349661424276</v>
      </c>
      <c r="G1619" s="232">
        <v>10303.030000000001</v>
      </c>
      <c r="H1619" s="35">
        <v>9.200982813194619</v>
      </c>
      <c r="I1619" s="232">
        <v>11187.74</v>
      </c>
      <c r="J1619" s="35">
        <v>6.8346471836091487</v>
      </c>
      <c r="K1619" s="232">
        <v>11616.89</v>
      </c>
      <c r="L1619" s="35">
        <v>8.8155303863930747</v>
      </c>
      <c r="M1619" s="232">
        <v>37452.04</v>
      </c>
      <c r="N1619" s="35">
        <v>7.7997554727777532</v>
      </c>
      <c r="P1619" s="232">
        <v>-12.85</v>
      </c>
      <c r="Q1619" s="35">
        <v>7.1448763185149033E-3</v>
      </c>
      <c r="R1619" s="232">
        <v>884.71</v>
      </c>
      <c r="S1619" s="35">
        <v>2.3663356295854703</v>
      </c>
      <c r="T1619" s="232">
        <v>25835.15</v>
      </c>
      <c r="U1619" s="35">
        <v>1.0157749136153216</v>
      </c>
      <c r="W1619" s="35">
        <f t="shared" si="157"/>
        <v>370.09381592574516</v>
      </c>
      <c r="X1619" s="35">
        <f t="shared" si="158"/>
        <v>117432.07147927351</v>
      </c>
      <c r="Y1619" s="35">
        <f t="shared" si="159"/>
        <v>24953.595680766077</v>
      </c>
      <c r="Z1619" s="35">
        <f t="shared" si="160"/>
        <v>0</v>
      </c>
      <c r="AA1619" s="35">
        <f t="shared" si="161"/>
        <v>1</v>
      </c>
      <c r="AB1619" s="35">
        <f t="shared" si="162"/>
        <v>0</v>
      </c>
    </row>
    <row r="1620" spans="1:28">
      <c r="A1620" s="35">
        <v>1609</v>
      </c>
      <c r="B1620" s="35">
        <v>4.8069737979217209E-4</v>
      </c>
      <c r="C1620" s="232">
        <v>73.540000000000006</v>
      </c>
      <c r="D1620" s="35">
        <v>5.0634851355425594</v>
      </c>
      <c r="E1620" s="232">
        <v>46.09</v>
      </c>
      <c r="F1620" s="35">
        <v>5.0526681899004178</v>
      </c>
      <c r="G1620" s="232">
        <v>12328.41</v>
      </c>
      <c r="H1620" s="35">
        <v>9.0361214129345093</v>
      </c>
      <c r="I1620" s="232">
        <v>13900.93</v>
      </c>
      <c r="J1620" s="35">
        <v>8.2620879497136297</v>
      </c>
      <c r="K1620" s="232">
        <v>15397.69</v>
      </c>
      <c r="L1620" s="35">
        <v>8.3907699042379189</v>
      </c>
      <c r="M1620" s="232">
        <v>41559.96</v>
      </c>
      <c r="N1620" s="35">
        <v>7.3309317765585753</v>
      </c>
      <c r="P1620" s="232">
        <v>-27.45</v>
      </c>
      <c r="Q1620" s="35">
        <v>1.081694564214164E-2</v>
      </c>
      <c r="R1620" s="232">
        <v>1572.52</v>
      </c>
      <c r="S1620" s="35">
        <v>0.77403346322087963</v>
      </c>
      <c r="T1620" s="232">
        <v>26162.27</v>
      </c>
      <c r="U1620" s="35">
        <v>1.0598381276793436</v>
      </c>
      <c r="W1620" s="35">
        <f t="shared" si="157"/>
        <v>568.29728210708208</v>
      </c>
      <c r="X1620" s="35">
        <f t="shared" si="158"/>
        <v>37129.153161043985</v>
      </c>
      <c r="Y1620" s="35">
        <f t="shared" si="159"/>
        <v>26829.636383967179</v>
      </c>
      <c r="Z1620" s="35">
        <f t="shared" si="160"/>
        <v>0</v>
      </c>
      <c r="AA1620" s="35">
        <f t="shared" si="161"/>
        <v>1</v>
      </c>
      <c r="AB1620" s="35">
        <f t="shared" si="162"/>
        <v>0</v>
      </c>
    </row>
    <row r="1621" spans="1:28">
      <c r="A1621" s="35">
        <v>1610</v>
      </c>
      <c r="B1621" s="35">
        <v>4.0378916131217417E-4</v>
      </c>
      <c r="C1621" s="232">
        <v>66.209999999999994</v>
      </c>
      <c r="D1621" s="35">
        <v>5.058647674833491</v>
      </c>
      <c r="E1621" s="232">
        <v>39.76</v>
      </c>
      <c r="F1621" s="35">
        <v>5.0492208750962222</v>
      </c>
      <c r="G1621" s="232">
        <v>12077.24</v>
      </c>
      <c r="H1621" s="35">
        <v>8.7589811808816442</v>
      </c>
      <c r="I1621" s="232">
        <v>12255.74</v>
      </c>
      <c r="J1621" s="35">
        <v>7.2822449638171829</v>
      </c>
      <c r="K1621" s="232">
        <v>14739.31</v>
      </c>
      <c r="L1621" s="35">
        <v>8.4243251785059279</v>
      </c>
      <c r="M1621" s="232">
        <v>40981.64</v>
      </c>
      <c r="N1621" s="35">
        <v>7.33840836431723</v>
      </c>
      <c r="P1621" s="232">
        <v>-26.45</v>
      </c>
      <c r="Q1621" s="35">
        <v>9.4267997372687873E-3</v>
      </c>
      <c r="R1621" s="232">
        <v>178.5</v>
      </c>
      <c r="S1621" s="35">
        <v>1.4767362170644613</v>
      </c>
      <c r="T1621" s="232">
        <v>26242.33</v>
      </c>
      <c r="U1621" s="35">
        <v>1.0859168141886979</v>
      </c>
      <c r="W1621" s="35">
        <f t="shared" si="157"/>
        <v>497.78998686343937</v>
      </c>
      <c r="X1621" s="35">
        <f t="shared" si="158"/>
        <v>73658.310853223069</v>
      </c>
      <c r="Y1621" s="35">
        <f t="shared" si="159"/>
        <v>28053.510709434893</v>
      </c>
      <c r="Z1621" s="35">
        <f t="shared" si="160"/>
        <v>0</v>
      </c>
      <c r="AA1621" s="35">
        <f t="shared" si="161"/>
        <v>1</v>
      </c>
      <c r="AB1621" s="35">
        <f t="shared" si="162"/>
        <v>0</v>
      </c>
    </row>
    <row r="1622" spans="1:28">
      <c r="A1622" s="35">
        <v>1611</v>
      </c>
      <c r="B1622" s="35">
        <v>5.1125676812058263E-4</v>
      </c>
      <c r="C1622" s="232">
        <v>73.5</v>
      </c>
      <c r="D1622" s="35">
        <v>5.0643068475729862</v>
      </c>
      <c r="E1622" s="232">
        <v>40.93</v>
      </c>
      <c r="F1622" s="35">
        <v>5.0512978980211214</v>
      </c>
      <c r="G1622" s="232">
        <v>12363.24</v>
      </c>
      <c r="H1622" s="35">
        <v>8.7157907619129844</v>
      </c>
      <c r="I1622" s="232">
        <v>14740.72</v>
      </c>
      <c r="J1622" s="35">
        <v>7.6547579648761186</v>
      </c>
      <c r="K1622" s="232">
        <v>11988.55</v>
      </c>
      <c r="L1622" s="35">
        <v>8.6963995482145116</v>
      </c>
      <c r="M1622" s="232">
        <v>37959.96</v>
      </c>
      <c r="N1622" s="35">
        <v>7.616086935823307</v>
      </c>
      <c r="P1622" s="232">
        <v>-32.57</v>
      </c>
      <c r="Q1622" s="35">
        <v>1.3008949551864823E-2</v>
      </c>
      <c r="R1622" s="232">
        <v>2377.48</v>
      </c>
      <c r="S1622" s="35">
        <v>1.0610327970368658</v>
      </c>
      <c r="T1622" s="232">
        <v>25971.41</v>
      </c>
      <c r="U1622" s="35">
        <v>1.0803126123912046</v>
      </c>
      <c r="W1622" s="35">
        <f t="shared" si="157"/>
        <v>683.01747759324121</v>
      </c>
      <c r="X1622" s="35">
        <f t="shared" si="158"/>
        <v>50674.159851843287</v>
      </c>
      <c r="Y1622" s="35">
        <f t="shared" si="159"/>
        <v>28044.22061956023</v>
      </c>
      <c r="Z1622" s="35">
        <f t="shared" si="160"/>
        <v>0</v>
      </c>
      <c r="AA1622" s="35">
        <f t="shared" si="161"/>
        <v>1</v>
      </c>
      <c r="AB1622" s="35">
        <f t="shared" si="162"/>
        <v>0</v>
      </c>
    </row>
    <row r="1623" spans="1:28">
      <c r="A1623" s="35">
        <v>1612</v>
      </c>
      <c r="B1623" s="35">
        <v>4.4318694836802212E-4</v>
      </c>
      <c r="C1623" s="232">
        <v>60.13</v>
      </c>
      <c r="D1623" s="35">
        <v>5.0616946256582809</v>
      </c>
      <c r="E1623" s="232">
        <v>39.799999999999997</v>
      </c>
      <c r="F1623" s="35">
        <v>5.0522091085659442</v>
      </c>
      <c r="G1623" s="232">
        <v>10586.26</v>
      </c>
      <c r="H1623" s="35">
        <v>9.0088803815046496</v>
      </c>
      <c r="I1623" s="232">
        <v>12327.04</v>
      </c>
      <c r="J1623" s="35">
        <v>8.3281972546544569</v>
      </c>
      <c r="K1623" s="232">
        <v>12153.78</v>
      </c>
      <c r="L1623" s="35">
        <v>8.504263434654689</v>
      </c>
      <c r="M1623" s="232">
        <v>38119.040000000001</v>
      </c>
      <c r="N1623" s="35">
        <v>7.3320532788991164</v>
      </c>
      <c r="P1623" s="232">
        <v>-20.329999999999998</v>
      </c>
      <c r="Q1623" s="35">
        <v>9.4855170923366927E-3</v>
      </c>
      <c r="R1623" s="232">
        <v>1740.79</v>
      </c>
      <c r="S1623" s="35">
        <v>0.68068312685019272</v>
      </c>
      <c r="T1623" s="232">
        <v>25965.26</v>
      </c>
      <c r="U1623" s="35">
        <v>1.1722101557555726</v>
      </c>
      <c r="W1623" s="35">
        <f t="shared" si="157"/>
        <v>494.60585461683462</v>
      </c>
      <c r="X1623" s="35">
        <f t="shared" si="158"/>
        <v>32293.366342509638</v>
      </c>
      <c r="Y1623" s="35">
        <f t="shared" si="159"/>
        <v>32645.247787778633</v>
      </c>
      <c r="Z1623" s="35">
        <f t="shared" si="160"/>
        <v>0</v>
      </c>
      <c r="AA1623" s="35">
        <f t="shared" si="161"/>
        <v>0</v>
      </c>
      <c r="AB1623" s="35">
        <f t="shared" si="162"/>
        <v>1</v>
      </c>
    </row>
    <row r="1624" spans="1:28">
      <c r="A1624" s="35">
        <v>1613</v>
      </c>
      <c r="B1624" s="35">
        <v>4.1823077064876416E-4</v>
      </c>
      <c r="C1624" s="232">
        <v>83.09</v>
      </c>
      <c r="D1624" s="35">
        <v>5.0592176817125241</v>
      </c>
      <c r="E1624" s="232">
        <v>46.52</v>
      </c>
      <c r="F1624" s="35">
        <v>5.0489054038562085</v>
      </c>
      <c r="G1624" s="232">
        <v>15238.31</v>
      </c>
      <c r="H1624" s="35">
        <v>8.6147692365159774</v>
      </c>
      <c r="I1624" s="232">
        <v>14191.55</v>
      </c>
      <c r="J1624" s="35">
        <v>6.9688453736017646</v>
      </c>
      <c r="K1624" s="232">
        <v>22976.81</v>
      </c>
      <c r="L1624" s="35">
        <v>8.5850818741008901</v>
      </c>
      <c r="M1624" s="232">
        <v>49625.33</v>
      </c>
      <c r="N1624" s="35">
        <v>7.4167450508132653</v>
      </c>
      <c r="P1624" s="232">
        <v>-36.57</v>
      </c>
      <c r="Q1624" s="35">
        <v>1.031227785631561E-2</v>
      </c>
      <c r="R1624" s="232">
        <v>-1046.76</v>
      </c>
      <c r="S1624" s="35">
        <v>1.6459238629142128</v>
      </c>
      <c r="T1624" s="232">
        <v>26648.51</v>
      </c>
      <c r="U1624" s="35">
        <v>1.1683368232876248</v>
      </c>
      <c r="W1624" s="35">
        <f t="shared" si="157"/>
        <v>552.18389281578061</v>
      </c>
      <c r="X1624" s="35">
        <f t="shared" si="158"/>
        <v>83342.953145710635</v>
      </c>
      <c r="Y1624" s="35">
        <f t="shared" si="159"/>
        <v>31768.331164381238</v>
      </c>
      <c r="Z1624" s="35">
        <f t="shared" si="160"/>
        <v>0</v>
      </c>
      <c r="AA1624" s="35">
        <f t="shared" si="161"/>
        <v>1</v>
      </c>
      <c r="AB1624" s="35">
        <f t="shared" si="162"/>
        <v>0</v>
      </c>
    </row>
    <row r="1625" spans="1:28">
      <c r="A1625" s="35">
        <v>1614</v>
      </c>
      <c r="B1625" s="35">
        <v>4.5334866601898227E-4</v>
      </c>
      <c r="C1625" s="232">
        <v>74.86</v>
      </c>
      <c r="D1625" s="35">
        <v>5.0643339742360896</v>
      </c>
      <c r="E1625" s="232">
        <v>42.62</v>
      </c>
      <c r="F1625" s="35">
        <v>5.051665984876319</v>
      </c>
      <c r="G1625" s="232">
        <v>13600.15</v>
      </c>
      <c r="H1625" s="35">
        <v>9.4981032290860092</v>
      </c>
      <c r="I1625" s="232">
        <v>14842.28</v>
      </c>
      <c r="J1625" s="35">
        <v>7.7208871262079226</v>
      </c>
      <c r="K1625" s="232">
        <v>15507.63</v>
      </c>
      <c r="L1625" s="35">
        <v>8.9722936989115443</v>
      </c>
      <c r="M1625" s="232">
        <v>41514.870000000003</v>
      </c>
      <c r="N1625" s="35">
        <v>7.8147171069936405</v>
      </c>
      <c r="P1625" s="232">
        <v>-32.24</v>
      </c>
      <c r="Q1625" s="35">
        <v>1.2667989359770537E-2</v>
      </c>
      <c r="R1625" s="232">
        <v>1242.1300000000001</v>
      </c>
      <c r="S1625" s="35">
        <v>1.7772161028780866</v>
      </c>
      <c r="T1625" s="232">
        <v>26007.24</v>
      </c>
      <c r="U1625" s="35">
        <v>1.1575765919179037</v>
      </c>
      <c r="W1625" s="35">
        <f t="shared" si="157"/>
        <v>665.63946798852692</v>
      </c>
      <c r="X1625" s="35">
        <f t="shared" si="158"/>
        <v>87618.675143904329</v>
      </c>
      <c r="Y1625" s="35">
        <f t="shared" si="159"/>
        <v>31871.589595895184</v>
      </c>
      <c r="Z1625" s="35">
        <f t="shared" si="160"/>
        <v>0</v>
      </c>
      <c r="AA1625" s="35">
        <f t="shared" si="161"/>
        <v>1</v>
      </c>
      <c r="AB1625" s="35">
        <f t="shared" si="162"/>
        <v>0</v>
      </c>
    </row>
    <row r="1626" spans="1:28">
      <c r="A1626" s="35">
        <v>1615</v>
      </c>
      <c r="B1626" s="35">
        <v>5.8796732067156743E-4</v>
      </c>
      <c r="C1626" s="232">
        <v>86.49</v>
      </c>
      <c r="D1626" s="35">
        <v>5.0693790966908772</v>
      </c>
      <c r="E1626" s="232">
        <v>58.13</v>
      </c>
      <c r="F1626" s="35">
        <v>5.0577299322839107</v>
      </c>
      <c r="G1626" s="232">
        <v>11242.94</v>
      </c>
      <c r="H1626" s="35">
        <v>8.7869602027794809</v>
      </c>
      <c r="I1626" s="232">
        <v>12567.07</v>
      </c>
      <c r="J1626" s="35">
        <v>7.7222261717231655</v>
      </c>
      <c r="K1626" s="232">
        <v>13390.25</v>
      </c>
      <c r="L1626" s="35">
        <v>8.7528799074250898</v>
      </c>
      <c r="M1626" s="232">
        <v>39420.43</v>
      </c>
      <c r="N1626" s="35">
        <v>7.6001629504080412</v>
      </c>
      <c r="P1626" s="232">
        <v>-28.36</v>
      </c>
      <c r="Q1626" s="35">
        <v>1.1649164406966506E-2</v>
      </c>
      <c r="R1626" s="232">
        <v>1324.13</v>
      </c>
      <c r="S1626" s="35">
        <v>1.0647340310563154</v>
      </c>
      <c r="T1626" s="232">
        <v>26030.18</v>
      </c>
      <c r="U1626" s="35">
        <v>1.1527169570170486</v>
      </c>
      <c r="W1626" s="35">
        <f t="shared" si="157"/>
        <v>610.81822034832533</v>
      </c>
      <c r="X1626" s="35">
        <f t="shared" si="158"/>
        <v>51912.571552815774</v>
      </c>
      <c r="Y1626" s="35">
        <f t="shared" si="159"/>
        <v>31605.667850852427</v>
      </c>
      <c r="Z1626" s="35">
        <f t="shared" si="160"/>
        <v>0</v>
      </c>
      <c r="AA1626" s="35">
        <f t="shared" si="161"/>
        <v>1</v>
      </c>
      <c r="AB1626" s="35">
        <f t="shared" si="162"/>
        <v>0</v>
      </c>
    </row>
    <row r="1627" spans="1:28">
      <c r="A1627" s="35">
        <v>1616</v>
      </c>
      <c r="B1627" s="35">
        <v>5.7973475934836038E-4</v>
      </c>
      <c r="C1627" s="232">
        <v>81.510000000000005</v>
      </c>
      <c r="D1627" s="35">
        <v>5.0675028509137912</v>
      </c>
      <c r="E1627" s="232">
        <v>47.61</v>
      </c>
      <c r="F1627" s="35">
        <v>5.0538711114883474</v>
      </c>
      <c r="G1627" s="232">
        <v>10456.82</v>
      </c>
      <c r="H1627" s="35">
        <v>8.4920763603085074</v>
      </c>
      <c r="I1627" s="232">
        <v>12103.52</v>
      </c>
      <c r="J1627" s="35">
        <v>8.0591558551970319</v>
      </c>
      <c r="K1627" s="232">
        <v>15230.46</v>
      </c>
      <c r="L1627" s="35">
        <v>8.8065930061557616</v>
      </c>
      <c r="M1627" s="232">
        <v>41143.699999999997</v>
      </c>
      <c r="N1627" s="35">
        <v>7.7029071113234382</v>
      </c>
      <c r="P1627" s="232">
        <v>-33.89</v>
      </c>
      <c r="Q1627" s="35">
        <v>1.3631739425443712E-2</v>
      </c>
      <c r="R1627" s="232">
        <v>1646.7</v>
      </c>
      <c r="S1627" s="35">
        <v>0.43292050511147551</v>
      </c>
      <c r="T1627" s="232">
        <v>25913.24</v>
      </c>
      <c r="U1627" s="35">
        <v>1.1036858948323234</v>
      </c>
      <c r="W1627" s="35">
        <f t="shared" si="157"/>
        <v>715.47697127218555</v>
      </c>
      <c r="X1627" s="35">
        <f t="shared" si="158"/>
        <v>19999.325255573774</v>
      </c>
      <c r="Y1627" s="35">
        <f t="shared" si="159"/>
        <v>29271.054741616168</v>
      </c>
      <c r="Z1627" s="35">
        <f t="shared" si="160"/>
        <v>0</v>
      </c>
      <c r="AA1627" s="35">
        <f t="shared" si="161"/>
        <v>0</v>
      </c>
      <c r="AB1627" s="35">
        <f t="shared" si="162"/>
        <v>1</v>
      </c>
    </row>
    <row r="1628" spans="1:28">
      <c r="A1628" s="35">
        <v>1617</v>
      </c>
      <c r="B1628" s="35">
        <v>3.900487596651944E-4</v>
      </c>
      <c r="C1628" s="232">
        <v>55.85</v>
      </c>
      <c r="D1628" s="35">
        <v>5.0587640027068863</v>
      </c>
      <c r="E1628" s="232">
        <v>33.07</v>
      </c>
      <c r="F1628" s="35">
        <v>5.0488982026856517</v>
      </c>
      <c r="G1628" s="232">
        <v>11079.24</v>
      </c>
      <c r="H1628" s="35">
        <v>8.8784710890533773</v>
      </c>
      <c r="I1628" s="232">
        <v>12336.91</v>
      </c>
      <c r="J1628" s="35">
        <v>7.6818331091436685</v>
      </c>
      <c r="K1628" s="232">
        <v>12727.77</v>
      </c>
      <c r="L1628" s="35">
        <v>8.7783071991236561</v>
      </c>
      <c r="M1628" s="232">
        <v>38610.370000000003</v>
      </c>
      <c r="N1628" s="35">
        <v>7.6384886971722947</v>
      </c>
      <c r="P1628" s="232">
        <v>-22.77</v>
      </c>
      <c r="Q1628" s="35">
        <v>9.8658000212346053E-3</v>
      </c>
      <c r="R1628" s="232">
        <v>1257.67</v>
      </c>
      <c r="S1628" s="35">
        <v>1.1966379799097089</v>
      </c>
      <c r="T1628" s="232">
        <v>25882.6</v>
      </c>
      <c r="U1628" s="35">
        <v>1.1398185019513614</v>
      </c>
      <c r="W1628" s="35">
        <f t="shared" si="157"/>
        <v>516.0600010617303</v>
      </c>
      <c r="X1628" s="35">
        <f t="shared" si="158"/>
        <v>58574.228995485442</v>
      </c>
      <c r="Y1628" s="35">
        <f t="shared" si="159"/>
        <v>31108.325097568071</v>
      </c>
      <c r="Z1628" s="35">
        <f t="shared" si="160"/>
        <v>0</v>
      </c>
      <c r="AA1628" s="35">
        <f t="shared" si="161"/>
        <v>1</v>
      </c>
      <c r="AB1628" s="35">
        <f t="shared" si="162"/>
        <v>0</v>
      </c>
    </row>
    <row r="1629" spans="1:28">
      <c r="A1629" s="35">
        <v>1618</v>
      </c>
      <c r="B1629" s="35">
        <v>3.8743103135500506E-4</v>
      </c>
      <c r="C1629" s="232">
        <v>58.14</v>
      </c>
      <c r="D1629" s="35">
        <v>5.0574078343466971</v>
      </c>
      <c r="E1629" s="232">
        <v>39.07</v>
      </c>
      <c r="F1629" s="35">
        <v>5.0497889148498771</v>
      </c>
      <c r="G1629" s="232">
        <v>11438.06</v>
      </c>
      <c r="H1629" s="35">
        <v>8.4944089691969697</v>
      </c>
      <c r="I1629" s="232">
        <v>12277.6</v>
      </c>
      <c r="J1629" s="35">
        <v>7.2994575512171664</v>
      </c>
      <c r="K1629" s="232">
        <v>15340.6</v>
      </c>
      <c r="L1629" s="35">
        <v>8.433486067341601</v>
      </c>
      <c r="M1629" s="232">
        <v>41471.35</v>
      </c>
      <c r="N1629" s="35">
        <v>7.2842820190524371</v>
      </c>
      <c r="P1629" s="232">
        <v>-19.07</v>
      </c>
      <c r="Q1629" s="35">
        <v>7.6189194968199203E-3</v>
      </c>
      <c r="R1629" s="232">
        <v>839.54</v>
      </c>
      <c r="S1629" s="35">
        <v>1.1949514179798033</v>
      </c>
      <c r="T1629" s="232">
        <v>26130.75</v>
      </c>
      <c r="U1629" s="35">
        <v>1.1492040482891639</v>
      </c>
      <c r="W1629" s="35">
        <f t="shared" si="157"/>
        <v>400.01597484099602</v>
      </c>
      <c r="X1629" s="35">
        <f t="shared" si="158"/>
        <v>58908.030898990168</v>
      </c>
      <c r="Y1629" s="35">
        <f t="shared" si="159"/>
        <v>31329.452414458196</v>
      </c>
      <c r="Z1629" s="35">
        <f t="shared" si="160"/>
        <v>0</v>
      </c>
      <c r="AA1629" s="35">
        <f t="shared" si="161"/>
        <v>1</v>
      </c>
      <c r="AB1629" s="35">
        <f t="shared" si="162"/>
        <v>0</v>
      </c>
    </row>
    <row r="1630" spans="1:28">
      <c r="A1630" s="35">
        <v>1619</v>
      </c>
      <c r="B1630" s="35">
        <v>3.1826111999626013E-4</v>
      </c>
      <c r="C1630" s="232">
        <v>45.02</v>
      </c>
      <c r="D1630" s="35">
        <v>5.0558739282919056</v>
      </c>
      <c r="E1630" s="232">
        <v>28.82</v>
      </c>
      <c r="F1630" s="35">
        <v>5.0479528020615394</v>
      </c>
      <c r="G1630" s="232">
        <v>11113.53</v>
      </c>
      <c r="H1630" s="35">
        <v>9.2425839899268905</v>
      </c>
      <c r="I1630" s="232">
        <v>12281.16</v>
      </c>
      <c r="J1630" s="35">
        <v>7.7681681024426092</v>
      </c>
      <c r="K1630" s="232">
        <v>12897.43</v>
      </c>
      <c r="L1630" s="35">
        <v>8.6909972974413652</v>
      </c>
      <c r="M1630" s="232">
        <v>38958.06</v>
      </c>
      <c r="N1630" s="35">
        <v>7.5009036127705739</v>
      </c>
      <c r="P1630" s="232">
        <v>-16.2</v>
      </c>
      <c r="Q1630" s="35">
        <v>7.9211262303662267E-3</v>
      </c>
      <c r="R1630" s="232">
        <v>1167.6300000000001</v>
      </c>
      <c r="S1630" s="35">
        <v>1.4744158874842812</v>
      </c>
      <c r="T1630" s="232">
        <v>26060.63</v>
      </c>
      <c r="U1630" s="35">
        <v>1.1900936846707912</v>
      </c>
      <c r="W1630" s="35">
        <f t="shared" si="157"/>
        <v>412.25631151831129</v>
      </c>
      <c r="X1630" s="35">
        <f t="shared" si="158"/>
        <v>72553.164374214059</v>
      </c>
      <c r="Y1630" s="35">
        <f t="shared" si="159"/>
        <v>33444.054233539558</v>
      </c>
      <c r="Z1630" s="35">
        <f t="shared" si="160"/>
        <v>0</v>
      </c>
      <c r="AA1630" s="35">
        <f t="shared" si="161"/>
        <v>1</v>
      </c>
      <c r="AB1630" s="35">
        <f t="shared" si="162"/>
        <v>0</v>
      </c>
    </row>
    <row r="1631" spans="1:28">
      <c r="A1631" s="35">
        <v>1620</v>
      </c>
      <c r="B1631" s="35">
        <v>3.9238163610904919E-4</v>
      </c>
      <c r="C1631" s="232">
        <v>65.77</v>
      </c>
      <c r="D1631" s="35">
        <v>5.0579918962049319</v>
      </c>
      <c r="E1631" s="232">
        <v>45.99</v>
      </c>
      <c r="F1631" s="35">
        <v>5.0508391564499524</v>
      </c>
      <c r="G1631" s="232">
        <v>12253.85</v>
      </c>
      <c r="H1631" s="35">
        <v>8.6068415666610072</v>
      </c>
      <c r="I1631" s="232">
        <v>13090.04</v>
      </c>
      <c r="J1631" s="35">
        <v>7.783330863625169</v>
      </c>
      <c r="K1631" s="232">
        <v>17304.63</v>
      </c>
      <c r="L1631" s="35">
        <v>8.5233145551645926</v>
      </c>
      <c r="M1631" s="232">
        <v>43400.639999999999</v>
      </c>
      <c r="N1631" s="35">
        <v>7.4988912496376523</v>
      </c>
      <c r="P1631" s="232">
        <v>-19.78</v>
      </c>
      <c r="Q1631" s="35">
        <v>7.1527397549795424E-3</v>
      </c>
      <c r="R1631" s="232">
        <v>836.19</v>
      </c>
      <c r="S1631" s="35">
        <v>0.82351070303583818</v>
      </c>
      <c r="T1631" s="232">
        <v>26096.01</v>
      </c>
      <c r="U1631" s="35">
        <v>1.0244233055269403</v>
      </c>
      <c r="W1631" s="35">
        <f t="shared" si="157"/>
        <v>377.41698774897714</v>
      </c>
      <c r="X1631" s="35">
        <f t="shared" si="158"/>
        <v>40339.345151791909</v>
      </c>
      <c r="Y1631" s="35">
        <f t="shared" si="159"/>
        <v>25125.155276347014</v>
      </c>
      <c r="Z1631" s="35">
        <f t="shared" si="160"/>
        <v>0</v>
      </c>
      <c r="AA1631" s="35">
        <f t="shared" si="161"/>
        <v>1</v>
      </c>
      <c r="AB1631" s="35">
        <f t="shared" si="162"/>
        <v>0</v>
      </c>
    </row>
    <row r="1632" spans="1:28">
      <c r="A1632" s="35">
        <v>1621</v>
      </c>
      <c r="B1632" s="35">
        <v>4.5525255439704537E-4</v>
      </c>
      <c r="C1632" s="232">
        <v>70.239999999999995</v>
      </c>
      <c r="D1632" s="35">
        <v>5.0626278696827418</v>
      </c>
      <c r="E1632" s="232">
        <v>41.83</v>
      </c>
      <c r="F1632" s="35">
        <v>5.0513474794857416</v>
      </c>
      <c r="G1632" s="232">
        <v>12034.19</v>
      </c>
      <c r="H1632" s="35">
        <v>9.1958086961237111</v>
      </c>
      <c r="I1632" s="232">
        <v>13526.62</v>
      </c>
      <c r="J1632" s="35">
        <v>8.4665095917057425</v>
      </c>
      <c r="K1632" s="232">
        <v>14060.89</v>
      </c>
      <c r="L1632" s="35">
        <v>8.5728867836668332</v>
      </c>
      <c r="M1632" s="232">
        <v>39975.980000000003</v>
      </c>
      <c r="N1632" s="35">
        <v>7.550484124501569</v>
      </c>
      <c r="P1632" s="232">
        <v>-28.41</v>
      </c>
      <c r="Q1632" s="35">
        <v>1.1280390197000223E-2</v>
      </c>
      <c r="R1632" s="232">
        <v>1492.43</v>
      </c>
      <c r="S1632" s="35">
        <v>0.72929910441796864</v>
      </c>
      <c r="T1632" s="232">
        <v>25915.09</v>
      </c>
      <c r="U1632" s="35">
        <v>1.0224026591652642</v>
      </c>
      <c r="W1632" s="35">
        <f t="shared" si="157"/>
        <v>592.42950985001107</v>
      </c>
      <c r="X1632" s="35">
        <f t="shared" si="158"/>
        <v>34972.525220898431</v>
      </c>
      <c r="Y1632" s="35">
        <f t="shared" si="159"/>
        <v>25205.04295826321</v>
      </c>
      <c r="Z1632" s="35">
        <f t="shared" si="160"/>
        <v>0</v>
      </c>
      <c r="AA1632" s="35">
        <f t="shared" si="161"/>
        <v>1</v>
      </c>
      <c r="AB1632" s="35">
        <f t="shared" si="162"/>
        <v>0</v>
      </c>
    </row>
    <row r="1633" spans="1:28">
      <c r="A1633" s="35">
        <v>1622</v>
      </c>
      <c r="B1633" s="35">
        <v>4.0516337770147307E-4</v>
      </c>
      <c r="C1633" s="232">
        <v>60.57</v>
      </c>
      <c r="D1633" s="35">
        <v>5.0604707549186605</v>
      </c>
      <c r="E1633" s="232">
        <v>40.01</v>
      </c>
      <c r="F1633" s="35">
        <v>5.0514544307919476</v>
      </c>
      <c r="G1633" s="232">
        <v>11457.08</v>
      </c>
      <c r="H1633" s="35">
        <v>9.2073262785661392</v>
      </c>
      <c r="I1633" s="232">
        <v>12858.55</v>
      </c>
      <c r="J1633" s="35">
        <v>8.3404966560561355</v>
      </c>
      <c r="K1633" s="232">
        <v>13182.82</v>
      </c>
      <c r="L1633" s="35">
        <v>8.7651086212339884</v>
      </c>
      <c r="M1633" s="232">
        <v>38990.089999999997</v>
      </c>
      <c r="N1633" s="35">
        <v>7.7369985544408184</v>
      </c>
      <c r="P1633" s="232">
        <v>-20.56</v>
      </c>
      <c r="Q1633" s="35">
        <v>9.0163241267129379E-3</v>
      </c>
      <c r="R1633" s="232">
        <v>1401.47</v>
      </c>
      <c r="S1633" s="35">
        <v>0.86682962251000362</v>
      </c>
      <c r="T1633" s="232">
        <v>25807.27</v>
      </c>
      <c r="U1633" s="35">
        <v>1.02811006679317</v>
      </c>
      <c r="W1633" s="35">
        <f t="shared" si="157"/>
        <v>471.37620633564688</v>
      </c>
      <c r="X1633" s="35">
        <f t="shared" si="158"/>
        <v>41940.011125500183</v>
      </c>
      <c r="Y1633" s="35">
        <f t="shared" si="159"/>
        <v>25598.233339658498</v>
      </c>
      <c r="Z1633" s="35">
        <f t="shared" si="160"/>
        <v>0</v>
      </c>
      <c r="AA1633" s="35">
        <f t="shared" si="161"/>
        <v>1</v>
      </c>
      <c r="AB1633" s="35">
        <f t="shared" si="162"/>
        <v>0</v>
      </c>
    </row>
    <row r="1634" spans="1:28">
      <c r="A1634" s="35">
        <v>1623</v>
      </c>
      <c r="B1634" s="35">
        <v>4.7667225375924716E-4</v>
      </c>
      <c r="C1634" s="232">
        <v>85.98</v>
      </c>
      <c r="D1634" s="35">
        <v>5.0626974447602962</v>
      </c>
      <c r="E1634" s="232">
        <v>53.86</v>
      </c>
      <c r="F1634" s="35">
        <v>5.0523867179378321</v>
      </c>
      <c r="G1634" s="232">
        <v>13311.36</v>
      </c>
      <c r="H1634" s="35">
        <v>8.698197480016006</v>
      </c>
      <c r="I1634" s="232">
        <v>12578.58</v>
      </c>
      <c r="J1634" s="35">
        <v>7.2205009750150539</v>
      </c>
      <c r="K1634" s="232">
        <v>19833.48</v>
      </c>
      <c r="L1634" s="35">
        <v>8.6746307399702989</v>
      </c>
      <c r="M1634" s="232">
        <v>46244.52</v>
      </c>
      <c r="N1634" s="35">
        <v>7.5939000158617072</v>
      </c>
      <c r="P1634" s="232">
        <v>-32.119999999999997</v>
      </c>
      <c r="Q1634" s="35">
        <v>1.0310726822464034E-2</v>
      </c>
      <c r="R1634" s="232">
        <v>-732.78</v>
      </c>
      <c r="S1634" s="35">
        <v>1.4776965050009521</v>
      </c>
      <c r="T1634" s="232">
        <v>26411.040000000001</v>
      </c>
      <c r="U1634" s="35">
        <v>1.0807307241085917</v>
      </c>
      <c r="W1634" s="35">
        <f t="shared" si="157"/>
        <v>547.65634112320174</v>
      </c>
      <c r="X1634" s="35">
        <f t="shared" si="158"/>
        <v>74617.605250047607</v>
      </c>
      <c r="Y1634" s="35">
        <f t="shared" si="159"/>
        <v>27625.496205429583</v>
      </c>
      <c r="Z1634" s="35">
        <f t="shared" si="160"/>
        <v>0</v>
      </c>
      <c r="AA1634" s="35">
        <f t="shared" si="161"/>
        <v>1</v>
      </c>
      <c r="AB1634" s="35">
        <f t="shared" si="162"/>
        <v>0</v>
      </c>
    </row>
    <row r="1635" spans="1:28">
      <c r="A1635" s="35">
        <v>1624</v>
      </c>
      <c r="B1635" s="35">
        <v>3.6538049483391717E-4</v>
      </c>
      <c r="C1635" s="232">
        <v>70.8</v>
      </c>
      <c r="D1635" s="35">
        <v>5.0574509730384056</v>
      </c>
      <c r="E1635" s="232">
        <v>45.15</v>
      </c>
      <c r="F1635" s="35">
        <v>5.0493655059904468</v>
      </c>
      <c r="G1635" s="232">
        <v>14917.33</v>
      </c>
      <c r="H1635" s="35">
        <v>8.8881541564417432</v>
      </c>
      <c r="I1635" s="232">
        <v>16421.689999999999</v>
      </c>
      <c r="J1635" s="35">
        <v>8.3669841700509071</v>
      </c>
      <c r="K1635" s="232">
        <v>19492.52</v>
      </c>
      <c r="L1635" s="35">
        <v>8.6383440953885131</v>
      </c>
      <c r="M1635" s="232">
        <v>45942.81</v>
      </c>
      <c r="N1635" s="35">
        <v>7.4973348205756043</v>
      </c>
      <c r="P1635" s="232">
        <v>-25.65</v>
      </c>
      <c r="Q1635" s="35">
        <v>8.0854670479588719E-3</v>
      </c>
      <c r="R1635" s="232">
        <v>1504.36</v>
      </c>
      <c r="S1635" s="35">
        <v>0.52116998639083612</v>
      </c>
      <c r="T1635" s="232">
        <v>26450.29</v>
      </c>
      <c r="U1635" s="35">
        <v>1.1410092748129088</v>
      </c>
      <c r="W1635" s="35">
        <f t="shared" si="157"/>
        <v>429.92335239794357</v>
      </c>
      <c r="X1635" s="35">
        <f t="shared" si="158"/>
        <v>24554.139319541806</v>
      </c>
      <c r="Y1635" s="35">
        <f t="shared" si="159"/>
        <v>30600.173740645441</v>
      </c>
      <c r="Z1635" s="35">
        <f t="shared" si="160"/>
        <v>0</v>
      </c>
      <c r="AA1635" s="35">
        <f t="shared" si="161"/>
        <v>0</v>
      </c>
      <c r="AB1635" s="35">
        <f t="shared" si="162"/>
        <v>1</v>
      </c>
    </row>
    <row r="1636" spans="1:28">
      <c r="A1636" s="35">
        <v>1625</v>
      </c>
      <c r="B1636" s="35">
        <v>3.2703730282290311E-4</v>
      </c>
      <c r="C1636" s="232">
        <v>54.83</v>
      </c>
      <c r="D1636" s="35">
        <v>5.0559629253871119</v>
      </c>
      <c r="E1636" s="232">
        <v>37.47</v>
      </c>
      <c r="F1636" s="35">
        <v>5.0490453193905696</v>
      </c>
      <c r="G1636" s="232">
        <v>12472.97</v>
      </c>
      <c r="H1636" s="35">
        <v>9.0486388116306085</v>
      </c>
      <c r="I1636" s="232">
        <v>11147.6</v>
      </c>
      <c r="J1636" s="35">
        <v>6.9492046192377082</v>
      </c>
      <c r="K1636" s="232">
        <v>17361.599999999999</v>
      </c>
      <c r="L1636" s="35">
        <v>8.7427517156010666</v>
      </c>
      <c r="M1636" s="232">
        <v>43609.79</v>
      </c>
      <c r="N1636" s="35">
        <v>7.5710914193643379</v>
      </c>
      <c r="P1636" s="232">
        <v>-17.36</v>
      </c>
      <c r="Q1636" s="35">
        <v>6.917605996542342E-3</v>
      </c>
      <c r="R1636" s="232">
        <v>-1325.37</v>
      </c>
      <c r="S1636" s="35">
        <v>2.0994341923929003</v>
      </c>
      <c r="T1636" s="232">
        <v>26248.19</v>
      </c>
      <c r="U1636" s="35">
        <v>1.1716602962367286</v>
      </c>
      <c r="W1636" s="35">
        <f t="shared" si="157"/>
        <v>363.2402998271171</v>
      </c>
      <c r="X1636" s="35">
        <f t="shared" si="158"/>
        <v>106297.07961964501</v>
      </c>
      <c r="Y1636" s="35">
        <f t="shared" si="159"/>
        <v>32334.824811836432</v>
      </c>
      <c r="Z1636" s="35">
        <f t="shared" si="160"/>
        <v>0</v>
      </c>
      <c r="AA1636" s="35">
        <f t="shared" si="161"/>
        <v>1</v>
      </c>
      <c r="AB1636" s="35">
        <f t="shared" si="162"/>
        <v>0</v>
      </c>
    </row>
    <row r="1637" spans="1:28">
      <c r="A1637" s="35">
        <v>1626</v>
      </c>
      <c r="B1637" s="35">
        <v>4.5610327666179007E-4</v>
      </c>
      <c r="C1637" s="232">
        <v>69.41</v>
      </c>
      <c r="D1637" s="35">
        <v>5.0635072074142693</v>
      </c>
      <c r="E1637" s="232">
        <v>44.87</v>
      </c>
      <c r="F1637" s="35">
        <v>5.0531113121604063</v>
      </c>
      <c r="G1637" s="232">
        <v>11786.21</v>
      </c>
      <c r="H1637" s="35">
        <v>9.14816569877914</v>
      </c>
      <c r="I1637" s="232">
        <v>11945.23</v>
      </c>
      <c r="J1637" s="35">
        <v>7.3178522214092894</v>
      </c>
      <c r="K1637" s="232">
        <v>15479.72</v>
      </c>
      <c r="L1637" s="35">
        <v>8.7691115408880069</v>
      </c>
      <c r="M1637" s="232">
        <v>41607.1</v>
      </c>
      <c r="N1637" s="35">
        <v>7.6410237390263633</v>
      </c>
      <c r="P1637" s="232">
        <v>-24.54</v>
      </c>
      <c r="Q1637" s="35">
        <v>1.0395895253862975E-2</v>
      </c>
      <c r="R1637" s="232">
        <v>159.01</v>
      </c>
      <c r="S1637" s="35">
        <v>1.8303134773698506</v>
      </c>
      <c r="T1637" s="232">
        <v>26127.38</v>
      </c>
      <c r="U1637" s="35">
        <v>1.1280878018616436</v>
      </c>
      <c r="W1637" s="35">
        <f t="shared" si="157"/>
        <v>544.33476269314872</v>
      </c>
      <c r="X1637" s="35">
        <f t="shared" si="158"/>
        <v>91356.663868492542</v>
      </c>
      <c r="Y1637" s="35">
        <f t="shared" si="159"/>
        <v>30277.010093082175</v>
      </c>
      <c r="Z1637" s="35">
        <f t="shared" si="160"/>
        <v>0</v>
      </c>
      <c r="AA1637" s="35">
        <f t="shared" si="161"/>
        <v>1</v>
      </c>
      <c r="AB1637" s="35">
        <f t="shared" si="162"/>
        <v>0</v>
      </c>
    </row>
    <row r="1638" spans="1:28">
      <c r="A1638" s="35">
        <v>1627</v>
      </c>
      <c r="B1638" s="35">
        <v>4.820414204302903E-4</v>
      </c>
      <c r="C1638" s="232">
        <v>116.35</v>
      </c>
      <c r="D1638" s="35">
        <v>5.0630557868103505</v>
      </c>
      <c r="E1638" s="232">
        <v>58.81</v>
      </c>
      <c r="F1638" s="35">
        <v>5.0498332187345634</v>
      </c>
      <c r="G1638" s="232">
        <v>18734.71</v>
      </c>
      <c r="H1638" s="35">
        <v>8.9779242845191689</v>
      </c>
      <c r="I1638" s="232">
        <v>18646.47</v>
      </c>
      <c r="J1638" s="35">
        <v>7.904307327002944</v>
      </c>
      <c r="K1638" s="232">
        <v>24728.68</v>
      </c>
      <c r="L1638" s="35">
        <v>8.518411929976855</v>
      </c>
      <c r="M1638" s="232">
        <v>51295.32</v>
      </c>
      <c r="N1638" s="35">
        <v>7.465933956496122</v>
      </c>
      <c r="P1638" s="232">
        <v>-57.54</v>
      </c>
      <c r="Q1638" s="35">
        <v>1.3222568075787144E-2</v>
      </c>
      <c r="R1638" s="232">
        <v>-88.24</v>
      </c>
      <c r="S1638" s="35">
        <v>1.0736169575162249</v>
      </c>
      <c r="T1638" s="232">
        <v>26566.639999999999</v>
      </c>
      <c r="U1638" s="35">
        <v>1.052477973480733</v>
      </c>
      <c r="W1638" s="35">
        <f t="shared" si="157"/>
        <v>718.66840378935717</v>
      </c>
      <c r="X1638" s="35">
        <f t="shared" si="158"/>
        <v>53769.087875811245</v>
      </c>
      <c r="Y1638" s="35">
        <f t="shared" si="159"/>
        <v>26057.258674036653</v>
      </c>
      <c r="Z1638" s="35">
        <f t="shared" si="160"/>
        <v>0</v>
      </c>
      <c r="AA1638" s="35">
        <f t="shared" si="161"/>
        <v>1</v>
      </c>
      <c r="AB1638" s="35">
        <f t="shared" si="162"/>
        <v>0</v>
      </c>
    </row>
    <row r="1639" spans="1:28">
      <c r="A1639" s="35">
        <v>1628</v>
      </c>
      <c r="B1639" s="35">
        <v>3.632381009480321E-4</v>
      </c>
      <c r="C1639" s="232">
        <v>58.12</v>
      </c>
      <c r="D1639" s="35">
        <v>5.0557688361814215</v>
      </c>
      <c r="E1639" s="232">
        <v>37.880000000000003</v>
      </c>
      <c r="F1639" s="35">
        <v>5.048428027285448</v>
      </c>
      <c r="G1639" s="232">
        <v>12201.29</v>
      </c>
      <c r="H1639" s="35">
        <v>8.2232365741883839</v>
      </c>
      <c r="I1639" s="232">
        <v>13714.54</v>
      </c>
      <c r="J1639" s="35">
        <v>7.5787793112421245</v>
      </c>
      <c r="K1639" s="232">
        <v>16565.28</v>
      </c>
      <c r="L1639" s="35">
        <v>8.6794552814641719</v>
      </c>
      <c r="M1639" s="232">
        <v>42817.7</v>
      </c>
      <c r="N1639" s="35">
        <v>7.6097058721229995</v>
      </c>
      <c r="P1639" s="232">
        <v>-20.239999999999998</v>
      </c>
      <c r="Q1639" s="35">
        <v>7.3408088959734386E-3</v>
      </c>
      <c r="R1639" s="232">
        <v>1513.24</v>
      </c>
      <c r="S1639" s="35">
        <v>0.64445726294625949</v>
      </c>
      <c r="T1639" s="232">
        <v>26252.42</v>
      </c>
      <c r="U1639" s="35">
        <v>1.0697494093411724</v>
      </c>
      <c r="W1639" s="35">
        <f t="shared" si="157"/>
        <v>387.28044479867197</v>
      </c>
      <c r="X1639" s="35">
        <f t="shared" si="158"/>
        <v>30709.623147312974</v>
      </c>
      <c r="Y1639" s="35">
        <f t="shared" si="159"/>
        <v>27235.050467058616</v>
      </c>
      <c r="Z1639" s="35">
        <f t="shared" si="160"/>
        <v>0</v>
      </c>
      <c r="AA1639" s="35">
        <f t="shared" si="161"/>
        <v>1</v>
      </c>
      <c r="AB1639" s="35">
        <f t="shared" si="162"/>
        <v>0</v>
      </c>
    </row>
    <row r="1640" spans="1:28">
      <c r="A1640" s="35">
        <v>1629</v>
      </c>
      <c r="B1640" s="35">
        <v>3.3218108316293099E-4</v>
      </c>
      <c r="C1640" s="232">
        <v>53.32</v>
      </c>
      <c r="D1640" s="35">
        <v>5.0567205126910908</v>
      </c>
      <c r="E1640" s="232">
        <v>30.68</v>
      </c>
      <c r="F1640" s="35">
        <v>5.0474450076779904</v>
      </c>
      <c r="G1640" s="232">
        <v>12999.71</v>
      </c>
      <c r="H1640" s="35">
        <v>9.2303113763478049</v>
      </c>
      <c r="I1640" s="232">
        <v>14017.14</v>
      </c>
      <c r="J1640" s="35">
        <v>7.7299305356236392</v>
      </c>
      <c r="K1640" s="232">
        <v>15798.86</v>
      </c>
      <c r="L1640" s="35">
        <v>8.8844187185004628</v>
      </c>
      <c r="M1640" s="232">
        <v>41822.720000000001</v>
      </c>
      <c r="N1640" s="35">
        <v>7.6895089891090427</v>
      </c>
      <c r="P1640" s="232">
        <v>-22.65</v>
      </c>
      <c r="Q1640" s="35">
        <v>9.2755050131003713E-3</v>
      </c>
      <c r="R1640" s="232">
        <v>1017.44</v>
      </c>
      <c r="S1640" s="35">
        <v>1.5003808407241657</v>
      </c>
      <c r="T1640" s="232">
        <v>26023.86</v>
      </c>
      <c r="U1640" s="35">
        <v>1.1949097293914202</v>
      </c>
      <c r="W1640" s="35">
        <f t="shared" si="157"/>
        <v>486.42525065501854</v>
      </c>
      <c r="X1640" s="35">
        <f t="shared" si="158"/>
        <v>74001.602036208278</v>
      </c>
      <c r="Y1640" s="35">
        <f t="shared" si="159"/>
        <v>33721.626469571005</v>
      </c>
      <c r="Z1640" s="35">
        <f t="shared" si="160"/>
        <v>0</v>
      </c>
      <c r="AA1640" s="35">
        <f t="shared" si="161"/>
        <v>1</v>
      </c>
      <c r="AB1640" s="35">
        <f t="shared" si="162"/>
        <v>0</v>
      </c>
    </row>
    <row r="1641" spans="1:28">
      <c r="A1641" s="35">
        <v>1630</v>
      </c>
      <c r="B1641" s="35">
        <v>4.962141575868273E-4</v>
      </c>
      <c r="C1641" s="232">
        <v>60.43</v>
      </c>
      <c r="D1641" s="35">
        <v>5.0640620956078548</v>
      </c>
      <c r="E1641" s="232">
        <v>37.97</v>
      </c>
      <c r="F1641" s="35">
        <v>5.0527600881357513</v>
      </c>
      <c r="G1641" s="232">
        <v>9508.0300000000007</v>
      </c>
      <c r="H1641" s="35">
        <v>8.9535970800913152</v>
      </c>
      <c r="I1641" s="232">
        <v>11279.99</v>
      </c>
      <c r="J1641" s="35">
        <v>8.4341280786442283</v>
      </c>
      <c r="K1641" s="232">
        <v>12250.27</v>
      </c>
      <c r="L1641" s="35">
        <v>8.4306990753275528</v>
      </c>
      <c r="M1641" s="232">
        <v>38286.120000000003</v>
      </c>
      <c r="N1641" s="35">
        <v>7.3674677718877915</v>
      </c>
      <c r="P1641" s="232">
        <v>-22.46</v>
      </c>
      <c r="Q1641" s="35">
        <v>1.1302007472103526E-2</v>
      </c>
      <c r="R1641" s="232">
        <v>1771.97</v>
      </c>
      <c r="S1641" s="35">
        <v>0.51946900144708685</v>
      </c>
      <c r="T1641" s="232">
        <v>26035.85</v>
      </c>
      <c r="U1641" s="35">
        <v>1.0632313034397614</v>
      </c>
      <c r="W1641" s="35">
        <f t="shared" si="157"/>
        <v>587.56037360517632</v>
      </c>
      <c r="X1641" s="35">
        <f t="shared" si="158"/>
        <v>24201.480072354341</v>
      </c>
      <c r="Y1641" s="35">
        <f t="shared" si="159"/>
        <v>27125.715171988071</v>
      </c>
      <c r="Z1641" s="35">
        <f t="shared" si="160"/>
        <v>0</v>
      </c>
      <c r="AA1641" s="35">
        <f t="shared" si="161"/>
        <v>0</v>
      </c>
      <c r="AB1641" s="35">
        <f t="shared" si="162"/>
        <v>1</v>
      </c>
    </row>
    <row r="1642" spans="1:28">
      <c r="A1642" s="35">
        <v>1631</v>
      </c>
      <c r="B1642" s="35">
        <v>3.7049417387979838E-4</v>
      </c>
      <c r="C1642" s="232">
        <v>56.6</v>
      </c>
      <c r="D1642" s="35">
        <v>5.0581179985596805</v>
      </c>
      <c r="E1642" s="232">
        <v>32.549999999999997</v>
      </c>
      <c r="F1642" s="35">
        <v>5.0482305423581613</v>
      </c>
      <c r="G1642" s="232">
        <v>12186.94</v>
      </c>
      <c r="H1642" s="35">
        <v>9.2326033196570734</v>
      </c>
      <c r="I1642" s="232">
        <v>14022.02</v>
      </c>
      <c r="J1642" s="35">
        <v>8.7152585781450185</v>
      </c>
      <c r="K1642" s="232">
        <v>14056.19</v>
      </c>
      <c r="L1642" s="35">
        <v>8.4883435475634048</v>
      </c>
      <c r="M1642" s="232">
        <v>40216.94</v>
      </c>
      <c r="N1642" s="35">
        <v>7.3432910156704647</v>
      </c>
      <c r="P1642" s="232">
        <v>-24.05</v>
      </c>
      <c r="Q1642" s="35">
        <v>9.8874562015192069E-3</v>
      </c>
      <c r="R1642" s="232">
        <v>1835.09</v>
      </c>
      <c r="S1642" s="35">
        <v>0.5173447415120549</v>
      </c>
      <c r="T1642" s="232">
        <v>26160.75</v>
      </c>
      <c r="U1642" s="35">
        <v>1.1450525318929401</v>
      </c>
      <c r="W1642" s="35">
        <f t="shared" si="157"/>
        <v>518.42281007596034</v>
      </c>
      <c r="X1642" s="35">
        <f t="shared" si="158"/>
        <v>24032.147075602745</v>
      </c>
      <c r="Y1642" s="35">
        <f t="shared" si="159"/>
        <v>31091.876594647001</v>
      </c>
      <c r="Z1642" s="35">
        <f t="shared" si="160"/>
        <v>0</v>
      </c>
      <c r="AA1642" s="35">
        <f t="shared" si="161"/>
        <v>0</v>
      </c>
      <c r="AB1642" s="35">
        <f t="shared" si="162"/>
        <v>1</v>
      </c>
    </row>
    <row r="1643" spans="1:28">
      <c r="A1643" s="35">
        <v>1632</v>
      </c>
      <c r="B1643" s="35">
        <v>4.8694807655624839E-4</v>
      </c>
      <c r="C1643" s="232">
        <v>49.81</v>
      </c>
      <c r="D1643" s="35">
        <v>5.0641604310463304</v>
      </c>
      <c r="E1643" s="232">
        <v>32.729999999999997</v>
      </c>
      <c r="F1643" s="35">
        <v>5.053234975370704</v>
      </c>
      <c r="G1643" s="232">
        <v>8068.86</v>
      </c>
      <c r="H1643" s="35">
        <v>9.0181192360578315</v>
      </c>
      <c r="I1643" s="232">
        <v>10286.27</v>
      </c>
      <c r="J1643" s="35">
        <v>8.982752519166846</v>
      </c>
      <c r="K1643" s="232">
        <v>7881.48</v>
      </c>
      <c r="L1643" s="35">
        <v>8.6047627249102572</v>
      </c>
      <c r="M1643" s="232">
        <v>33560.19</v>
      </c>
      <c r="N1643" s="35">
        <v>7.5672240397703963</v>
      </c>
      <c r="P1643" s="232">
        <v>-17.079999999999998</v>
      </c>
      <c r="Q1643" s="35">
        <v>1.0925455675626417E-2</v>
      </c>
      <c r="R1643" s="232">
        <v>2217.41</v>
      </c>
      <c r="S1643" s="35">
        <v>3.5366716890985472E-2</v>
      </c>
      <c r="T1643" s="232">
        <v>25678.71</v>
      </c>
      <c r="U1643" s="35">
        <v>1.0375386851398609</v>
      </c>
      <c r="W1643" s="35">
        <f t="shared" si="157"/>
        <v>563.35278378132091</v>
      </c>
      <c r="X1643" s="35">
        <f t="shared" si="158"/>
        <v>-449.07415545072627</v>
      </c>
      <c r="Y1643" s="35">
        <f t="shared" si="159"/>
        <v>26198.224256993046</v>
      </c>
      <c r="Z1643" s="35">
        <f t="shared" si="160"/>
        <v>0</v>
      </c>
      <c r="AA1643" s="35">
        <f t="shared" si="161"/>
        <v>0</v>
      </c>
      <c r="AB1643" s="35">
        <f t="shared" si="162"/>
        <v>1</v>
      </c>
    </row>
    <row r="1644" spans="1:28">
      <c r="A1644" s="35">
        <v>1633</v>
      </c>
      <c r="B1644" s="35">
        <v>3.8090938685765834E-4</v>
      </c>
      <c r="C1644" s="232">
        <v>73.64</v>
      </c>
      <c r="D1644" s="35">
        <v>5.0581490006168757</v>
      </c>
      <c r="E1644" s="232">
        <v>47.65</v>
      </c>
      <c r="F1644" s="35">
        <v>5.0500038748885814</v>
      </c>
      <c r="G1644" s="232">
        <v>14591.13</v>
      </c>
      <c r="H1644" s="35">
        <v>8.845160194887228</v>
      </c>
      <c r="I1644" s="232">
        <v>14130.22</v>
      </c>
      <c r="J1644" s="35">
        <v>7.5513994866274832</v>
      </c>
      <c r="K1644" s="232">
        <v>22150.97</v>
      </c>
      <c r="L1644" s="35">
        <v>8.707554032451819</v>
      </c>
      <c r="M1644" s="232">
        <v>48621.45</v>
      </c>
      <c r="N1644" s="35">
        <v>7.56500921415845</v>
      </c>
      <c r="P1644" s="232">
        <v>-25.99</v>
      </c>
      <c r="Q1644" s="35">
        <v>8.145125728294289E-3</v>
      </c>
      <c r="R1644" s="232">
        <v>-460.91</v>
      </c>
      <c r="S1644" s="35">
        <v>1.2937607082597449</v>
      </c>
      <c r="T1644" s="232">
        <v>26470.48</v>
      </c>
      <c r="U1644" s="35">
        <v>1.1425448182933691</v>
      </c>
      <c r="W1644" s="35">
        <f t="shared" si="157"/>
        <v>433.24628641471446</v>
      </c>
      <c r="X1644" s="35">
        <f t="shared" si="158"/>
        <v>65148.945412987247</v>
      </c>
      <c r="Y1644" s="35">
        <f t="shared" si="159"/>
        <v>30656.760914668452</v>
      </c>
      <c r="Z1644" s="35">
        <f t="shared" si="160"/>
        <v>0</v>
      </c>
      <c r="AA1644" s="35">
        <f t="shared" si="161"/>
        <v>1</v>
      </c>
      <c r="AB1644" s="35">
        <f t="shared" si="162"/>
        <v>0</v>
      </c>
    </row>
    <row r="1645" spans="1:28">
      <c r="A1645" s="35">
        <v>1634</v>
      </c>
      <c r="B1645" s="35">
        <v>3.8381480043977106E-4</v>
      </c>
      <c r="C1645" s="232">
        <v>60.17</v>
      </c>
      <c r="D1645" s="35">
        <v>5.0594313745819237</v>
      </c>
      <c r="E1645" s="232">
        <v>42.13</v>
      </c>
      <c r="F1645" s="35">
        <v>5.0516750555520806</v>
      </c>
      <c r="G1645" s="232">
        <v>12189.02</v>
      </c>
      <c r="H1645" s="35">
        <v>9.1286346503599916</v>
      </c>
      <c r="I1645" s="232">
        <v>13606.58</v>
      </c>
      <c r="J1645" s="35">
        <v>8.077321026806306</v>
      </c>
      <c r="K1645" s="232">
        <v>14097.7</v>
      </c>
      <c r="L1645" s="35">
        <v>8.8116066993810218</v>
      </c>
      <c r="M1645" s="232">
        <v>40154.120000000003</v>
      </c>
      <c r="N1645" s="35">
        <v>7.7154484340293124</v>
      </c>
      <c r="P1645" s="232">
        <v>-18.03</v>
      </c>
      <c r="Q1645" s="35">
        <v>7.756319029843084E-3</v>
      </c>
      <c r="R1645" s="232">
        <v>1417.56</v>
      </c>
      <c r="S1645" s="35">
        <v>1.0513136235536855</v>
      </c>
      <c r="T1645" s="232">
        <v>26056.42</v>
      </c>
      <c r="U1645" s="35">
        <v>1.0961582653517095</v>
      </c>
      <c r="W1645" s="35">
        <f t="shared" si="157"/>
        <v>405.8459514921542</v>
      </c>
      <c r="X1645" s="35">
        <f t="shared" si="158"/>
        <v>51148.121177684276</v>
      </c>
      <c r="Y1645" s="35">
        <f t="shared" si="159"/>
        <v>28751.493267585472</v>
      </c>
      <c r="Z1645" s="35">
        <f t="shared" si="160"/>
        <v>0</v>
      </c>
      <c r="AA1645" s="35">
        <f t="shared" si="161"/>
        <v>1</v>
      </c>
      <c r="AB1645" s="35">
        <f t="shared" si="162"/>
        <v>0</v>
      </c>
    </row>
    <row r="1646" spans="1:28">
      <c r="A1646" s="35">
        <v>1635</v>
      </c>
      <c r="B1646" s="35">
        <v>4.8148491278166006E-4</v>
      </c>
      <c r="C1646" s="232">
        <v>93.39</v>
      </c>
      <c r="D1646" s="35">
        <v>5.0634159352026709</v>
      </c>
      <c r="E1646" s="232">
        <v>57.37</v>
      </c>
      <c r="F1646" s="35">
        <v>5.0525815307955595</v>
      </c>
      <c r="G1646" s="232">
        <v>14659.64</v>
      </c>
      <c r="H1646" s="35">
        <v>8.7855537772622867</v>
      </c>
      <c r="I1646" s="232">
        <v>13636.16</v>
      </c>
      <c r="J1646" s="35">
        <v>7.0088361890043593</v>
      </c>
      <c r="K1646" s="232">
        <v>20978.9</v>
      </c>
      <c r="L1646" s="35">
        <v>8.656558130467749</v>
      </c>
      <c r="M1646" s="232">
        <v>47381.3</v>
      </c>
      <c r="N1646" s="35">
        <v>7.4884645490356165</v>
      </c>
      <c r="P1646" s="232">
        <v>-36.020000000000003</v>
      </c>
      <c r="Q1646" s="35">
        <v>1.0834404407111364E-2</v>
      </c>
      <c r="R1646" s="232">
        <v>-1023.47</v>
      </c>
      <c r="S1646" s="35">
        <v>1.7767175882579274</v>
      </c>
      <c r="T1646" s="232">
        <v>26402.39</v>
      </c>
      <c r="U1646" s="35">
        <v>1.1680935814321325</v>
      </c>
      <c r="W1646" s="35">
        <f t="shared" si="157"/>
        <v>577.74022035556823</v>
      </c>
      <c r="X1646" s="35">
        <f t="shared" si="158"/>
        <v>89859.349412896365</v>
      </c>
      <c r="Y1646" s="35">
        <f t="shared" si="159"/>
        <v>32002.289071606625</v>
      </c>
      <c r="Z1646" s="35">
        <f t="shared" si="160"/>
        <v>0</v>
      </c>
      <c r="AA1646" s="35">
        <f t="shared" si="161"/>
        <v>1</v>
      </c>
      <c r="AB1646" s="35">
        <f t="shared" si="162"/>
        <v>0</v>
      </c>
    </row>
    <row r="1647" spans="1:28">
      <c r="A1647" s="35">
        <v>1636</v>
      </c>
      <c r="B1647" s="35">
        <v>5.1305923087641148E-4</v>
      </c>
      <c r="C1647" s="232">
        <v>72.12</v>
      </c>
      <c r="D1647" s="35">
        <v>5.0636154005343004</v>
      </c>
      <c r="E1647" s="232">
        <v>41.19</v>
      </c>
      <c r="F1647" s="35">
        <v>5.0512910402745588</v>
      </c>
      <c r="G1647" s="232">
        <v>11144.03</v>
      </c>
      <c r="H1647" s="35">
        <v>8.6364507905521553</v>
      </c>
      <c r="I1647" s="232">
        <v>12633.74</v>
      </c>
      <c r="J1647" s="35">
        <v>6.8812693768596498</v>
      </c>
      <c r="K1647" s="232">
        <v>11202.74</v>
      </c>
      <c r="L1647" s="35">
        <v>8.3904114969072179</v>
      </c>
      <c r="M1647" s="232">
        <v>37196.769999999997</v>
      </c>
      <c r="N1647" s="35">
        <v>7.2965180470101867</v>
      </c>
      <c r="P1647" s="232">
        <v>-30.92</v>
      </c>
      <c r="Q1647" s="35">
        <v>1.2324360259741596E-2</v>
      </c>
      <c r="R1647" s="232">
        <v>1489.71</v>
      </c>
      <c r="S1647" s="35">
        <v>1.7551814136925055</v>
      </c>
      <c r="T1647" s="232">
        <v>25994.03</v>
      </c>
      <c r="U1647" s="35">
        <v>1.0938934498970312</v>
      </c>
      <c r="W1647" s="35">
        <f t="shared" si="157"/>
        <v>647.13801298707972</v>
      </c>
      <c r="X1647" s="35">
        <f t="shared" si="158"/>
        <v>86269.360684625266</v>
      </c>
      <c r="Y1647" s="35">
        <f t="shared" si="159"/>
        <v>28700.642494851563</v>
      </c>
      <c r="Z1647" s="35">
        <f t="shared" si="160"/>
        <v>0</v>
      </c>
      <c r="AA1647" s="35">
        <f t="shared" si="161"/>
        <v>1</v>
      </c>
      <c r="AB1647" s="35">
        <f t="shared" si="162"/>
        <v>0</v>
      </c>
    </row>
    <row r="1648" spans="1:28">
      <c r="A1648" s="35">
        <v>1637</v>
      </c>
      <c r="B1648" s="35">
        <v>3.6581152660506474E-4</v>
      </c>
      <c r="C1648" s="232">
        <v>46.22</v>
      </c>
      <c r="D1648" s="35">
        <v>5.0571348030689274</v>
      </c>
      <c r="E1648" s="232">
        <v>31.49</v>
      </c>
      <c r="F1648" s="35">
        <v>5.0494875699429507</v>
      </c>
      <c r="G1648" s="232">
        <v>10059.89</v>
      </c>
      <c r="H1648" s="35">
        <v>8.7946311459322732</v>
      </c>
      <c r="I1648" s="232">
        <v>11742.26</v>
      </c>
      <c r="J1648" s="35">
        <v>7.6195189316675487</v>
      </c>
      <c r="K1648" s="232">
        <v>11215.05</v>
      </c>
      <c r="L1648" s="35">
        <v>8.5685980014438954</v>
      </c>
      <c r="M1648" s="232">
        <v>37174.93</v>
      </c>
      <c r="N1648" s="35">
        <v>7.4905738406825044</v>
      </c>
      <c r="P1648" s="232">
        <v>-14.74</v>
      </c>
      <c r="Q1648" s="35">
        <v>7.6472331259767046E-3</v>
      </c>
      <c r="R1648" s="232">
        <v>1682.37</v>
      </c>
      <c r="S1648" s="35">
        <v>1.1751122142647246</v>
      </c>
      <c r="T1648" s="232">
        <v>25959.89</v>
      </c>
      <c r="U1648" s="35">
        <v>1.078024160761391</v>
      </c>
      <c r="W1648" s="35">
        <f t="shared" si="157"/>
        <v>397.10165629883522</v>
      </c>
      <c r="X1648" s="35">
        <f t="shared" si="158"/>
        <v>57073.240713236228</v>
      </c>
      <c r="Y1648" s="35">
        <f t="shared" si="159"/>
        <v>27941.318038069548</v>
      </c>
      <c r="Z1648" s="35">
        <f t="shared" si="160"/>
        <v>0</v>
      </c>
      <c r="AA1648" s="35">
        <f t="shared" si="161"/>
        <v>1</v>
      </c>
      <c r="AB1648" s="35">
        <f t="shared" si="162"/>
        <v>0</v>
      </c>
    </row>
    <row r="1649" spans="1:28">
      <c r="A1649" s="35">
        <v>1638</v>
      </c>
      <c r="B1649" s="35">
        <v>4.040554550557567E-4</v>
      </c>
      <c r="C1649" s="232">
        <v>63.8</v>
      </c>
      <c r="D1649" s="35">
        <v>5.0587187377721961</v>
      </c>
      <c r="E1649" s="232">
        <v>37.56</v>
      </c>
      <c r="F1649" s="35">
        <v>5.0489706494608475</v>
      </c>
      <c r="G1649" s="232">
        <v>12383.76</v>
      </c>
      <c r="H1649" s="35">
        <v>8.6680339609866444</v>
      </c>
      <c r="I1649" s="232">
        <v>13863.16</v>
      </c>
      <c r="J1649" s="35">
        <v>7.7615529272389336</v>
      </c>
      <c r="K1649" s="232">
        <v>14459.58</v>
      </c>
      <c r="L1649" s="35">
        <v>8.728983019158985</v>
      </c>
      <c r="M1649" s="232">
        <v>40476.1</v>
      </c>
      <c r="N1649" s="35">
        <v>7.6277592963259533</v>
      </c>
      <c r="P1649" s="232">
        <v>-26.24</v>
      </c>
      <c r="Q1649" s="35">
        <v>9.7480883113485461E-3</v>
      </c>
      <c r="R1649" s="232">
        <v>1479.4</v>
      </c>
      <c r="S1649" s="35">
        <v>0.90648103374771072</v>
      </c>
      <c r="T1649" s="232">
        <v>26016.52</v>
      </c>
      <c r="U1649" s="35">
        <v>1.1012237228330317</v>
      </c>
      <c r="W1649" s="35">
        <f t="shared" si="157"/>
        <v>513.64441556742725</v>
      </c>
      <c r="X1649" s="35">
        <f t="shared" si="158"/>
        <v>43844.651687385536</v>
      </c>
      <c r="Y1649" s="35">
        <f t="shared" si="159"/>
        <v>29044.666141651582</v>
      </c>
      <c r="Z1649" s="35">
        <f t="shared" si="160"/>
        <v>0</v>
      </c>
      <c r="AA1649" s="35">
        <f t="shared" si="161"/>
        <v>1</v>
      </c>
      <c r="AB1649" s="35">
        <f t="shared" si="162"/>
        <v>0</v>
      </c>
    </row>
    <row r="1650" spans="1:28">
      <c r="A1650" s="35">
        <v>1639</v>
      </c>
      <c r="B1650" s="35">
        <v>5.4925212348444497E-4</v>
      </c>
      <c r="C1650" s="232">
        <v>82.61</v>
      </c>
      <c r="D1650" s="35">
        <v>5.066782839209619</v>
      </c>
      <c r="E1650" s="232">
        <v>57.74</v>
      </c>
      <c r="F1650" s="35">
        <v>5.0568153174315817</v>
      </c>
      <c r="G1650" s="232">
        <v>11565.48</v>
      </c>
      <c r="H1650" s="35">
        <v>8.8061731546644992</v>
      </c>
      <c r="I1650" s="232">
        <v>13215.52</v>
      </c>
      <c r="J1650" s="35">
        <v>8.1098417416012936</v>
      </c>
      <c r="K1650" s="232">
        <v>13528.62</v>
      </c>
      <c r="L1650" s="35">
        <v>8.4975253648734714</v>
      </c>
      <c r="M1650" s="232">
        <v>39553.620000000003</v>
      </c>
      <c r="N1650" s="35">
        <v>7.4507501180944722</v>
      </c>
      <c r="P1650" s="232">
        <v>-24.86</v>
      </c>
      <c r="Q1650" s="35">
        <v>9.9675217780372805E-3</v>
      </c>
      <c r="R1650" s="232">
        <v>1650.03</v>
      </c>
      <c r="S1650" s="35">
        <v>0.69633141306320567</v>
      </c>
      <c r="T1650" s="232">
        <v>26025</v>
      </c>
      <c r="U1650" s="35">
        <v>1.0467752467789992</v>
      </c>
      <c r="W1650" s="35">
        <f t="shared" si="157"/>
        <v>523.23608890186404</v>
      </c>
      <c r="X1650" s="35">
        <f t="shared" si="158"/>
        <v>33166.540653160286</v>
      </c>
      <c r="Y1650" s="35">
        <f t="shared" si="159"/>
        <v>26313.762338949964</v>
      </c>
      <c r="Z1650" s="35">
        <f t="shared" si="160"/>
        <v>0</v>
      </c>
      <c r="AA1650" s="35">
        <f t="shared" si="161"/>
        <v>1</v>
      </c>
      <c r="AB1650" s="35">
        <f t="shared" si="162"/>
        <v>0</v>
      </c>
    </row>
    <row r="1651" spans="1:28">
      <c r="A1651" s="35">
        <v>1640</v>
      </c>
      <c r="B1651" s="35">
        <v>4.3951463609801053E-4</v>
      </c>
      <c r="C1651" s="232">
        <v>64.959999999999994</v>
      </c>
      <c r="D1651" s="35">
        <v>5.0607154841203208</v>
      </c>
      <c r="E1651" s="232">
        <v>38.49</v>
      </c>
      <c r="F1651" s="35">
        <v>5.0501407014722286</v>
      </c>
      <c r="G1651" s="232">
        <v>12150.58</v>
      </c>
      <c r="H1651" s="35">
        <v>8.8025465195892032</v>
      </c>
      <c r="I1651" s="232">
        <v>14053.61</v>
      </c>
      <c r="J1651" s="35">
        <v>8.0546037132789898</v>
      </c>
      <c r="K1651" s="232">
        <v>13591.62</v>
      </c>
      <c r="L1651" s="35">
        <v>8.6422158224646761</v>
      </c>
      <c r="M1651" s="232">
        <v>39504.699999999997</v>
      </c>
      <c r="N1651" s="35">
        <v>7.5976960925191319</v>
      </c>
      <c r="P1651" s="232">
        <v>-26.47</v>
      </c>
      <c r="Q1651" s="35">
        <v>1.0574782648092196E-2</v>
      </c>
      <c r="R1651" s="232">
        <v>1903.03</v>
      </c>
      <c r="S1651" s="35">
        <v>0.74794280631021337</v>
      </c>
      <c r="T1651" s="232">
        <v>25913.08</v>
      </c>
      <c r="U1651" s="35">
        <v>1.0445197299455442</v>
      </c>
      <c r="W1651" s="35">
        <f t="shared" si="157"/>
        <v>555.20913240460982</v>
      </c>
      <c r="X1651" s="35">
        <f t="shared" si="158"/>
        <v>35494.110315510668</v>
      </c>
      <c r="Y1651" s="35">
        <f t="shared" si="159"/>
        <v>26312.90649727721</v>
      </c>
      <c r="Z1651" s="35">
        <f t="shared" si="160"/>
        <v>0</v>
      </c>
      <c r="AA1651" s="35">
        <f t="shared" si="161"/>
        <v>1</v>
      </c>
      <c r="AB1651" s="35">
        <f t="shared" si="162"/>
        <v>0</v>
      </c>
    </row>
    <row r="1652" spans="1:28">
      <c r="A1652" s="35">
        <v>1641</v>
      </c>
      <c r="B1652" s="35">
        <v>4.2269045798933242E-4</v>
      </c>
      <c r="C1652" s="232">
        <v>83.55</v>
      </c>
      <c r="D1652" s="35">
        <v>5.0598510077198089</v>
      </c>
      <c r="E1652" s="232">
        <v>52.22</v>
      </c>
      <c r="F1652" s="35">
        <v>5.0506640395144329</v>
      </c>
      <c r="G1652" s="232">
        <v>14723.36</v>
      </c>
      <c r="H1652" s="35">
        <v>8.7446682609709487</v>
      </c>
      <c r="I1652" s="232">
        <v>13614.73</v>
      </c>
      <c r="J1652" s="35">
        <v>7.1614960543128658</v>
      </c>
      <c r="K1652" s="232">
        <v>21302.01</v>
      </c>
      <c r="L1652" s="35">
        <v>8.5324985784205474</v>
      </c>
      <c r="M1652" s="232">
        <v>47769.78</v>
      </c>
      <c r="N1652" s="35">
        <v>7.4261961412081652</v>
      </c>
      <c r="P1652" s="232">
        <v>-31.34</v>
      </c>
      <c r="Q1652" s="35">
        <v>9.1869682053760116E-3</v>
      </c>
      <c r="R1652" s="232">
        <v>-1108.6400000000001</v>
      </c>
      <c r="S1652" s="35">
        <v>1.5831722066580829</v>
      </c>
      <c r="T1652" s="232">
        <v>26467.77</v>
      </c>
      <c r="U1652" s="35">
        <v>1.1063024372123822</v>
      </c>
      <c r="W1652" s="35">
        <f t="shared" si="157"/>
        <v>490.68841026880057</v>
      </c>
      <c r="X1652" s="35">
        <f t="shared" si="158"/>
        <v>80267.25033290415</v>
      </c>
      <c r="Y1652" s="35">
        <f t="shared" si="159"/>
        <v>28847.35186061911</v>
      </c>
      <c r="Z1652" s="35">
        <f t="shared" si="160"/>
        <v>0</v>
      </c>
      <c r="AA1652" s="35">
        <f t="shared" si="161"/>
        <v>1</v>
      </c>
      <c r="AB1652" s="35">
        <f t="shared" si="162"/>
        <v>0</v>
      </c>
    </row>
    <row r="1653" spans="1:28">
      <c r="A1653" s="35">
        <v>1642</v>
      </c>
      <c r="B1653" s="35">
        <v>3.9127764930059733E-4</v>
      </c>
      <c r="C1653" s="232">
        <v>55.7</v>
      </c>
      <c r="D1653" s="35">
        <v>5.0590177670544971</v>
      </c>
      <c r="E1653" s="232">
        <v>35.31</v>
      </c>
      <c r="F1653" s="35">
        <v>5.0499075081697509</v>
      </c>
      <c r="G1653" s="232">
        <v>10526.41</v>
      </c>
      <c r="H1653" s="35">
        <v>8.8524512297305584</v>
      </c>
      <c r="I1653" s="232">
        <v>11497.12</v>
      </c>
      <c r="J1653" s="35">
        <v>7.9148262388683452</v>
      </c>
      <c r="K1653" s="232">
        <v>14447.47</v>
      </c>
      <c r="L1653" s="35">
        <v>8.8757971451904005</v>
      </c>
      <c r="M1653" s="232">
        <v>40347.599999999999</v>
      </c>
      <c r="N1653" s="35">
        <v>7.8164024465243775</v>
      </c>
      <c r="P1653" s="232">
        <v>-20.39</v>
      </c>
      <c r="Q1653" s="35">
        <v>9.1102588847462584E-3</v>
      </c>
      <c r="R1653" s="232">
        <v>970.71</v>
      </c>
      <c r="S1653" s="35">
        <v>0.93762499086221318</v>
      </c>
      <c r="T1653" s="232">
        <v>25900.13</v>
      </c>
      <c r="U1653" s="35">
        <v>1.059394698666023</v>
      </c>
      <c r="W1653" s="35">
        <f t="shared" si="157"/>
        <v>475.90294423731291</v>
      </c>
      <c r="X1653" s="35">
        <f t="shared" si="158"/>
        <v>45910.539543110659</v>
      </c>
      <c r="Y1653" s="35">
        <f t="shared" si="159"/>
        <v>27069.604933301151</v>
      </c>
      <c r="Z1653" s="35">
        <f t="shared" si="160"/>
        <v>0</v>
      </c>
      <c r="AA1653" s="35">
        <f t="shared" si="161"/>
        <v>1</v>
      </c>
      <c r="AB1653" s="35">
        <f t="shared" si="162"/>
        <v>0</v>
      </c>
    </row>
    <row r="1654" spans="1:28">
      <c r="A1654" s="35">
        <v>1643</v>
      </c>
      <c r="B1654" s="35">
        <v>4.2389399364516176E-4</v>
      </c>
      <c r="C1654" s="232">
        <v>55.3</v>
      </c>
      <c r="D1654" s="35">
        <v>5.0587755726038388</v>
      </c>
      <c r="E1654" s="232">
        <v>34.71</v>
      </c>
      <c r="F1654" s="35">
        <v>5.0496304247036052</v>
      </c>
      <c r="G1654" s="232">
        <v>9450.65</v>
      </c>
      <c r="H1654" s="35">
        <v>8.3834673024591719</v>
      </c>
      <c r="I1654" s="232">
        <v>9374.68</v>
      </c>
      <c r="J1654" s="35">
        <v>6.6798911778078187</v>
      </c>
      <c r="K1654" s="232">
        <v>13301.01</v>
      </c>
      <c r="L1654" s="35">
        <v>8.4563598755177853</v>
      </c>
      <c r="M1654" s="232">
        <v>39314.239999999998</v>
      </c>
      <c r="N1654" s="35">
        <v>7.2937058769127718</v>
      </c>
      <c r="P1654" s="232">
        <v>-20.59</v>
      </c>
      <c r="Q1654" s="35">
        <v>9.1451479002335745E-3</v>
      </c>
      <c r="R1654" s="232">
        <v>-75.959999999999994</v>
      </c>
      <c r="S1654" s="35">
        <v>1.7035761246513532</v>
      </c>
      <c r="T1654" s="232">
        <v>26013.23</v>
      </c>
      <c r="U1654" s="35">
        <v>1.1626539986050135</v>
      </c>
      <c r="W1654" s="35">
        <f t="shared" si="157"/>
        <v>477.84739501167871</v>
      </c>
      <c r="X1654" s="35">
        <f t="shared" si="158"/>
        <v>85254.766232567665</v>
      </c>
      <c r="Y1654" s="35">
        <f t="shared" si="159"/>
        <v>32119.469930250674</v>
      </c>
      <c r="Z1654" s="35">
        <f t="shared" si="160"/>
        <v>0</v>
      </c>
      <c r="AA1654" s="35">
        <f t="shared" si="161"/>
        <v>1</v>
      </c>
      <c r="AB1654" s="35">
        <f t="shared" si="162"/>
        <v>0</v>
      </c>
    </row>
    <row r="1655" spans="1:28">
      <c r="A1655" s="35">
        <v>1644</v>
      </c>
      <c r="B1655" s="35">
        <v>3.9061561926061612E-4</v>
      </c>
      <c r="C1655" s="232">
        <v>68.69</v>
      </c>
      <c r="D1655" s="35">
        <v>5.0583734472149766</v>
      </c>
      <c r="E1655" s="232">
        <v>40.590000000000003</v>
      </c>
      <c r="F1655" s="35">
        <v>5.0489168769262962</v>
      </c>
      <c r="G1655" s="232">
        <v>13883.9</v>
      </c>
      <c r="H1655" s="35">
        <v>8.763442313779283</v>
      </c>
      <c r="I1655" s="232">
        <v>14352.03</v>
      </c>
      <c r="J1655" s="35">
        <v>7.1347482962179045</v>
      </c>
      <c r="K1655" s="232">
        <v>17416.86</v>
      </c>
      <c r="L1655" s="35">
        <v>8.7331826956471073</v>
      </c>
      <c r="M1655" s="232">
        <v>43546.36</v>
      </c>
      <c r="N1655" s="35">
        <v>7.6477797151971414</v>
      </c>
      <c r="P1655" s="232">
        <v>-28.09</v>
      </c>
      <c r="Q1655" s="35">
        <v>9.4565702886804104E-3</v>
      </c>
      <c r="R1655" s="232">
        <v>468.12</v>
      </c>
      <c r="S1655" s="35">
        <v>1.6286940175613784</v>
      </c>
      <c r="T1655" s="232">
        <v>26129.5</v>
      </c>
      <c r="U1655" s="35">
        <v>1.0854029804499659</v>
      </c>
      <c r="W1655" s="35">
        <f t="shared" si="157"/>
        <v>500.91851443402049</v>
      </c>
      <c r="X1655" s="35">
        <f t="shared" si="158"/>
        <v>80966.580878068926</v>
      </c>
      <c r="Y1655" s="35">
        <f t="shared" si="159"/>
        <v>28140.649022498292</v>
      </c>
      <c r="Z1655" s="35">
        <f t="shared" si="160"/>
        <v>0</v>
      </c>
      <c r="AA1655" s="35">
        <f t="shared" si="161"/>
        <v>1</v>
      </c>
      <c r="AB1655" s="35">
        <f t="shared" si="162"/>
        <v>0</v>
      </c>
    </row>
    <row r="1656" spans="1:28">
      <c r="A1656" s="35">
        <v>1645</v>
      </c>
      <c r="B1656" s="35">
        <v>3.8385593170743099E-4</v>
      </c>
      <c r="C1656" s="232">
        <v>44.04</v>
      </c>
      <c r="D1656" s="35">
        <v>5.0564284265068133</v>
      </c>
      <c r="E1656" s="232">
        <v>26.09</v>
      </c>
      <c r="F1656" s="35">
        <v>5.0473445302137296</v>
      </c>
      <c r="G1656" s="232">
        <v>9025.82</v>
      </c>
      <c r="H1656" s="35">
        <v>8.150909870736978</v>
      </c>
      <c r="I1656" s="232">
        <v>10392.049999999999</v>
      </c>
      <c r="J1656" s="35">
        <v>6.6368339212004868</v>
      </c>
      <c r="K1656" s="232">
        <v>10860</v>
      </c>
      <c r="L1656" s="35">
        <v>8.8015453156318646</v>
      </c>
      <c r="M1656" s="232">
        <v>36783.910000000003</v>
      </c>
      <c r="N1656" s="35">
        <v>7.7629929511724889</v>
      </c>
      <c r="P1656" s="232">
        <v>-17.95</v>
      </c>
      <c r="Q1656" s="35">
        <v>9.0838962930837042E-3</v>
      </c>
      <c r="R1656" s="232">
        <v>1366.23</v>
      </c>
      <c r="S1656" s="35">
        <v>1.5140759495364913</v>
      </c>
      <c r="T1656" s="232">
        <v>25923.91</v>
      </c>
      <c r="U1656" s="35">
        <v>1.0385523644593757</v>
      </c>
      <c r="W1656" s="35">
        <f t="shared" si="157"/>
        <v>472.14481465418521</v>
      </c>
      <c r="X1656" s="35">
        <f t="shared" si="158"/>
        <v>74337.567476824566</v>
      </c>
      <c r="Y1656" s="35">
        <f t="shared" si="159"/>
        <v>26003.708222968784</v>
      </c>
      <c r="Z1656" s="35">
        <f t="shared" si="160"/>
        <v>0</v>
      </c>
      <c r="AA1656" s="35">
        <f t="shared" si="161"/>
        <v>1</v>
      </c>
      <c r="AB1656" s="35">
        <f t="shared" si="162"/>
        <v>0</v>
      </c>
    </row>
    <row r="1657" spans="1:28">
      <c r="A1657" s="35">
        <v>1646</v>
      </c>
      <c r="B1657" s="35">
        <v>3.3997580163886771E-4</v>
      </c>
      <c r="C1657" s="232">
        <v>44.73</v>
      </c>
      <c r="D1657" s="35">
        <v>5.0560067724238209</v>
      </c>
      <c r="E1657" s="232">
        <v>28.75</v>
      </c>
      <c r="F1657" s="35">
        <v>5.0480664840093894</v>
      </c>
      <c r="G1657" s="232">
        <v>9849.31</v>
      </c>
      <c r="H1657" s="35">
        <v>8.8737435445709281</v>
      </c>
      <c r="I1657" s="232">
        <v>10901.11</v>
      </c>
      <c r="J1657" s="35">
        <v>7.8955563832393842</v>
      </c>
      <c r="K1657" s="232">
        <v>13323.23</v>
      </c>
      <c r="L1657" s="35">
        <v>8.674113609756958</v>
      </c>
      <c r="M1657" s="232">
        <v>39378.660000000003</v>
      </c>
      <c r="N1657" s="35">
        <v>7.5946025163779209</v>
      </c>
      <c r="P1657" s="232">
        <v>-15.98</v>
      </c>
      <c r="Q1657" s="35">
        <v>7.9402884144315067E-3</v>
      </c>
      <c r="R1657" s="232">
        <v>1051.8</v>
      </c>
      <c r="S1657" s="35">
        <v>0.97818716133154382</v>
      </c>
      <c r="T1657" s="232">
        <v>26055.43</v>
      </c>
      <c r="U1657" s="35">
        <v>1.0795110933790371</v>
      </c>
      <c r="W1657" s="35">
        <f t="shared" si="157"/>
        <v>412.99442072157535</v>
      </c>
      <c r="X1657" s="35">
        <f t="shared" si="158"/>
        <v>47857.558066577185</v>
      </c>
      <c r="Y1657" s="35">
        <f t="shared" si="159"/>
        <v>27920.124668951852</v>
      </c>
      <c r="Z1657" s="35">
        <f t="shared" si="160"/>
        <v>0</v>
      </c>
      <c r="AA1657" s="35">
        <f t="shared" si="161"/>
        <v>1</v>
      </c>
      <c r="AB1657" s="35">
        <f t="shared" si="162"/>
        <v>0</v>
      </c>
    </row>
    <row r="1658" spans="1:28">
      <c r="A1658" s="35">
        <v>1647</v>
      </c>
      <c r="B1658" s="35">
        <v>5.4320731064694261E-4</v>
      </c>
      <c r="C1658" s="232">
        <v>99.24</v>
      </c>
      <c r="D1658" s="35">
        <v>5.0659798753433591</v>
      </c>
      <c r="E1658" s="232">
        <v>64.709999999999994</v>
      </c>
      <c r="F1658" s="35">
        <v>5.055179722131073</v>
      </c>
      <c r="G1658" s="232">
        <v>14484.89</v>
      </c>
      <c r="H1658" s="35">
        <v>8.5973073592887488</v>
      </c>
      <c r="I1658" s="232">
        <v>15885.28</v>
      </c>
      <c r="J1658" s="35">
        <v>7.6913206959087743</v>
      </c>
      <c r="K1658" s="232">
        <v>18156.07</v>
      </c>
      <c r="L1658" s="35">
        <v>8.5509276276933779</v>
      </c>
      <c r="M1658" s="232">
        <v>44532.31</v>
      </c>
      <c r="N1658" s="35">
        <v>7.3449999544262061</v>
      </c>
      <c r="P1658" s="232">
        <v>-34.53</v>
      </c>
      <c r="Q1658" s="35">
        <v>1.0800153212286112E-2</v>
      </c>
      <c r="R1658" s="232">
        <v>1400.39</v>
      </c>
      <c r="S1658" s="35">
        <v>0.90598666337997447</v>
      </c>
      <c r="T1658" s="232">
        <v>26376.240000000002</v>
      </c>
      <c r="U1658" s="35">
        <v>1.2059276732671718</v>
      </c>
      <c r="W1658" s="35">
        <f t="shared" si="157"/>
        <v>574.53766061430554</v>
      </c>
      <c r="X1658" s="35">
        <f t="shared" si="158"/>
        <v>43898.943168998725</v>
      </c>
      <c r="Y1658" s="35">
        <f t="shared" si="159"/>
        <v>33920.143663358584</v>
      </c>
      <c r="Z1658" s="35">
        <f t="shared" si="160"/>
        <v>0</v>
      </c>
      <c r="AA1658" s="35">
        <f t="shared" si="161"/>
        <v>1</v>
      </c>
      <c r="AB1658" s="35">
        <f t="shared" si="162"/>
        <v>0</v>
      </c>
    </row>
    <row r="1659" spans="1:28">
      <c r="A1659" s="35">
        <v>1648</v>
      </c>
      <c r="B1659" s="35">
        <v>5.8032817831643602E-4</v>
      </c>
      <c r="C1659" s="232">
        <v>86.04</v>
      </c>
      <c r="D1659" s="35">
        <v>5.0677637983538073</v>
      </c>
      <c r="E1659" s="232">
        <v>49.32</v>
      </c>
      <c r="F1659" s="35">
        <v>5.0537574789562871</v>
      </c>
      <c r="G1659" s="232">
        <v>11213.31</v>
      </c>
      <c r="H1659" s="35">
        <v>8.8774194852071968</v>
      </c>
      <c r="I1659" s="232">
        <v>12222.89</v>
      </c>
      <c r="J1659" s="35">
        <v>8.1568468290553131</v>
      </c>
      <c r="K1659" s="232">
        <v>16402.29</v>
      </c>
      <c r="L1659" s="35">
        <v>8.376530974619202</v>
      </c>
      <c r="M1659" s="232">
        <v>42546.32</v>
      </c>
      <c r="N1659" s="35">
        <v>7.3276359277463623</v>
      </c>
      <c r="P1659" s="232">
        <v>-36.72</v>
      </c>
      <c r="Q1659" s="35">
        <v>1.4006319397520173E-2</v>
      </c>
      <c r="R1659" s="232">
        <v>1009.58</v>
      </c>
      <c r="S1659" s="35">
        <v>0.72057265615188371</v>
      </c>
      <c r="T1659" s="232">
        <v>26144.03</v>
      </c>
      <c r="U1659" s="35">
        <v>1.0488950468728397</v>
      </c>
      <c r="W1659" s="35">
        <f t="shared" si="157"/>
        <v>737.03596987600872</v>
      </c>
      <c r="X1659" s="35">
        <f t="shared" si="158"/>
        <v>35019.052807594184</v>
      </c>
      <c r="Y1659" s="35">
        <f t="shared" si="159"/>
        <v>26300.722343641988</v>
      </c>
      <c r="Z1659" s="35">
        <f t="shared" si="160"/>
        <v>0</v>
      </c>
      <c r="AA1659" s="35">
        <f t="shared" si="161"/>
        <v>1</v>
      </c>
      <c r="AB1659" s="35">
        <f t="shared" si="162"/>
        <v>0</v>
      </c>
    </row>
    <row r="1660" spans="1:28">
      <c r="A1660" s="35">
        <v>1649</v>
      </c>
      <c r="B1660" s="35">
        <v>4.8495111009305703E-4</v>
      </c>
      <c r="C1660" s="232">
        <v>113.71</v>
      </c>
      <c r="D1660" s="35">
        <v>5.0636511122375429</v>
      </c>
      <c r="E1660" s="232">
        <v>70.17</v>
      </c>
      <c r="F1660" s="35">
        <v>5.052968912897315</v>
      </c>
      <c r="G1660" s="232">
        <v>18188.150000000001</v>
      </c>
      <c r="H1660" s="35">
        <v>8.9078488306108792</v>
      </c>
      <c r="I1660" s="232">
        <v>18331.490000000002</v>
      </c>
      <c r="J1660" s="35">
        <v>7.8223020527668723</v>
      </c>
      <c r="K1660" s="232">
        <v>24756.99</v>
      </c>
      <c r="L1660" s="35">
        <v>8.6761373908763773</v>
      </c>
      <c r="M1660" s="232">
        <v>51341.2</v>
      </c>
      <c r="N1660" s="35">
        <v>7.6088448018219168</v>
      </c>
      <c r="P1660" s="232">
        <v>-43.54</v>
      </c>
      <c r="Q1660" s="35">
        <v>1.068219934022796E-2</v>
      </c>
      <c r="R1660" s="232">
        <v>143.34</v>
      </c>
      <c r="S1660" s="35">
        <v>1.0855467778440069</v>
      </c>
      <c r="T1660" s="232">
        <v>26584.21</v>
      </c>
      <c r="U1660" s="35">
        <v>1.0672925890544604</v>
      </c>
      <c r="W1660" s="35">
        <f t="shared" si="157"/>
        <v>577.64996701139796</v>
      </c>
      <c r="X1660" s="35">
        <f t="shared" si="158"/>
        <v>54133.998892200347</v>
      </c>
      <c r="Y1660" s="35">
        <f t="shared" si="159"/>
        <v>26780.419452723021</v>
      </c>
      <c r="Z1660" s="35">
        <f t="shared" si="160"/>
        <v>0</v>
      </c>
      <c r="AA1660" s="35">
        <f t="shared" si="161"/>
        <v>1</v>
      </c>
      <c r="AB1660" s="35">
        <f t="shared" si="162"/>
        <v>0</v>
      </c>
    </row>
    <row r="1661" spans="1:28">
      <c r="A1661" s="35">
        <v>1650</v>
      </c>
      <c r="B1661" s="35">
        <v>5.2615791345023144E-4</v>
      </c>
      <c r="C1661" s="232">
        <v>69.27</v>
      </c>
      <c r="D1661" s="35">
        <v>5.065059449964683</v>
      </c>
      <c r="E1661" s="232">
        <v>41.02</v>
      </c>
      <c r="F1661" s="35">
        <v>5.0525546379980506</v>
      </c>
      <c r="G1661" s="232">
        <v>10613.58</v>
      </c>
      <c r="H1661" s="35">
        <v>8.8073325442182355</v>
      </c>
      <c r="I1661" s="232">
        <v>12040.24</v>
      </c>
      <c r="J1661" s="35">
        <v>7.3936592959336984</v>
      </c>
      <c r="K1661" s="232">
        <v>12333.86</v>
      </c>
      <c r="L1661" s="35">
        <v>8.4153398047655266</v>
      </c>
      <c r="M1661" s="232">
        <v>38466.32</v>
      </c>
      <c r="N1661" s="35">
        <v>7.2910019407596431</v>
      </c>
      <c r="P1661" s="232">
        <v>-28.25</v>
      </c>
      <c r="Q1661" s="35">
        <v>1.2504811966632445E-2</v>
      </c>
      <c r="R1661" s="232">
        <v>1426.66</v>
      </c>
      <c r="S1661" s="35">
        <v>1.4136732482845371</v>
      </c>
      <c r="T1661" s="232">
        <v>26132.47</v>
      </c>
      <c r="U1661" s="35">
        <v>1.1243378640058834</v>
      </c>
      <c r="W1661" s="35">
        <f t="shared" si="157"/>
        <v>653.49059833162232</v>
      </c>
      <c r="X1661" s="35">
        <f t="shared" si="158"/>
        <v>69257.002414226852</v>
      </c>
      <c r="Y1661" s="35">
        <f t="shared" si="159"/>
        <v>30084.423200294172</v>
      </c>
      <c r="Z1661" s="35">
        <f t="shared" si="160"/>
        <v>0</v>
      </c>
      <c r="AA1661" s="35">
        <f t="shared" si="161"/>
        <v>1</v>
      </c>
      <c r="AB1661" s="35">
        <f t="shared" si="162"/>
        <v>0</v>
      </c>
    </row>
    <row r="1662" spans="1:28">
      <c r="A1662" s="35">
        <v>1651</v>
      </c>
      <c r="B1662" s="35">
        <v>4.8053041152062992E-4</v>
      </c>
      <c r="C1662" s="232">
        <v>95.43</v>
      </c>
      <c r="D1662" s="35">
        <v>5.0640573342771571</v>
      </c>
      <c r="E1662" s="232">
        <v>54.57</v>
      </c>
      <c r="F1662" s="35">
        <v>5.051861267743166</v>
      </c>
      <c r="G1662" s="232">
        <v>15896.03</v>
      </c>
      <c r="H1662" s="35">
        <v>9.2199403362842922</v>
      </c>
      <c r="I1662" s="232">
        <v>16856.89</v>
      </c>
      <c r="J1662" s="35">
        <v>8.3148230447247009</v>
      </c>
      <c r="K1662" s="232">
        <v>20526.310000000001</v>
      </c>
      <c r="L1662" s="35">
        <v>8.4667459869373989</v>
      </c>
      <c r="M1662" s="232">
        <v>46909.95</v>
      </c>
      <c r="N1662" s="35">
        <v>7.3253776058314592</v>
      </c>
      <c r="P1662" s="232">
        <v>-40.869999999999997</v>
      </c>
      <c r="Q1662" s="35">
        <v>1.2196066533991079E-2</v>
      </c>
      <c r="R1662" s="232">
        <v>960.86</v>
      </c>
      <c r="S1662" s="35">
        <v>0.90511729155959131</v>
      </c>
      <c r="T1662" s="232">
        <v>26383.64</v>
      </c>
      <c r="U1662" s="35">
        <v>1.1413683811059396</v>
      </c>
      <c r="W1662" s="35">
        <f t="shared" si="157"/>
        <v>650.67332669955397</v>
      </c>
      <c r="X1662" s="35">
        <f t="shared" si="158"/>
        <v>44295.004577979562</v>
      </c>
      <c r="Y1662" s="35">
        <f t="shared" si="159"/>
        <v>30684.779055296982</v>
      </c>
      <c r="Z1662" s="35">
        <f t="shared" si="160"/>
        <v>0</v>
      </c>
      <c r="AA1662" s="35">
        <f t="shared" si="161"/>
        <v>1</v>
      </c>
      <c r="AB1662" s="35">
        <f t="shared" si="162"/>
        <v>0</v>
      </c>
    </row>
    <row r="1663" spans="1:28">
      <c r="A1663" s="35">
        <v>1652</v>
      </c>
      <c r="B1663" s="35">
        <v>6.1475879064099015E-4</v>
      </c>
      <c r="C1663" s="232">
        <v>93.88</v>
      </c>
      <c r="D1663" s="35">
        <v>5.0703407762023556</v>
      </c>
      <c r="E1663" s="232">
        <v>59.66</v>
      </c>
      <c r="F1663" s="35">
        <v>5.057258332014718</v>
      </c>
      <c r="G1663" s="232">
        <v>11762.02</v>
      </c>
      <c r="H1663" s="35">
        <v>8.8113452128418039</v>
      </c>
      <c r="I1663" s="232">
        <v>12820.58</v>
      </c>
      <c r="J1663" s="35">
        <v>7.9083786148968613</v>
      </c>
      <c r="K1663" s="232">
        <v>16440.490000000002</v>
      </c>
      <c r="L1663" s="35">
        <v>8.7228773712396634</v>
      </c>
      <c r="M1663" s="232">
        <v>42602.28</v>
      </c>
      <c r="N1663" s="35">
        <v>7.7112708340543978</v>
      </c>
      <c r="P1663" s="232">
        <v>-34.22</v>
      </c>
      <c r="Q1663" s="35">
        <v>1.3082444187637599E-2</v>
      </c>
      <c r="R1663" s="232">
        <v>1058.57</v>
      </c>
      <c r="S1663" s="35">
        <v>0.90296659794494261</v>
      </c>
      <c r="T1663" s="232">
        <v>26161.79</v>
      </c>
      <c r="U1663" s="35">
        <v>1.0116065371852656</v>
      </c>
      <c r="W1663" s="35">
        <f t="shared" si="157"/>
        <v>688.34220938187991</v>
      </c>
      <c r="X1663" s="35">
        <f t="shared" si="158"/>
        <v>44089.759897247131</v>
      </c>
      <c r="Y1663" s="35">
        <f t="shared" si="159"/>
        <v>24418.53685926328</v>
      </c>
      <c r="Z1663" s="35">
        <f t="shared" si="160"/>
        <v>0</v>
      </c>
      <c r="AA1663" s="35">
        <f t="shared" si="161"/>
        <v>1</v>
      </c>
      <c r="AB1663" s="35">
        <f t="shared" si="162"/>
        <v>0</v>
      </c>
    </row>
    <row r="1664" spans="1:28">
      <c r="A1664" s="35">
        <v>1653</v>
      </c>
      <c r="B1664" s="35">
        <v>4.3436989989388341E-4</v>
      </c>
      <c r="C1664" s="232">
        <v>65.38</v>
      </c>
      <c r="D1664" s="35">
        <v>5.0623472257408428</v>
      </c>
      <c r="E1664" s="232">
        <v>48.91</v>
      </c>
      <c r="F1664" s="35">
        <v>5.0548271592689522</v>
      </c>
      <c r="G1664" s="232">
        <v>11515.95</v>
      </c>
      <c r="H1664" s="35">
        <v>9.0889790091249463</v>
      </c>
      <c r="I1664" s="232">
        <v>13280.08</v>
      </c>
      <c r="J1664" s="35">
        <v>8.5352447167956882</v>
      </c>
      <c r="K1664" s="232">
        <v>13949.97</v>
      </c>
      <c r="L1664" s="35">
        <v>8.6803042744930838</v>
      </c>
      <c r="M1664" s="232">
        <v>40028.370000000003</v>
      </c>
      <c r="N1664" s="35">
        <v>7.558052088899319</v>
      </c>
      <c r="P1664" s="232">
        <v>-16.47</v>
      </c>
      <c r="Q1664" s="35">
        <v>7.5200664718906296E-3</v>
      </c>
      <c r="R1664" s="232">
        <v>1764.13</v>
      </c>
      <c r="S1664" s="35">
        <v>0.55373429232925808</v>
      </c>
      <c r="T1664" s="232">
        <v>26078.400000000001</v>
      </c>
      <c r="U1664" s="35">
        <v>1.1222521855937648</v>
      </c>
      <c r="W1664" s="35">
        <f t="shared" si="157"/>
        <v>392.47332359453151</v>
      </c>
      <c r="X1664" s="35">
        <f t="shared" si="158"/>
        <v>25922.584616462904</v>
      </c>
      <c r="Y1664" s="35">
        <f t="shared" si="159"/>
        <v>30034.209279688243</v>
      </c>
      <c r="Z1664" s="35">
        <f t="shared" si="160"/>
        <v>0</v>
      </c>
      <c r="AA1664" s="35">
        <f t="shared" si="161"/>
        <v>0</v>
      </c>
      <c r="AB1664" s="35">
        <f t="shared" si="162"/>
        <v>1</v>
      </c>
    </row>
    <row r="1665" spans="1:28">
      <c r="A1665" s="35">
        <v>1654</v>
      </c>
      <c r="B1665" s="35">
        <v>4.6942310911979312E-4</v>
      </c>
      <c r="C1665" s="232">
        <v>74.430000000000007</v>
      </c>
      <c r="D1665" s="35">
        <v>5.0638126453483476</v>
      </c>
      <c r="E1665" s="232">
        <v>49.36</v>
      </c>
      <c r="F1665" s="35">
        <v>5.0538160139196036</v>
      </c>
      <c r="G1665" s="232">
        <v>12423.44</v>
      </c>
      <c r="H1665" s="35">
        <v>8.9804679188623364</v>
      </c>
      <c r="I1665" s="232">
        <v>14176.47</v>
      </c>
      <c r="J1665" s="35">
        <v>8.3951526029780155</v>
      </c>
      <c r="K1665" s="232">
        <v>15146.25</v>
      </c>
      <c r="L1665" s="35">
        <v>8.7480896881021604</v>
      </c>
      <c r="M1665" s="232">
        <v>41273.629999999997</v>
      </c>
      <c r="N1665" s="35">
        <v>7.5867265876244119</v>
      </c>
      <c r="P1665" s="232">
        <v>-25.07</v>
      </c>
      <c r="Q1665" s="35">
        <v>9.9966314287440738E-3</v>
      </c>
      <c r="R1665" s="232">
        <v>1753.03</v>
      </c>
      <c r="S1665" s="35">
        <v>0.58531531588432095</v>
      </c>
      <c r="T1665" s="232">
        <v>26127.38</v>
      </c>
      <c r="U1665" s="35">
        <v>1.1613631004777485</v>
      </c>
      <c r="W1665" s="35">
        <f t="shared" si="157"/>
        <v>524.90157143720376</v>
      </c>
      <c r="X1665" s="35">
        <f t="shared" si="158"/>
        <v>27512.735794216049</v>
      </c>
      <c r="Y1665" s="35">
        <f t="shared" si="159"/>
        <v>31940.775023887425</v>
      </c>
      <c r="Z1665" s="35">
        <f t="shared" si="160"/>
        <v>0</v>
      </c>
      <c r="AA1665" s="35">
        <f t="shared" si="161"/>
        <v>0</v>
      </c>
      <c r="AB1665" s="35">
        <f t="shared" si="162"/>
        <v>1</v>
      </c>
    </row>
    <row r="1666" spans="1:28">
      <c r="A1666" s="35">
        <v>1655</v>
      </c>
      <c r="B1666" s="35">
        <v>3.5016586162827659E-4</v>
      </c>
      <c r="C1666" s="232">
        <v>64.430000000000007</v>
      </c>
      <c r="D1666" s="35">
        <v>5.0565548289522431</v>
      </c>
      <c r="E1666" s="232">
        <v>43.73</v>
      </c>
      <c r="F1666" s="35">
        <v>5.0495089811178282</v>
      </c>
      <c r="G1666" s="232">
        <v>13636.96</v>
      </c>
      <c r="H1666" s="35">
        <v>8.7472518314710559</v>
      </c>
      <c r="I1666" s="232">
        <v>13491.02</v>
      </c>
      <c r="J1666" s="35">
        <v>7.491790832089845</v>
      </c>
      <c r="K1666" s="232">
        <v>20329.96</v>
      </c>
      <c r="L1666" s="35">
        <v>8.7316924337947004</v>
      </c>
      <c r="M1666" s="232">
        <v>46598.57</v>
      </c>
      <c r="N1666" s="35">
        <v>7.6229049833463947</v>
      </c>
      <c r="P1666" s="232">
        <v>-20.7</v>
      </c>
      <c r="Q1666" s="35">
        <v>7.0458478344148645E-3</v>
      </c>
      <c r="R1666" s="232">
        <v>-145.94999999999999</v>
      </c>
      <c r="S1666" s="35">
        <v>1.2554609993812109</v>
      </c>
      <c r="T1666" s="232">
        <v>26268.62</v>
      </c>
      <c r="U1666" s="35">
        <v>1.1087874504483057</v>
      </c>
      <c r="W1666" s="35">
        <f t="shared" si="157"/>
        <v>372.99239172074323</v>
      </c>
      <c r="X1666" s="35">
        <f t="shared" si="158"/>
        <v>62918.99996906054</v>
      </c>
      <c r="Y1666" s="35">
        <f t="shared" si="159"/>
        <v>29170.752522415289</v>
      </c>
      <c r="Z1666" s="35">
        <f t="shared" si="160"/>
        <v>0</v>
      </c>
      <c r="AA1666" s="35">
        <f t="shared" si="161"/>
        <v>1</v>
      </c>
      <c r="AB1666" s="35">
        <f t="shared" si="162"/>
        <v>0</v>
      </c>
    </row>
    <row r="1667" spans="1:28">
      <c r="A1667" s="35">
        <v>1656</v>
      </c>
      <c r="B1667" s="35">
        <v>3.1167931157910218E-4</v>
      </c>
      <c r="C1667" s="232">
        <v>54.49</v>
      </c>
      <c r="D1667" s="35">
        <v>5.0549833176597065</v>
      </c>
      <c r="E1667" s="232">
        <v>30.26</v>
      </c>
      <c r="F1667" s="35">
        <v>5.0462496154146574</v>
      </c>
      <c r="G1667" s="232">
        <v>14065.4</v>
      </c>
      <c r="H1667" s="35">
        <v>9.2450135159024871</v>
      </c>
      <c r="I1667" s="232">
        <v>14737.92</v>
      </c>
      <c r="J1667" s="35">
        <v>7.8598204131152762</v>
      </c>
      <c r="K1667" s="232">
        <v>17588.5</v>
      </c>
      <c r="L1667" s="35">
        <v>8.5536357518706385</v>
      </c>
      <c r="M1667" s="232">
        <v>43877.08</v>
      </c>
      <c r="N1667" s="35">
        <v>7.4805761282564669</v>
      </c>
      <c r="P1667" s="232">
        <v>-24.23</v>
      </c>
      <c r="Q1667" s="35">
        <v>8.733702245049102E-3</v>
      </c>
      <c r="R1667" s="232">
        <v>672.51</v>
      </c>
      <c r="S1667" s="35">
        <v>1.3851931027872109</v>
      </c>
      <c r="T1667" s="232">
        <v>26288.59</v>
      </c>
      <c r="U1667" s="35">
        <v>1.0730596236141716</v>
      </c>
      <c r="W1667" s="35">
        <f t="shared" si="157"/>
        <v>460.91511225245512</v>
      </c>
      <c r="X1667" s="35">
        <f t="shared" si="158"/>
        <v>68587.145139360553</v>
      </c>
      <c r="Y1667" s="35">
        <f t="shared" si="159"/>
        <v>27364.391180708579</v>
      </c>
      <c r="Z1667" s="35">
        <f t="shared" si="160"/>
        <v>0</v>
      </c>
      <c r="AA1667" s="35">
        <f t="shared" si="161"/>
        <v>1</v>
      </c>
      <c r="AB1667" s="35">
        <f t="shared" si="162"/>
        <v>0</v>
      </c>
    </row>
    <row r="1668" spans="1:28">
      <c r="A1668" s="35">
        <v>1657</v>
      </c>
      <c r="B1668" s="35">
        <v>4.7065834865589462E-4</v>
      </c>
      <c r="C1668" s="232">
        <v>78.84</v>
      </c>
      <c r="D1668" s="35">
        <v>5.0626653264200918</v>
      </c>
      <c r="E1668" s="232">
        <v>45.89</v>
      </c>
      <c r="F1668" s="35">
        <v>5.0511752921854853</v>
      </c>
      <c r="G1668" s="232">
        <v>13327.3</v>
      </c>
      <c r="H1668" s="35">
        <v>8.8815140498334184</v>
      </c>
      <c r="I1668" s="232">
        <v>13977.28</v>
      </c>
      <c r="J1668" s="35">
        <v>7.4610672735502428</v>
      </c>
      <c r="K1668" s="232">
        <v>17071.7</v>
      </c>
      <c r="L1668" s="35">
        <v>8.6218835549529675</v>
      </c>
      <c r="M1668" s="232">
        <v>43140.2</v>
      </c>
      <c r="N1668" s="35">
        <v>7.5208570666027343</v>
      </c>
      <c r="P1668" s="232">
        <v>-32.94</v>
      </c>
      <c r="Q1668" s="35">
        <v>1.1490034234606483E-2</v>
      </c>
      <c r="R1668" s="232">
        <v>649.99</v>
      </c>
      <c r="S1668" s="35">
        <v>1.4204467762831756</v>
      </c>
      <c r="T1668" s="232">
        <v>26068.5</v>
      </c>
      <c r="U1668" s="35">
        <v>1.1010264883502332</v>
      </c>
      <c r="W1668" s="35">
        <f t="shared" si="157"/>
        <v>607.44171173032419</v>
      </c>
      <c r="X1668" s="35">
        <f t="shared" si="158"/>
        <v>70372.348814158773</v>
      </c>
      <c r="Y1668" s="35">
        <f t="shared" si="159"/>
        <v>28982.824417511663</v>
      </c>
      <c r="Z1668" s="35">
        <f t="shared" si="160"/>
        <v>0</v>
      </c>
      <c r="AA1668" s="35">
        <f t="shared" si="161"/>
        <v>1</v>
      </c>
      <c r="AB1668" s="35">
        <f t="shared" si="162"/>
        <v>0</v>
      </c>
    </row>
    <row r="1669" spans="1:28">
      <c r="A1669" s="35">
        <v>1658</v>
      </c>
      <c r="B1669" s="35">
        <v>4.2854789499090868E-4</v>
      </c>
      <c r="C1669" s="232">
        <v>61.28</v>
      </c>
      <c r="D1669" s="35">
        <v>5.0606147382599902</v>
      </c>
      <c r="E1669" s="232">
        <v>36.82</v>
      </c>
      <c r="F1669" s="35">
        <v>5.0502006138655791</v>
      </c>
      <c r="G1669" s="232">
        <v>11530.67</v>
      </c>
      <c r="H1669" s="35">
        <v>8.8650764123488113</v>
      </c>
      <c r="I1669" s="232">
        <v>12654.46</v>
      </c>
      <c r="J1669" s="35">
        <v>7.0156562253193666</v>
      </c>
      <c r="K1669" s="232">
        <v>13356.2</v>
      </c>
      <c r="L1669" s="35">
        <v>8.7477232359630364</v>
      </c>
      <c r="M1669" s="232">
        <v>39393</v>
      </c>
      <c r="N1669" s="35">
        <v>7.6606462477012709</v>
      </c>
      <c r="P1669" s="232">
        <v>-24.46</v>
      </c>
      <c r="Q1669" s="35">
        <v>1.0414124394411139E-2</v>
      </c>
      <c r="R1669" s="232">
        <v>1123.8</v>
      </c>
      <c r="S1669" s="35">
        <v>1.8494201870294447</v>
      </c>
      <c r="T1669" s="232">
        <v>26036.799999999999</v>
      </c>
      <c r="U1669" s="35">
        <v>1.0870769882617655</v>
      </c>
      <c r="W1669" s="35">
        <f t="shared" si="157"/>
        <v>545.16621972055702</v>
      </c>
      <c r="X1669" s="35">
        <f t="shared" si="158"/>
        <v>91347.209351472236</v>
      </c>
      <c r="Y1669" s="35">
        <f t="shared" si="159"/>
        <v>28317.049413088276</v>
      </c>
      <c r="Z1669" s="35">
        <f t="shared" si="160"/>
        <v>0</v>
      </c>
      <c r="AA1669" s="35">
        <f t="shared" si="161"/>
        <v>1</v>
      </c>
      <c r="AB1669" s="35">
        <f t="shared" si="162"/>
        <v>0</v>
      </c>
    </row>
    <row r="1670" spans="1:28">
      <c r="A1670" s="35">
        <v>1659</v>
      </c>
      <c r="B1670" s="35">
        <v>5.4998445015863595E-4</v>
      </c>
      <c r="C1670" s="232">
        <v>78</v>
      </c>
      <c r="D1670" s="35">
        <v>5.0673576140989471</v>
      </c>
      <c r="E1670" s="232">
        <v>47.64</v>
      </c>
      <c r="F1670" s="35">
        <v>5.0545148115749923</v>
      </c>
      <c r="G1670" s="232">
        <v>11294.21</v>
      </c>
      <c r="H1670" s="35">
        <v>8.8230426020720323</v>
      </c>
      <c r="I1670" s="232">
        <v>12979.04</v>
      </c>
      <c r="J1670" s="35">
        <v>7.9979798002122635</v>
      </c>
      <c r="K1670" s="232">
        <v>13299.75</v>
      </c>
      <c r="L1670" s="35">
        <v>8.8956183556966835</v>
      </c>
      <c r="M1670" s="232">
        <v>39162.01</v>
      </c>
      <c r="N1670" s="35">
        <v>7.8054315372328613</v>
      </c>
      <c r="P1670" s="232">
        <v>-30.37</v>
      </c>
      <c r="Q1670" s="35">
        <v>1.2842802523954866E-2</v>
      </c>
      <c r="R1670" s="232">
        <v>1684.83</v>
      </c>
      <c r="S1670" s="35">
        <v>0.82506280185976877</v>
      </c>
      <c r="T1670" s="232">
        <v>25862.26</v>
      </c>
      <c r="U1670" s="35">
        <v>1.0901868184638221</v>
      </c>
      <c r="W1670" s="35">
        <f t="shared" si="157"/>
        <v>672.51012619774326</v>
      </c>
      <c r="X1670" s="35">
        <f t="shared" si="158"/>
        <v>39568.310092988439</v>
      </c>
      <c r="Y1670" s="35">
        <f t="shared" si="159"/>
        <v>28647.080923191108</v>
      </c>
      <c r="Z1670" s="35">
        <f t="shared" si="160"/>
        <v>0</v>
      </c>
      <c r="AA1670" s="35">
        <f t="shared" si="161"/>
        <v>1</v>
      </c>
      <c r="AB1670" s="35">
        <f t="shared" si="162"/>
        <v>0</v>
      </c>
    </row>
    <row r="1671" spans="1:28">
      <c r="A1671" s="35">
        <v>1660</v>
      </c>
      <c r="B1671" s="35">
        <v>3.7449945363542423E-4</v>
      </c>
      <c r="C1671" s="232">
        <v>64.17</v>
      </c>
      <c r="D1671" s="35">
        <v>5.0591839140474475</v>
      </c>
      <c r="E1671" s="232">
        <v>37.53</v>
      </c>
      <c r="F1671" s="35">
        <v>5.0491417950088948</v>
      </c>
      <c r="G1671" s="232">
        <v>13683.92</v>
      </c>
      <c r="H1671" s="35">
        <v>9.3303178443711232</v>
      </c>
      <c r="I1671" s="232">
        <v>14226.39</v>
      </c>
      <c r="J1671" s="35">
        <v>7.7194227446161463</v>
      </c>
      <c r="K1671" s="232">
        <v>17003.04</v>
      </c>
      <c r="L1671" s="35">
        <v>8.8730536668620452</v>
      </c>
      <c r="M1671" s="232">
        <v>43240.97</v>
      </c>
      <c r="N1671" s="35">
        <v>7.7627765263363244</v>
      </c>
      <c r="P1671" s="232">
        <v>-26.64</v>
      </c>
      <c r="Q1671" s="35">
        <v>1.0042119038552677E-2</v>
      </c>
      <c r="R1671" s="232">
        <v>542.47</v>
      </c>
      <c r="S1671" s="35">
        <v>1.6108950997549769</v>
      </c>
      <c r="T1671" s="232">
        <v>26237.93</v>
      </c>
      <c r="U1671" s="35">
        <v>1.1102771405257208</v>
      </c>
      <c r="W1671" s="35">
        <f t="shared" si="157"/>
        <v>528.74595192763388</v>
      </c>
      <c r="X1671" s="35">
        <f t="shared" si="158"/>
        <v>80002.284987748848</v>
      </c>
      <c r="Y1671" s="35">
        <f t="shared" si="159"/>
        <v>29275.927026286037</v>
      </c>
      <c r="Z1671" s="35">
        <f t="shared" si="160"/>
        <v>0</v>
      </c>
      <c r="AA1671" s="35">
        <f t="shared" si="161"/>
        <v>1</v>
      </c>
      <c r="AB1671" s="35">
        <f t="shared" si="162"/>
        <v>0</v>
      </c>
    </row>
    <row r="1672" spans="1:28">
      <c r="A1672" s="35">
        <v>1661</v>
      </c>
      <c r="B1672" s="35">
        <v>4.5673264850021322E-4</v>
      </c>
      <c r="C1672" s="232">
        <v>90.13</v>
      </c>
      <c r="D1672" s="35">
        <v>5.0616804727908367</v>
      </c>
      <c r="E1672" s="232">
        <v>56.98</v>
      </c>
      <c r="F1672" s="35">
        <v>5.051975022135875</v>
      </c>
      <c r="G1672" s="232">
        <v>14624.4</v>
      </c>
      <c r="H1672" s="35">
        <v>8.675453380117446</v>
      </c>
      <c r="I1672" s="232">
        <v>14197.66</v>
      </c>
      <c r="J1672" s="35">
        <v>7.4600398948902704</v>
      </c>
      <c r="K1672" s="232">
        <v>22791.61</v>
      </c>
      <c r="L1672" s="35">
        <v>8.5809014449783074</v>
      </c>
      <c r="M1672" s="232">
        <v>49235.82</v>
      </c>
      <c r="N1672" s="35">
        <v>7.4827295473621458</v>
      </c>
      <c r="P1672" s="232">
        <v>-33.15</v>
      </c>
      <c r="Q1672" s="35">
        <v>9.7054506549616448E-3</v>
      </c>
      <c r="R1672" s="232">
        <v>-426.74</v>
      </c>
      <c r="S1672" s="35">
        <v>1.2154134852271756</v>
      </c>
      <c r="T1672" s="232">
        <v>26444.21</v>
      </c>
      <c r="U1672" s="35">
        <v>1.0981718976161616</v>
      </c>
      <c r="W1672" s="35">
        <f t="shared" si="157"/>
        <v>518.42253274808229</v>
      </c>
      <c r="X1672" s="35">
        <f t="shared" si="158"/>
        <v>61197.414261358783</v>
      </c>
      <c r="Y1672" s="35">
        <f t="shared" si="159"/>
        <v>28464.38488080808</v>
      </c>
      <c r="Z1672" s="35">
        <f t="shared" si="160"/>
        <v>0</v>
      </c>
      <c r="AA1672" s="35">
        <f t="shared" si="161"/>
        <v>1</v>
      </c>
      <c r="AB1672" s="35">
        <f t="shared" si="162"/>
        <v>0</v>
      </c>
    </row>
    <row r="1673" spans="1:28">
      <c r="A1673" s="35">
        <v>1662</v>
      </c>
      <c r="B1673" s="35">
        <v>3.9495145741834186E-4</v>
      </c>
      <c r="C1673" s="232">
        <v>53.43</v>
      </c>
      <c r="D1673" s="35">
        <v>5.059568238783533</v>
      </c>
      <c r="E1673" s="232">
        <v>34.82</v>
      </c>
      <c r="F1673" s="35">
        <v>5.050546842945657</v>
      </c>
      <c r="G1673" s="232">
        <v>10535.41</v>
      </c>
      <c r="H1673" s="35">
        <v>9.2260355570961927</v>
      </c>
      <c r="I1673" s="232">
        <v>11944.86</v>
      </c>
      <c r="J1673" s="35">
        <v>8.2124260122022648</v>
      </c>
      <c r="K1673" s="232">
        <v>12056.02</v>
      </c>
      <c r="L1673" s="35">
        <v>8.4349635478150322</v>
      </c>
      <c r="M1673" s="232">
        <v>37896.03</v>
      </c>
      <c r="N1673" s="35">
        <v>7.3190343120324624</v>
      </c>
      <c r="P1673" s="232">
        <v>-18.600000000000001</v>
      </c>
      <c r="Q1673" s="35">
        <v>9.0213958378759784E-3</v>
      </c>
      <c r="R1673" s="232">
        <v>1409.44</v>
      </c>
      <c r="S1673" s="35">
        <v>1.013609544893928</v>
      </c>
      <c r="T1673" s="232">
        <v>25840</v>
      </c>
      <c r="U1673" s="35">
        <v>1.1159292357825699</v>
      </c>
      <c r="W1673" s="35">
        <f t="shared" si="157"/>
        <v>469.66979189379896</v>
      </c>
      <c r="X1673" s="35">
        <f t="shared" si="158"/>
        <v>49271.037244696396</v>
      </c>
      <c r="Y1673" s="35">
        <f t="shared" si="159"/>
        <v>29956.461789128494</v>
      </c>
      <c r="Z1673" s="35">
        <f t="shared" si="160"/>
        <v>0</v>
      </c>
      <c r="AA1673" s="35">
        <f t="shared" si="161"/>
        <v>1</v>
      </c>
      <c r="AB1673" s="35">
        <f t="shared" si="162"/>
        <v>0</v>
      </c>
    </row>
    <row r="1674" spans="1:28">
      <c r="A1674" s="35">
        <v>1663</v>
      </c>
      <c r="B1674" s="35">
        <v>4.7433760284854021E-4</v>
      </c>
      <c r="C1674" s="232">
        <v>97.46</v>
      </c>
      <c r="D1674" s="35">
        <v>5.0634714331089938</v>
      </c>
      <c r="E1674" s="232">
        <v>60.86</v>
      </c>
      <c r="F1674" s="35">
        <v>5.0529157402830274</v>
      </c>
      <c r="G1674" s="232">
        <v>15630.55</v>
      </c>
      <c r="H1674" s="35">
        <v>9.0885580245574573</v>
      </c>
      <c r="I1674" s="232">
        <v>16435.259999999998</v>
      </c>
      <c r="J1674" s="35">
        <v>8.2673726285153553</v>
      </c>
      <c r="K1674" s="232">
        <v>20093.25</v>
      </c>
      <c r="L1674" s="35">
        <v>8.4562259514756768</v>
      </c>
      <c r="M1674" s="232">
        <v>46419.5</v>
      </c>
      <c r="N1674" s="35">
        <v>7.4180041443748994</v>
      </c>
      <c r="P1674" s="232">
        <v>-36.6</v>
      </c>
      <c r="Q1674" s="35">
        <v>1.0555692825966467E-2</v>
      </c>
      <c r="R1674" s="232">
        <v>804.71</v>
      </c>
      <c r="S1674" s="35">
        <v>0.82118539604210206</v>
      </c>
      <c r="T1674" s="232">
        <v>26326.26</v>
      </c>
      <c r="U1674" s="35">
        <v>1.0382218071007774</v>
      </c>
      <c r="W1674" s="35">
        <f t="shared" si="157"/>
        <v>564.38464129832334</v>
      </c>
      <c r="X1674" s="35">
        <f t="shared" si="158"/>
        <v>40254.559802105105</v>
      </c>
      <c r="Y1674" s="35">
        <f t="shared" si="159"/>
        <v>25584.83035503887</v>
      </c>
      <c r="Z1674" s="35">
        <f t="shared" si="160"/>
        <v>0</v>
      </c>
      <c r="AA1674" s="35">
        <f t="shared" si="161"/>
        <v>1</v>
      </c>
      <c r="AB1674" s="35">
        <f t="shared" si="162"/>
        <v>0</v>
      </c>
    </row>
    <row r="1675" spans="1:28">
      <c r="A1675" s="35">
        <v>1664</v>
      </c>
      <c r="B1675" s="35">
        <v>3.9714798115443421E-4</v>
      </c>
      <c r="C1675" s="232">
        <v>72.97</v>
      </c>
      <c r="D1675" s="35">
        <v>5.0601268778570638</v>
      </c>
      <c r="E1675" s="232">
        <v>46.77</v>
      </c>
      <c r="F1675" s="35">
        <v>5.0510396632275159</v>
      </c>
      <c r="G1675" s="232">
        <v>13776.88</v>
      </c>
      <c r="H1675" s="35">
        <v>9.0181936790559565</v>
      </c>
      <c r="I1675" s="232">
        <v>14197.71</v>
      </c>
      <c r="J1675" s="35">
        <v>8.0069884663315207</v>
      </c>
      <c r="K1675" s="232">
        <v>20451.16</v>
      </c>
      <c r="L1675" s="35">
        <v>8.9945175029857261</v>
      </c>
      <c r="M1675" s="232">
        <v>47013.56</v>
      </c>
      <c r="N1675" s="35">
        <v>7.7758708512610584</v>
      </c>
      <c r="P1675" s="232">
        <v>-26.2</v>
      </c>
      <c r="Q1675" s="35">
        <v>9.0872146295479794E-3</v>
      </c>
      <c r="R1675" s="232">
        <v>420.83</v>
      </c>
      <c r="S1675" s="35">
        <v>1.0112052127244358</v>
      </c>
      <c r="T1675" s="232">
        <v>26562.39</v>
      </c>
      <c r="U1675" s="35">
        <v>1.2186466517246677</v>
      </c>
      <c r="W1675" s="35">
        <f t="shared" si="157"/>
        <v>480.56073147739897</v>
      </c>
      <c r="X1675" s="35">
        <f t="shared" si="158"/>
        <v>50139.430636221783</v>
      </c>
      <c r="Y1675" s="35">
        <f t="shared" si="159"/>
        <v>34369.942586233388</v>
      </c>
      <c r="Z1675" s="35">
        <f t="shared" si="160"/>
        <v>0</v>
      </c>
      <c r="AA1675" s="35">
        <f t="shared" si="161"/>
        <v>1</v>
      </c>
      <c r="AB1675" s="35">
        <f t="shared" si="162"/>
        <v>0</v>
      </c>
    </row>
    <row r="1676" spans="1:28">
      <c r="A1676" s="35">
        <v>1665</v>
      </c>
      <c r="B1676" s="35">
        <v>5.2361992143246106E-4</v>
      </c>
      <c r="C1676" s="232">
        <v>77.900000000000006</v>
      </c>
      <c r="D1676" s="35">
        <v>5.0656473465355267</v>
      </c>
      <c r="E1676" s="232">
        <v>47.17</v>
      </c>
      <c r="F1676" s="35">
        <v>5.0534058995379256</v>
      </c>
      <c r="G1676" s="232">
        <v>11621.49</v>
      </c>
      <c r="H1676" s="35">
        <v>8.7162109513241379</v>
      </c>
      <c r="I1676" s="232">
        <v>12973.21</v>
      </c>
      <c r="J1676" s="35">
        <v>7.9105528580892894</v>
      </c>
      <c r="K1676" s="232">
        <v>16250.41</v>
      </c>
      <c r="L1676" s="35">
        <v>8.8926139998699991</v>
      </c>
      <c r="M1676" s="232">
        <v>42400.51</v>
      </c>
      <c r="N1676" s="35">
        <v>7.8476463891382924</v>
      </c>
      <c r="P1676" s="232">
        <v>-30.73</v>
      </c>
      <c r="Q1676" s="35">
        <v>1.2241446997601102E-2</v>
      </c>
      <c r="R1676" s="232">
        <v>1351.72</v>
      </c>
      <c r="S1676" s="35">
        <v>0.80565809323484849</v>
      </c>
      <c r="T1676" s="232">
        <v>26150.11</v>
      </c>
      <c r="U1676" s="35">
        <v>1.0449676107317067</v>
      </c>
      <c r="W1676" s="35">
        <f t="shared" ref="W1676:W1739" si="163">$X$2*Q1676-P1676</f>
        <v>642.80234988005509</v>
      </c>
      <c r="X1676" s="35">
        <f t="shared" ref="X1676:X1739" si="164">$X$2*S1676-R1676</f>
        <v>38931.184661742423</v>
      </c>
      <c r="Y1676" s="35">
        <f t="shared" ref="Y1676:Y1739" si="165">$X$2*U1676-T1676</f>
        <v>26098.27053658534</v>
      </c>
      <c r="Z1676" s="35">
        <f t="shared" ref="Z1676:Z1739" si="166">IF(W1676=MAX($W1676:$Y1676), 1, 0)</f>
        <v>0</v>
      </c>
      <c r="AA1676" s="35">
        <f t="shared" ref="AA1676:AA1739" si="167">IF(X1676=MAX($W1676:$Y1676), 1, 0)</f>
        <v>1</v>
      </c>
      <c r="AB1676" s="35">
        <f t="shared" ref="AB1676:AB1739" si="168">IF(Y1676=MAX($W1676:$Y1676), 1, 0)</f>
        <v>0</v>
      </c>
    </row>
    <row r="1677" spans="1:28">
      <c r="A1677" s="35">
        <v>1666</v>
      </c>
      <c r="B1677" s="35">
        <v>4.0604067872012349E-4</v>
      </c>
      <c r="C1677" s="232">
        <v>56.15</v>
      </c>
      <c r="D1677" s="35">
        <v>5.0586297292087696</v>
      </c>
      <c r="E1677" s="232">
        <v>32.81</v>
      </c>
      <c r="F1677" s="35">
        <v>5.0486713495582682</v>
      </c>
      <c r="G1677" s="232">
        <v>10369.25</v>
      </c>
      <c r="H1677" s="35">
        <v>8.4765198555244563</v>
      </c>
      <c r="I1677" s="232">
        <v>11204.86</v>
      </c>
      <c r="J1677" s="35">
        <v>7.1639241579446038</v>
      </c>
      <c r="K1677" s="232">
        <v>13583.27</v>
      </c>
      <c r="L1677" s="35">
        <v>8.8447964514442869</v>
      </c>
      <c r="M1677" s="232">
        <v>39608.36</v>
      </c>
      <c r="N1677" s="35">
        <v>7.6878810204707024</v>
      </c>
      <c r="P1677" s="232">
        <v>-23.34</v>
      </c>
      <c r="Q1677" s="35">
        <v>9.9583796505013922E-3</v>
      </c>
      <c r="R1677" s="232">
        <v>835.61</v>
      </c>
      <c r="S1677" s="35">
        <v>1.3125956975798525</v>
      </c>
      <c r="T1677" s="232">
        <v>26025.09</v>
      </c>
      <c r="U1677" s="35">
        <v>1.1569154309735845</v>
      </c>
      <c r="W1677" s="35">
        <f t="shared" si="163"/>
        <v>521.25898252506965</v>
      </c>
      <c r="X1677" s="35">
        <f t="shared" si="164"/>
        <v>64794.174878992621</v>
      </c>
      <c r="Y1677" s="35">
        <f t="shared" si="165"/>
        <v>31820.681548679222</v>
      </c>
      <c r="Z1677" s="35">
        <f t="shared" si="166"/>
        <v>0</v>
      </c>
      <c r="AA1677" s="35">
        <f t="shared" si="167"/>
        <v>1</v>
      </c>
      <c r="AB1677" s="35">
        <f t="shared" si="168"/>
        <v>0</v>
      </c>
    </row>
    <row r="1678" spans="1:28">
      <c r="A1678" s="35">
        <v>1667</v>
      </c>
      <c r="B1678" s="35">
        <v>5.1571202948408335E-4</v>
      </c>
      <c r="C1678" s="232">
        <v>84.37</v>
      </c>
      <c r="D1678" s="35">
        <v>5.0634476214301811</v>
      </c>
      <c r="E1678" s="232">
        <v>52.73</v>
      </c>
      <c r="F1678" s="35">
        <v>5.0527668685734053</v>
      </c>
      <c r="G1678" s="232">
        <v>12777.32</v>
      </c>
      <c r="H1678" s="35">
        <v>8.6922010241224186</v>
      </c>
      <c r="I1678" s="232">
        <v>14439.49</v>
      </c>
      <c r="J1678" s="35">
        <v>8.2116575045699012</v>
      </c>
      <c r="K1678" s="232">
        <v>16105.49</v>
      </c>
      <c r="L1678" s="35">
        <v>8.1682332889440428</v>
      </c>
      <c r="M1678" s="232">
        <v>42261.47</v>
      </c>
      <c r="N1678" s="35">
        <v>7.1636968304978037</v>
      </c>
      <c r="P1678" s="232">
        <v>-31.63</v>
      </c>
      <c r="Q1678" s="35">
        <v>1.0680752856775833E-2</v>
      </c>
      <c r="R1678" s="232">
        <v>1662.17</v>
      </c>
      <c r="S1678" s="35">
        <v>0.4805435195525174</v>
      </c>
      <c r="T1678" s="232">
        <v>26155.98</v>
      </c>
      <c r="U1678" s="35">
        <v>1.0045364584462391</v>
      </c>
      <c r="W1678" s="35">
        <f t="shared" si="163"/>
        <v>565.66764283879161</v>
      </c>
      <c r="X1678" s="35">
        <f t="shared" si="164"/>
        <v>22365.005977625871</v>
      </c>
      <c r="Y1678" s="35">
        <f t="shared" si="165"/>
        <v>24070.842922311956</v>
      </c>
      <c r="Z1678" s="35">
        <f t="shared" si="166"/>
        <v>0</v>
      </c>
      <c r="AA1678" s="35">
        <f t="shared" si="167"/>
        <v>0</v>
      </c>
      <c r="AB1678" s="35">
        <f t="shared" si="168"/>
        <v>1</v>
      </c>
    </row>
    <row r="1679" spans="1:28">
      <c r="A1679" s="35">
        <v>1668</v>
      </c>
      <c r="B1679" s="35">
        <v>4.6848474421135045E-4</v>
      </c>
      <c r="C1679" s="232">
        <v>78.63</v>
      </c>
      <c r="D1679" s="35">
        <v>5.061416598733846</v>
      </c>
      <c r="E1679" s="232">
        <v>58.54</v>
      </c>
      <c r="F1679" s="35">
        <v>5.0543183881446341</v>
      </c>
      <c r="G1679" s="232">
        <v>12017.54</v>
      </c>
      <c r="H1679" s="35">
        <v>8.434474644586313</v>
      </c>
      <c r="I1679" s="232">
        <v>11555.61</v>
      </c>
      <c r="J1679" s="35">
        <v>6.9498739991390455</v>
      </c>
      <c r="K1679" s="232">
        <v>17322.77</v>
      </c>
      <c r="L1679" s="35">
        <v>8.5327126759780398</v>
      </c>
      <c r="M1679" s="232">
        <v>43418.6</v>
      </c>
      <c r="N1679" s="35">
        <v>7.5582099973461361</v>
      </c>
      <c r="P1679" s="232">
        <v>-20.09</v>
      </c>
      <c r="Q1679" s="35">
        <v>7.0982105892118952E-3</v>
      </c>
      <c r="R1679" s="232">
        <v>-461.93</v>
      </c>
      <c r="S1679" s="35">
        <v>1.4846006454472676</v>
      </c>
      <c r="T1679" s="232">
        <v>26095.83</v>
      </c>
      <c r="U1679" s="35">
        <v>0.97450267863190376</v>
      </c>
      <c r="W1679" s="35">
        <f t="shared" si="163"/>
        <v>375.00052946059475</v>
      </c>
      <c r="X1679" s="35">
        <f t="shared" si="164"/>
        <v>74691.962272363366</v>
      </c>
      <c r="Y1679" s="35">
        <f t="shared" si="165"/>
        <v>22629.303931595183</v>
      </c>
      <c r="Z1679" s="35">
        <f t="shared" si="166"/>
        <v>0</v>
      </c>
      <c r="AA1679" s="35">
        <f t="shared" si="167"/>
        <v>1</v>
      </c>
      <c r="AB1679" s="35">
        <f t="shared" si="168"/>
        <v>0</v>
      </c>
    </row>
    <row r="1680" spans="1:28">
      <c r="A1680" s="35">
        <v>1669</v>
      </c>
      <c r="B1680" s="35">
        <v>3.9390331052513471E-4</v>
      </c>
      <c r="C1680" s="232">
        <v>48.1</v>
      </c>
      <c r="D1680" s="35">
        <v>5.0567237632569153</v>
      </c>
      <c r="E1680" s="232">
        <v>28.44</v>
      </c>
      <c r="F1680" s="35">
        <v>5.0476051196539462</v>
      </c>
      <c r="G1680" s="232">
        <v>8987.6299999999992</v>
      </c>
      <c r="H1680" s="35">
        <v>8.1794132083063253</v>
      </c>
      <c r="I1680" s="232">
        <v>10014.18</v>
      </c>
      <c r="J1680" s="35">
        <v>6.9746676542648309</v>
      </c>
      <c r="K1680" s="232">
        <v>11213.8</v>
      </c>
      <c r="L1680" s="35">
        <v>8.6744282321538364</v>
      </c>
      <c r="M1680" s="232">
        <v>36909.4</v>
      </c>
      <c r="N1680" s="35">
        <v>7.5560795300831112</v>
      </c>
      <c r="P1680" s="232">
        <v>-19.670000000000002</v>
      </c>
      <c r="Q1680" s="35">
        <v>9.1186436029691009E-3</v>
      </c>
      <c r="R1680" s="232">
        <v>1026.55</v>
      </c>
      <c r="S1680" s="35">
        <v>1.2047455540414944</v>
      </c>
      <c r="T1680" s="232">
        <v>25695.599999999999</v>
      </c>
      <c r="U1680" s="35">
        <v>1.1183487020707252</v>
      </c>
      <c r="W1680" s="35">
        <f t="shared" si="163"/>
        <v>475.60218014845503</v>
      </c>
      <c r="X1680" s="35">
        <f t="shared" si="164"/>
        <v>59210.727702074721</v>
      </c>
      <c r="Y1680" s="35">
        <f t="shared" si="165"/>
        <v>30221.835103536265</v>
      </c>
      <c r="Z1680" s="35">
        <f t="shared" si="166"/>
        <v>0</v>
      </c>
      <c r="AA1680" s="35">
        <f t="shared" si="167"/>
        <v>1</v>
      </c>
      <c r="AB1680" s="35">
        <f t="shared" si="168"/>
        <v>0</v>
      </c>
    </row>
    <row r="1681" spans="1:28">
      <c r="A1681" s="35">
        <v>1670</v>
      </c>
      <c r="B1681" s="35">
        <v>4.0123777715194212E-4</v>
      </c>
      <c r="C1681" s="232">
        <v>59.94</v>
      </c>
      <c r="D1681" s="35">
        <v>5.0562205825760458</v>
      </c>
      <c r="E1681" s="232">
        <v>38.11</v>
      </c>
      <c r="F1681" s="35">
        <v>5.048438842611576</v>
      </c>
      <c r="G1681" s="232">
        <v>11013.9</v>
      </c>
      <c r="H1681" s="35">
        <v>7.6752291078571222</v>
      </c>
      <c r="I1681" s="232">
        <v>11687.93</v>
      </c>
      <c r="J1681" s="35">
        <v>6.4354471583489889</v>
      </c>
      <c r="K1681" s="232">
        <v>16276.01</v>
      </c>
      <c r="L1681" s="35">
        <v>8.736312566310513</v>
      </c>
      <c r="M1681" s="232">
        <v>42438.01</v>
      </c>
      <c r="N1681" s="35">
        <v>7.6253959738133323</v>
      </c>
      <c r="P1681" s="232">
        <v>-21.83</v>
      </c>
      <c r="Q1681" s="35">
        <v>7.781739964469736E-3</v>
      </c>
      <c r="R1681" s="232">
        <v>674.04</v>
      </c>
      <c r="S1681" s="35">
        <v>1.2397819495081333</v>
      </c>
      <c r="T1681" s="232">
        <v>26162.01</v>
      </c>
      <c r="U1681" s="35">
        <v>1.1109165924971807</v>
      </c>
      <c r="W1681" s="35">
        <f t="shared" si="163"/>
        <v>410.91699822348681</v>
      </c>
      <c r="X1681" s="35">
        <f t="shared" si="164"/>
        <v>61315.057475406662</v>
      </c>
      <c r="Y1681" s="35">
        <f t="shared" si="165"/>
        <v>29383.819624859036</v>
      </c>
      <c r="Z1681" s="35">
        <f t="shared" si="166"/>
        <v>0</v>
      </c>
      <c r="AA1681" s="35">
        <f t="shared" si="167"/>
        <v>1</v>
      </c>
      <c r="AB1681" s="35">
        <f t="shared" si="168"/>
        <v>0</v>
      </c>
    </row>
    <row r="1682" spans="1:28">
      <c r="A1682" s="35">
        <v>1671</v>
      </c>
      <c r="B1682" s="35">
        <v>4.535431361222253E-4</v>
      </c>
      <c r="C1682" s="232">
        <v>63.3</v>
      </c>
      <c r="D1682" s="35">
        <v>5.0601130046724005</v>
      </c>
      <c r="E1682" s="232">
        <v>38.299999999999997</v>
      </c>
      <c r="F1682" s="35">
        <v>5.0500647846678239</v>
      </c>
      <c r="G1682" s="232">
        <v>10634.6</v>
      </c>
      <c r="H1682" s="35">
        <v>8.4657964269145527</v>
      </c>
      <c r="I1682" s="232">
        <v>11788.4</v>
      </c>
      <c r="J1682" s="35">
        <v>7.5095898497441702</v>
      </c>
      <c r="K1682" s="232">
        <v>13804.06</v>
      </c>
      <c r="L1682" s="35">
        <v>8.4736287682304727</v>
      </c>
      <c r="M1682" s="232">
        <v>39980.29</v>
      </c>
      <c r="N1682" s="35">
        <v>7.4556559610194331</v>
      </c>
      <c r="P1682" s="232">
        <v>-25</v>
      </c>
      <c r="Q1682" s="35">
        <v>1.0048220004576613E-2</v>
      </c>
      <c r="R1682" s="232">
        <v>1153.8</v>
      </c>
      <c r="S1682" s="35">
        <v>0.95620657717038249</v>
      </c>
      <c r="T1682" s="232">
        <v>26176.23</v>
      </c>
      <c r="U1682" s="35">
        <v>1.0179728072110397</v>
      </c>
      <c r="W1682" s="35">
        <f t="shared" si="163"/>
        <v>527.41100022883074</v>
      </c>
      <c r="X1682" s="35">
        <f t="shared" si="164"/>
        <v>46656.528858519123</v>
      </c>
      <c r="Y1682" s="35">
        <f t="shared" si="165"/>
        <v>24722.410360551981</v>
      </c>
      <c r="Z1682" s="35">
        <f t="shared" si="166"/>
        <v>0</v>
      </c>
      <c r="AA1682" s="35">
        <f t="shared" si="167"/>
        <v>1</v>
      </c>
      <c r="AB1682" s="35">
        <f t="shared" si="168"/>
        <v>0</v>
      </c>
    </row>
    <row r="1683" spans="1:28">
      <c r="A1683" s="35">
        <v>1672</v>
      </c>
      <c r="B1683" s="35">
        <v>3.3543576741923794E-4</v>
      </c>
      <c r="C1683" s="232">
        <v>61.48</v>
      </c>
      <c r="D1683" s="35">
        <v>5.0552796851472444</v>
      </c>
      <c r="E1683" s="232">
        <v>43.49</v>
      </c>
      <c r="F1683" s="35">
        <v>5.0491657640963554</v>
      </c>
      <c r="G1683" s="232">
        <v>13890.84</v>
      </c>
      <c r="H1683" s="35">
        <v>8.6527914147239784</v>
      </c>
      <c r="I1683" s="232">
        <v>13604.65</v>
      </c>
      <c r="J1683" s="35">
        <v>7.045773964199527</v>
      </c>
      <c r="K1683" s="232">
        <v>19167.28</v>
      </c>
      <c r="L1683" s="35">
        <v>8.620756687732456</v>
      </c>
      <c r="M1683" s="232">
        <v>45406.03</v>
      </c>
      <c r="N1683" s="35">
        <v>7.5890316249008896</v>
      </c>
      <c r="P1683" s="232">
        <v>-17.989999999999998</v>
      </c>
      <c r="Q1683" s="35">
        <v>6.1139210508889263E-3</v>
      </c>
      <c r="R1683" s="232">
        <v>-286.2</v>
      </c>
      <c r="S1683" s="35">
        <v>1.6070174505244514</v>
      </c>
      <c r="T1683" s="232">
        <v>26238.76</v>
      </c>
      <c r="U1683" s="35">
        <v>1.0317250628315664</v>
      </c>
      <c r="W1683" s="35">
        <f t="shared" si="163"/>
        <v>323.68605254444634</v>
      </c>
      <c r="X1683" s="35">
        <f t="shared" si="164"/>
        <v>80637.072526222575</v>
      </c>
      <c r="Y1683" s="35">
        <f t="shared" si="165"/>
        <v>25347.493141578325</v>
      </c>
      <c r="Z1683" s="35">
        <f t="shared" si="166"/>
        <v>0</v>
      </c>
      <c r="AA1683" s="35">
        <f t="shared" si="167"/>
        <v>1</v>
      </c>
      <c r="AB1683" s="35">
        <f t="shared" si="168"/>
        <v>0</v>
      </c>
    </row>
    <row r="1684" spans="1:28">
      <c r="A1684" s="35">
        <v>1673</v>
      </c>
      <c r="B1684" s="35">
        <v>4.4115792393833677E-4</v>
      </c>
      <c r="C1684" s="232">
        <v>61.68</v>
      </c>
      <c r="D1684" s="35">
        <v>5.06157012454082</v>
      </c>
      <c r="E1684" s="232">
        <v>36.79</v>
      </c>
      <c r="F1684" s="35">
        <v>5.0506211942112236</v>
      </c>
      <c r="G1684" s="232">
        <v>11332.66</v>
      </c>
      <c r="H1684" s="35">
        <v>8.9654908356250633</v>
      </c>
      <c r="I1684" s="232">
        <v>12874</v>
      </c>
      <c r="J1684" s="35">
        <v>7.8051877617982299</v>
      </c>
      <c r="K1684" s="232">
        <v>13259.06</v>
      </c>
      <c r="L1684" s="35">
        <v>8.7697363956392103</v>
      </c>
      <c r="M1684" s="232">
        <v>39204.199999999997</v>
      </c>
      <c r="N1684" s="35">
        <v>7.7478210690022937</v>
      </c>
      <c r="P1684" s="232">
        <v>-24.89</v>
      </c>
      <c r="Q1684" s="35">
        <v>1.0948930329596429E-2</v>
      </c>
      <c r="R1684" s="232">
        <v>1541.34</v>
      </c>
      <c r="S1684" s="35">
        <v>1.1603030738268334</v>
      </c>
      <c r="T1684" s="232">
        <v>25945.14</v>
      </c>
      <c r="U1684" s="35">
        <v>1.0219153266369165</v>
      </c>
      <c r="W1684" s="35">
        <f t="shared" si="163"/>
        <v>572.3365164798214</v>
      </c>
      <c r="X1684" s="35">
        <f t="shared" si="164"/>
        <v>56473.813691341675</v>
      </c>
      <c r="Y1684" s="35">
        <f t="shared" si="165"/>
        <v>25150.62633184583</v>
      </c>
      <c r="Z1684" s="35">
        <f t="shared" si="166"/>
        <v>0</v>
      </c>
      <c r="AA1684" s="35">
        <f t="shared" si="167"/>
        <v>1</v>
      </c>
      <c r="AB1684" s="35">
        <f t="shared" si="168"/>
        <v>0</v>
      </c>
    </row>
    <row r="1685" spans="1:28">
      <c r="A1685" s="35">
        <v>1674</v>
      </c>
      <c r="B1685" s="35">
        <v>4.6603375334497432E-4</v>
      </c>
      <c r="C1685" s="232">
        <v>78.650000000000006</v>
      </c>
      <c r="D1685" s="35">
        <v>5.0604108038205533</v>
      </c>
      <c r="E1685" s="232">
        <v>48.75</v>
      </c>
      <c r="F1685" s="35">
        <v>5.050813093742998</v>
      </c>
      <c r="G1685" s="232">
        <v>12948.23</v>
      </c>
      <c r="H1685" s="35">
        <v>8.2347153868591203</v>
      </c>
      <c r="I1685" s="232">
        <v>14488.53</v>
      </c>
      <c r="J1685" s="35">
        <v>7.7114661156121898</v>
      </c>
      <c r="K1685" s="232">
        <v>18334.21</v>
      </c>
      <c r="L1685" s="35">
        <v>8.3841727200121063</v>
      </c>
      <c r="M1685" s="232">
        <v>44645.5</v>
      </c>
      <c r="N1685" s="35">
        <v>7.2922832534885371</v>
      </c>
      <c r="P1685" s="232">
        <v>-29.9</v>
      </c>
      <c r="Q1685" s="35">
        <v>9.5977100775552771E-3</v>
      </c>
      <c r="R1685" s="232">
        <v>1540.3</v>
      </c>
      <c r="S1685" s="35">
        <v>0.52324927124693055</v>
      </c>
      <c r="T1685" s="232">
        <v>26311.29</v>
      </c>
      <c r="U1685" s="35">
        <v>1.0918894665235692</v>
      </c>
      <c r="W1685" s="35">
        <f t="shared" si="163"/>
        <v>509.78550387776386</v>
      </c>
      <c r="X1685" s="35">
        <f t="shared" si="164"/>
        <v>24622.163562346526</v>
      </c>
      <c r="Y1685" s="35">
        <f t="shared" si="165"/>
        <v>28283.183326178463</v>
      </c>
      <c r="Z1685" s="35">
        <f t="shared" si="166"/>
        <v>0</v>
      </c>
      <c r="AA1685" s="35">
        <f t="shared" si="167"/>
        <v>0</v>
      </c>
      <c r="AB1685" s="35">
        <f t="shared" si="168"/>
        <v>1</v>
      </c>
    </row>
    <row r="1686" spans="1:28">
      <c r="A1686" s="35">
        <v>1675</v>
      </c>
      <c r="B1686" s="35">
        <v>4.8368664133902062E-4</v>
      </c>
      <c r="C1686" s="232">
        <v>82.24</v>
      </c>
      <c r="D1686" s="35">
        <v>5.0625014243504989</v>
      </c>
      <c r="E1686" s="232">
        <v>61.05</v>
      </c>
      <c r="F1686" s="35">
        <v>5.0550727926064534</v>
      </c>
      <c r="G1686" s="232">
        <v>13340.86</v>
      </c>
      <c r="H1686" s="35">
        <v>8.5822413298705875</v>
      </c>
      <c r="I1686" s="232">
        <v>14823.62</v>
      </c>
      <c r="J1686" s="35">
        <v>7.486839204005153</v>
      </c>
      <c r="K1686" s="232">
        <v>15131.62</v>
      </c>
      <c r="L1686" s="35">
        <v>8.290105740560465</v>
      </c>
      <c r="M1686" s="232">
        <v>41099.39</v>
      </c>
      <c r="N1686" s="35">
        <v>7.1565031017721745</v>
      </c>
      <c r="P1686" s="232">
        <v>-21.19</v>
      </c>
      <c r="Q1686" s="35">
        <v>7.4286317440455107E-3</v>
      </c>
      <c r="R1686" s="232">
        <v>1482.76</v>
      </c>
      <c r="S1686" s="35">
        <v>1.0954021258654345</v>
      </c>
      <c r="T1686" s="232">
        <v>25967.77</v>
      </c>
      <c r="U1686" s="35">
        <v>1.1336026387882905</v>
      </c>
      <c r="W1686" s="35">
        <f t="shared" si="163"/>
        <v>392.62158720227552</v>
      </c>
      <c r="X1686" s="35">
        <f t="shared" si="164"/>
        <v>53287.346293271723</v>
      </c>
      <c r="Y1686" s="35">
        <f t="shared" si="165"/>
        <v>30712.361939414524</v>
      </c>
      <c r="Z1686" s="35">
        <f t="shared" si="166"/>
        <v>0</v>
      </c>
      <c r="AA1686" s="35">
        <f t="shared" si="167"/>
        <v>1</v>
      </c>
      <c r="AB1686" s="35">
        <f t="shared" si="168"/>
        <v>0</v>
      </c>
    </row>
    <row r="1687" spans="1:28">
      <c r="A1687" s="35">
        <v>1676</v>
      </c>
      <c r="B1687" s="35">
        <v>4.6764586630698712E-4</v>
      </c>
      <c r="C1687" s="232">
        <v>77.680000000000007</v>
      </c>
      <c r="D1687" s="35">
        <v>5.059765393675824</v>
      </c>
      <c r="E1687" s="232">
        <v>42.9</v>
      </c>
      <c r="F1687" s="35">
        <v>5.0489536586748986</v>
      </c>
      <c r="G1687" s="232">
        <v>11823.14</v>
      </c>
      <c r="H1687" s="35">
        <v>7.9510053889262045</v>
      </c>
      <c r="I1687" s="232">
        <v>13307.72</v>
      </c>
      <c r="J1687" s="35">
        <v>7.5507614606922742</v>
      </c>
      <c r="K1687" s="232">
        <v>18910.73</v>
      </c>
      <c r="L1687" s="35">
        <v>8.8322682004675865</v>
      </c>
      <c r="M1687" s="232">
        <v>45186.86</v>
      </c>
      <c r="N1687" s="35">
        <v>7.7760255630003012</v>
      </c>
      <c r="P1687" s="232">
        <v>-34.78</v>
      </c>
      <c r="Q1687" s="35">
        <v>1.081173500092536E-2</v>
      </c>
      <c r="R1687" s="232">
        <v>1484.59</v>
      </c>
      <c r="S1687" s="35">
        <v>0.40024392823393029</v>
      </c>
      <c r="T1687" s="232">
        <v>26276.13</v>
      </c>
      <c r="U1687" s="35">
        <v>1.0562426374672853</v>
      </c>
      <c r="W1687" s="35">
        <f t="shared" si="163"/>
        <v>575.36675004626795</v>
      </c>
      <c r="X1687" s="35">
        <f t="shared" si="164"/>
        <v>18527.606411696514</v>
      </c>
      <c r="Y1687" s="35">
        <f t="shared" si="165"/>
        <v>26536.001873364261</v>
      </c>
      <c r="Z1687" s="35">
        <f t="shared" si="166"/>
        <v>0</v>
      </c>
      <c r="AA1687" s="35">
        <f t="shared" si="167"/>
        <v>0</v>
      </c>
      <c r="AB1687" s="35">
        <f t="shared" si="168"/>
        <v>1</v>
      </c>
    </row>
    <row r="1688" spans="1:28">
      <c r="A1688" s="35">
        <v>1677</v>
      </c>
      <c r="B1688" s="35">
        <v>3.4415265493817273E-4</v>
      </c>
      <c r="C1688" s="232">
        <v>61.16</v>
      </c>
      <c r="D1688" s="35">
        <v>5.0556519007598721</v>
      </c>
      <c r="E1688" s="232">
        <v>35.64</v>
      </c>
      <c r="F1688" s="35">
        <v>5.0471900091729482</v>
      </c>
      <c r="G1688" s="232">
        <v>13159.03</v>
      </c>
      <c r="H1688" s="35">
        <v>8.5591375409810055</v>
      </c>
      <c r="I1688" s="232">
        <v>12864.42</v>
      </c>
      <c r="J1688" s="35">
        <v>7.1838196404574584</v>
      </c>
      <c r="K1688" s="232">
        <v>20090.37</v>
      </c>
      <c r="L1688" s="35">
        <v>8.8172225911484148</v>
      </c>
      <c r="M1688" s="232">
        <v>46555.56</v>
      </c>
      <c r="N1688" s="35">
        <v>7.6859219167346078</v>
      </c>
      <c r="P1688" s="232">
        <v>-25.53</v>
      </c>
      <c r="Q1688" s="35">
        <v>8.4618915869238975E-3</v>
      </c>
      <c r="R1688" s="232">
        <v>-294.61</v>
      </c>
      <c r="S1688" s="35">
        <v>1.3753179005235472</v>
      </c>
      <c r="T1688" s="232">
        <v>26465.19</v>
      </c>
      <c r="U1688" s="35">
        <v>1.131300674413807</v>
      </c>
      <c r="W1688" s="35">
        <f t="shared" si="163"/>
        <v>448.62457934619488</v>
      </c>
      <c r="X1688" s="35">
        <f t="shared" si="164"/>
        <v>69060.505026177358</v>
      </c>
      <c r="Y1688" s="35">
        <f t="shared" si="165"/>
        <v>30099.843720690351</v>
      </c>
      <c r="Z1688" s="35">
        <f t="shared" si="166"/>
        <v>0</v>
      </c>
      <c r="AA1688" s="35">
        <f t="shared" si="167"/>
        <v>1</v>
      </c>
      <c r="AB1688" s="35">
        <f t="shared" si="168"/>
        <v>0</v>
      </c>
    </row>
    <row r="1689" spans="1:28">
      <c r="A1689" s="35">
        <v>1678</v>
      </c>
      <c r="B1689" s="35">
        <v>4.1972319542965899E-4</v>
      </c>
      <c r="C1689" s="232">
        <v>74.58</v>
      </c>
      <c r="D1689" s="35">
        <v>5.0588131671719472</v>
      </c>
      <c r="E1689" s="232">
        <v>40.450000000000003</v>
      </c>
      <c r="F1689" s="35">
        <v>5.0482260960058163</v>
      </c>
      <c r="G1689" s="232">
        <v>14388.56</v>
      </c>
      <c r="H1689" s="35">
        <v>8.5628770057544514</v>
      </c>
      <c r="I1689" s="232">
        <v>15107.95</v>
      </c>
      <c r="J1689" s="35">
        <v>6.9636322849703127</v>
      </c>
      <c r="K1689" s="232">
        <v>17915.38</v>
      </c>
      <c r="L1689" s="35">
        <v>8.5766876324119821</v>
      </c>
      <c r="M1689" s="232">
        <v>44081.01</v>
      </c>
      <c r="N1689" s="35">
        <v>7.5528045718817625</v>
      </c>
      <c r="P1689" s="232">
        <v>-34.130000000000003</v>
      </c>
      <c r="Q1689" s="35">
        <v>1.058707116613089E-2</v>
      </c>
      <c r="R1689" s="232">
        <v>719.39</v>
      </c>
      <c r="S1689" s="35">
        <v>1.5992447207841387</v>
      </c>
      <c r="T1689" s="232">
        <v>26165.63</v>
      </c>
      <c r="U1689" s="35">
        <v>1.0238830605302196</v>
      </c>
      <c r="W1689" s="35">
        <f t="shared" si="163"/>
        <v>563.48355830654452</v>
      </c>
      <c r="X1689" s="35">
        <f t="shared" si="164"/>
        <v>79242.846039206939</v>
      </c>
      <c r="Y1689" s="35">
        <f t="shared" si="165"/>
        <v>25028.523026510982</v>
      </c>
      <c r="Z1689" s="35">
        <f t="shared" si="166"/>
        <v>0</v>
      </c>
      <c r="AA1689" s="35">
        <f t="shared" si="167"/>
        <v>1</v>
      </c>
      <c r="AB1689" s="35">
        <f t="shared" si="168"/>
        <v>0</v>
      </c>
    </row>
    <row r="1690" spans="1:28">
      <c r="A1690" s="35">
        <v>1679</v>
      </c>
      <c r="B1690" s="35">
        <v>3.3207464380678367E-4</v>
      </c>
      <c r="C1690" s="232">
        <v>50.98</v>
      </c>
      <c r="D1690" s="35">
        <v>5.0562812348196857</v>
      </c>
      <c r="E1690" s="232">
        <v>31.23</v>
      </c>
      <c r="F1690" s="35">
        <v>5.0478487397680194</v>
      </c>
      <c r="G1690" s="232">
        <v>12104.14</v>
      </c>
      <c r="H1690" s="35">
        <v>9.0634568922609908</v>
      </c>
      <c r="I1690" s="232">
        <v>13203.1</v>
      </c>
      <c r="J1690" s="35">
        <v>7.8197304330664998</v>
      </c>
      <c r="K1690" s="232">
        <v>15158.29</v>
      </c>
      <c r="L1690" s="35">
        <v>8.7415263355363866</v>
      </c>
      <c r="M1690" s="232">
        <v>41349.26</v>
      </c>
      <c r="N1690" s="35">
        <v>7.6056797542322157</v>
      </c>
      <c r="P1690" s="232">
        <v>-19.75</v>
      </c>
      <c r="Q1690" s="35">
        <v>8.4324950516663222E-3</v>
      </c>
      <c r="R1690" s="232">
        <v>1098.95</v>
      </c>
      <c r="S1690" s="35">
        <v>1.243726459194491</v>
      </c>
      <c r="T1690" s="232">
        <v>26190.97</v>
      </c>
      <c r="U1690" s="35">
        <v>1.1358465813041709</v>
      </c>
      <c r="W1690" s="35">
        <f t="shared" si="163"/>
        <v>441.37475258331608</v>
      </c>
      <c r="X1690" s="35">
        <f t="shared" si="164"/>
        <v>61087.372959724555</v>
      </c>
      <c r="Y1690" s="35">
        <f t="shared" si="165"/>
        <v>30601.359065208548</v>
      </c>
      <c r="Z1690" s="35">
        <f t="shared" si="166"/>
        <v>0</v>
      </c>
      <c r="AA1690" s="35">
        <f t="shared" si="167"/>
        <v>1</v>
      </c>
      <c r="AB1690" s="35">
        <f t="shared" si="168"/>
        <v>0</v>
      </c>
    </row>
    <row r="1691" spans="1:28">
      <c r="A1691" s="35">
        <v>1680</v>
      </c>
      <c r="B1691" s="35">
        <v>5.0936744629948016E-4</v>
      </c>
      <c r="C1691" s="232">
        <v>79.06</v>
      </c>
      <c r="D1691" s="35">
        <v>5.0650536522379843</v>
      </c>
      <c r="E1691" s="232">
        <v>48</v>
      </c>
      <c r="F1691" s="35">
        <v>5.0531360342558873</v>
      </c>
      <c r="G1691" s="232">
        <v>11971.24</v>
      </c>
      <c r="H1691" s="35">
        <v>9.0373389950948368</v>
      </c>
      <c r="I1691" s="232">
        <v>12275.5</v>
      </c>
      <c r="J1691" s="35">
        <v>7.7648718315863974</v>
      </c>
      <c r="K1691" s="232">
        <v>16280.14</v>
      </c>
      <c r="L1691" s="35">
        <v>8.4085147642690607</v>
      </c>
      <c r="M1691" s="232">
        <v>42202.92</v>
      </c>
      <c r="N1691" s="35">
        <v>7.3397783628560171</v>
      </c>
      <c r="P1691" s="232">
        <v>-31.06</v>
      </c>
      <c r="Q1691" s="35">
        <v>1.1917617982097006E-2</v>
      </c>
      <c r="R1691" s="232">
        <v>304.26</v>
      </c>
      <c r="S1691" s="35">
        <v>1.2724671635084395</v>
      </c>
      <c r="T1691" s="232">
        <v>25922.78</v>
      </c>
      <c r="U1691" s="35">
        <v>1.0687364014130436</v>
      </c>
      <c r="W1691" s="35">
        <f t="shared" si="163"/>
        <v>626.94089910485025</v>
      </c>
      <c r="X1691" s="35">
        <f t="shared" si="164"/>
        <v>63319.098175421968</v>
      </c>
      <c r="Y1691" s="35">
        <f t="shared" si="165"/>
        <v>27514.040070652183</v>
      </c>
      <c r="Z1691" s="35">
        <f t="shared" si="166"/>
        <v>0</v>
      </c>
      <c r="AA1691" s="35">
        <f t="shared" si="167"/>
        <v>1</v>
      </c>
      <c r="AB1691" s="35">
        <f t="shared" si="168"/>
        <v>0</v>
      </c>
    </row>
    <row r="1692" spans="1:28">
      <c r="A1692" s="35">
        <v>1681</v>
      </c>
      <c r="B1692" s="35">
        <v>3.7834492731707677E-4</v>
      </c>
      <c r="C1692" s="232">
        <v>45.11</v>
      </c>
      <c r="D1692" s="35">
        <v>5.059067745624751</v>
      </c>
      <c r="E1692" s="232">
        <v>26.41</v>
      </c>
      <c r="F1692" s="35">
        <v>5.0485860521102923</v>
      </c>
      <c r="G1692" s="232">
        <v>9857.75</v>
      </c>
      <c r="H1692" s="35">
        <v>9.1279169170764956</v>
      </c>
      <c r="I1692" s="232">
        <v>11799.59</v>
      </c>
      <c r="J1692" s="35">
        <v>7.4005463922045287</v>
      </c>
      <c r="K1692" s="232">
        <v>9812.9599999999991</v>
      </c>
      <c r="L1692" s="35">
        <v>9.0074889540471332</v>
      </c>
      <c r="M1692" s="232">
        <v>35486.559999999998</v>
      </c>
      <c r="N1692" s="35">
        <v>7.9330703215420861</v>
      </c>
      <c r="P1692" s="232">
        <v>-18.7</v>
      </c>
      <c r="Q1692" s="35">
        <v>1.0481693514458712E-2</v>
      </c>
      <c r="R1692" s="232">
        <v>1941.84</v>
      </c>
      <c r="S1692" s="35">
        <v>1.7273705248719669</v>
      </c>
      <c r="T1692" s="232">
        <v>25673.599999999999</v>
      </c>
      <c r="U1692" s="35">
        <v>1.0744186325050471</v>
      </c>
      <c r="W1692" s="35">
        <f t="shared" si="163"/>
        <v>542.78467572293562</v>
      </c>
      <c r="X1692" s="35">
        <f t="shared" si="164"/>
        <v>84426.686243598349</v>
      </c>
      <c r="Y1692" s="35">
        <f t="shared" si="165"/>
        <v>28047.331625252358</v>
      </c>
      <c r="Z1692" s="35">
        <f t="shared" si="166"/>
        <v>0</v>
      </c>
      <c r="AA1692" s="35">
        <f t="shared" si="167"/>
        <v>1</v>
      </c>
      <c r="AB1692" s="35">
        <f t="shared" si="168"/>
        <v>0</v>
      </c>
    </row>
    <row r="1693" spans="1:28">
      <c r="A1693" s="35">
        <v>1682</v>
      </c>
      <c r="B1693" s="35">
        <v>5.395863102456433E-4</v>
      </c>
      <c r="C1693" s="232">
        <v>91.02</v>
      </c>
      <c r="D1693" s="35">
        <v>5.0691444724257559</v>
      </c>
      <c r="E1693" s="232">
        <v>61.32</v>
      </c>
      <c r="F1693" s="35">
        <v>5.057698319640358</v>
      </c>
      <c r="G1693" s="232">
        <v>12519.37</v>
      </c>
      <c r="H1693" s="35">
        <v>9.2957579838771185</v>
      </c>
      <c r="I1693" s="232">
        <v>12996.44</v>
      </c>
      <c r="J1693" s="35">
        <v>8.1937262755300093</v>
      </c>
      <c r="K1693" s="232">
        <v>17292.05</v>
      </c>
      <c r="L1693" s="35">
        <v>8.8763025299138576</v>
      </c>
      <c r="M1693" s="232">
        <v>43663.76</v>
      </c>
      <c r="N1693" s="35">
        <v>7.638021453439328</v>
      </c>
      <c r="P1693" s="232">
        <v>-29.7</v>
      </c>
      <c r="Q1693" s="35">
        <v>1.1446152785397956E-2</v>
      </c>
      <c r="R1693" s="232">
        <v>477.07</v>
      </c>
      <c r="S1693" s="35">
        <v>1.1020317083471092</v>
      </c>
      <c r="T1693" s="232">
        <v>26371.71</v>
      </c>
      <c r="U1693" s="35">
        <v>1.2382810764745296</v>
      </c>
      <c r="W1693" s="35">
        <f t="shared" si="163"/>
        <v>602.00763926989782</v>
      </c>
      <c r="X1693" s="35">
        <f t="shared" si="164"/>
        <v>54624.515417355462</v>
      </c>
      <c r="Y1693" s="35">
        <f t="shared" si="165"/>
        <v>35542.343823726478</v>
      </c>
      <c r="Z1693" s="35">
        <f t="shared" si="166"/>
        <v>0</v>
      </c>
      <c r="AA1693" s="35">
        <f t="shared" si="167"/>
        <v>1</v>
      </c>
      <c r="AB1693" s="35">
        <f t="shared" si="168"/>
        <v>0</v>
      </c>
    </row>
    <row r="1694" spans="1:28">
      <c r="A1694" s="35">
        <v>1683</v>
      </c>
      <c r="B1694" s="35">
        <v>3.8307266535254881E-4</v>
      </c>
      <c r="C1694" s="232">
        <v>45.93</v>
      </c>
      <c r="D1694" s="35">
        <v>5.0593220778990258</v>
      </c>
      <c r="E1694" s="232">
        <v>28.31</v>
      </c>
      <c r="F1694" s="35">
        <v>5.0494079030896133</v>
      </c>
      <c r="G1694" s="232">
        <v>9647.5</v>
      </c>
      <c r="H1694" s="35">
        <v>9.2999146665435575</v>
      </c>
      <c r="I1694" s="232">
        <v>11159.44</v>
      </c>
      <c r="J1694" s="35">
        <v>8.107765648379246</v>
      </c>
      <c r="K1694" s="232">
        <v>11435.78</v>
      </c>
      <c r="L1694" s="35">
        <v>8.5802201685550834</v>
      </c>
      <c r="M1694" s="232">
        <v>37410.51</v>
      </c>
      <c r="N1694" s="35">
        <v>7.5087206273330436</v>
      </c>
      <c r="P1694" s="232">
        <v>-17.61</v>
      </c>
      <c r="Q1694" s="35">
        <v>9.9141748094124793E-3</v>
      </c>
      <c r="R1694" s="232">
        <v>1511.95</v>
      </c>
      <c r="S1694" s="35">
        <v>1.1921490181643115</v>
      </c>
      <c r="T1694" s="232">
        <v>25974.73</v>
      </c>
      <c r="U1694" s="35">
        <v>1.0714995412220398</v>
      </c>
      <c r="W1694" s="35">
        <f t="shared" si="163"/>
        <v>513.31874047062399</v>
      </c>
      <c r="X1694" s="35">
        <f t="shared" si="164"/>
        <v>58095.500908215581</v>
      </c>
      <c r="Y1694" s="35">
        <f t="shared" si="165"/>
        <v>27600.247061101993</v>
      </c>
      <c r="Z1694" s="35">
        <f t="shared" si="166"/>
        <v>0</v>
      </c>
      <c r="AA1694" s="35">
        <f t="shared" si="167"/>
        <v>1</v>
      </c>
      <c r="AB1694" s="35">
        <f t="shared" si="168"/>
        <v>0</v>
      </c>
    </row>
    <row r="1695" spans="1:28">
      <c r="A1695" s="35">
        <v>1684</v>
      </c>
      <c r="B1695" s="35">
        <v>5.0456618067229453E-4</v>
      </c>
      <c r="C1695" s="232">
        <v>54.94</v>
      </c>
      <c r="D1695" s="35">
        <v>5.064884781682137</v>
      </c>
      <c r="E1695" s="232">
        <v>34.85</v>
      </c>
      <c r="F1695" s="35">
        <v>5.0532281689150569</v>
      </c>
      <c r="G1695" s="232">
        <v>8232.23</v>
      </c>
      <c r="H1695" s="35">
        <v>8.7862981936525681</v>
      </c>
      <c r="I1695" s="232">
        <v>9173.19</v>
      </c>
      <c r="J1695" s="35">
        <v>6.8334323871545886</v>
      </c>
      <c r="K1695" s="232">
        <v>9378.94</v>
      </c>
      <c r="L1695" s="35">
        <v>8.978946879393483</v>
      </c>
      <c r="M1695" s="232">
        <v>35222.76</v>
      </c>
      <c r="N1695" s="35">
        <v>7.8766170530616302</v>
      </c>
      <c r="P1695" s="232">
        <v>-20.09</v>
      </c>
      <c r="Q1695" s="35">
        <v>1.1656612767080077E-2</v>
      </c>
      <c r="R1695" s="232">
        <v>940.96</v>
      </c>
      <c r="S1695" s="35">
        <v>1.9528658064979796</v>
      </c>
      <c r="T1695" s="232">
        <v>25843.82</v>
      </c>
      <c r="U1695" s="35">
        <v>1.1023298263318528</v>
      </c>
      <c r="W1695" s="35">
        <f t="shared" si="163"/>
        <v>602.92063835400393</v>
      </c>
      <c r="X1695" s="35">
        <f t="shared" si="164"/>
        <v>96702.330324898969</v>
      </c>
      <c r="Y1695" s="35">
        <f t="shared" si="165"/>
        <v>29272.671316592641</v>
      </c>
      <c r="Z1695" s="35">
        <f t="shared" si="166"/>
        <v>0</v>
      </c>
      <c r="AA1695" s="35">
        <f t="shared" si="167"/>
        <v>1</v>
      </c>
      <c r="AB1695" s="35">
        <f t="shared" si="168"/>
        <v>0</v>
      </c>
    </row>
    <row r="1696" spans="1:28">
      <c r="A1696" s="35">
        <v>1685</v>
      </c>
      <c r="B1696" s="35">
        <v>5.1584715022467975E-4</v>
      </c>
      <c r="C1696" s="232">
        <v>93.08</v>
      </c>
      <c r="D1696" s="35">
        <v>5.0665746880582754</v>
      </c>
      <c r="E1696" s="232">
        <v>54.83</v>
      </c>
      <c r="F1696" s="35">
        <v>5.053671576957564</v>
      </c>
      <c r="G1696" s="232">
        <v>14103.82</v>
      </c>
      <c r="H1696" s="35">
        <v>9.0822676389572283</v>
      </c>
      <c r="I1696" s="232">
        <v>14850.28</v>
      </c>
      <c r="J1696" s="35">
        <v>7.8601901538224146</v>
      </c>
      <c r="K1696" s="232">
        <v>18078.099999999999</v>
      </c>
      <c r="L1696" s="35">
        <v>8.9359749337748369</v>
      </c>
      <c r="M1696" s="232">
        <v>44241.35</v>
      </c>
      <c r="N1696" s="35">
        <v>7.8337580759647416</v>
      </c>
      <c r="P1696" s="232">
        <v>-38.25</v>
      </c>
      <c r="Q1696" s="35">
        <v>1.2903111100711406E-2</v>
      </c>
      <c r="R1696" s="232">
        <v>746.45</v>
      </c>
      <c r="S1696" s="35">
        <v>1.2220774851348137</v>
      </c>
      <c r="T1696" s="232">
        <v>26163.25</v>
      </c>
      <c r="U1696" s="35">
        <v>1.1022168578100953</v>
      </c>
      <c r="W1696" s="35">
        <f t="shared" si="163"/>
        <v>683.40555503557027</v>
      </c>
      <c r="X1696" s="35">
        <f t="shared" si="164"/>
        <v>60357.424256740691</v>
      </c>
      <c r="Y1696" s="35">
        <f t="shared" si="165"/>
        <v>28947.592890504762</v>
      </c>
      <c r="Z1696" s="35">
        <f t="shared" si="166"/>
        <v>0</v>
      </c>
      <c r="AA1696" s="35">
        <f t="shared" si="167"/>
        <v>1</v>
      </c>
      <c r="AB1696" s="35">
        <f t="shared" si="168"/>
        <v>0</v>
      </c>
    </row>
    <row r="1697" spans="1:28">
      <c r="A1697" s="35">
        <v>1686</v>
      </c>
      <c r="B1697" s="35">
        <v>4.8411208278986706E-4</v>
      </c>
      <c r="C1697" s="232">
        <v>89.03</v>
      </c>
      <c r="D1697" s="35">
        <v>5.0644374277561877</v>
      </c>
      <c r="E1697" s="232">
        <v>53.2</v>
      </c>
      <c r="F1697" s="35">
        <v>5.0526737405065933</v>
      </c>
      <c r="G1697" s="232">
        <v>15088.24</v>
      </c>
      <c r="H1697" s="35">
        <v>9.2857234339315688</v>
      </c>
      <c r="I1697" s="232">
        <v>16224.85</v>
      </c>
      <c r="J1697" s="35">
        <v>7.9897142421939327</v>
      </c>
      <c r="K1697" s="232">
        <v>18258.990000000002</v>
      </c>
      <c r="L1697" s="35">
        <v>8.4578580061710511</v>
      </c>
      <c r="M1697" s="232">
        <v>44543.16</v>
      </c>
      <c r="N1697" s="35">
        <v>7.4565737073855676</v>
      </c>
      <c r="P1697" s="232">
        <v>-35.83</v>
      </c>
      <c r="Q1697" s="35">
        <v>1.1763687249594312E-2</v>
      </c>
      <c r="R1697" s="232">
        <v>1136.6099999999999</v>
      </c>
      <c r="S1697" s="35">
        <v>1.2960091917376362</v>
      </c>
      <c r="T1697" s="232">
        <v>26284.17</v>
      </c>
      <c r="U1697" s="35">
        <v>1.0012842987854835</v>
      </c>
      <c r="W1697" s="35">
        <f t="shared" si="163"/>
        <v>624.01436247971571</v>
      </c>
      <c r="X1697" s="35">
        <f t="shared" si="164"/>
        <v>63663.849586881806</v>
      </c>
      <c r="Y1697" s="35">
        <f t="shared" si="165"/>
        <v>23780.044939274179</v>
      </c>
      <c r="Z1697" s="35">
        <f t="shared" si="166"/>
        <v>0</v>
      </c>
      <c r="AA1697" s="35">
        <f t="shared" si="167"/>
        <v>1</v>
      </c>
      <c r="AB1697" s="35">
        <f t="shared" si="168"/>
        <v>0</v>
      </c>
    </row>
    <row r="1698" spans="1:28">
      <c r="A1698" s="35">
        <v>1687</v>
      </c>
      <c r="B1698" s="35">
        <v>3.4538446319250146E-4</v>
      </c>
      <c r="C1698" s="232">
        <v>52.8</v>
      </c>
      <c r="D1698" s="35">
        <v>5.0564157212216045</v>
      </c>
      <c r="E1698" s="232">
        <v>30.31</v>
      </c>
      <c r="F1698" s="35">
        <v>5.047255619903682</v>
      </c>
      <c r="G1698" s="232">
        <v>12101.21</v>
      </c>
      <c r="H1698" s="35">
        <v>8.9052995185564363</v>
      </c>
      <c r="I1698" s="232">
        <v>13779.59</v>
      </c>
      <c r="J1698" s="35">
        <v>7.9853082397397834</v>
      </c>
      <c r="K1698" s="232">
        <v>13035.92</v>
      </c>
      <c r="L1698" s="35">
        <v>8.6937348100103407</v>
      </c>
      <c r="M1698" s="232">
        <v>38929.42</v>
      </c>
      <c r="N1698" s="35">
        <v>7.6572073893326804</v>
      </c>
      <c r="P1698" s="232">
        <v>-22.49</v>
      </c>
      <c r="Q1698" s="35">
        <v>9.1601013179225532E-3</v>
      </c>
      <c r="R1698" s="232">
        <v>1678.37</v>
      </c>
      <c r="S1698" s="35">
        <v>0.91999127881665288</v>
      </c>
      <c r="T1698" s="232">
        <v>25893.5</v>
      </c>
      <c r="U1698" s="35">
        <v>1.0365274206776602</v>
      </c>
      <c r="W1698" s="35">
        <f t="shared" si="163"/>
        <v>480.4950658961277</v>
      </c>
      <c r="X1698" s="35">
        <f t="shared" si="164"/>
        <v>44321.193940832643</v>
      </c>
      <c r="Y1698" s="35">
        <f t="shared" si="165"/>
        <v>25932.871033883013</v>
      </c>
      <c r="Z1698" s="35">
        <f t="shared" si="166"/>
        <v>0</v>
      </c>
      <c r="AA1698" s="35">
        <f t="shared" si="167"/>
        <v>1</v>
      </c>
      <c r="AB1698" s="35">
        <f t="shared" si="168"/>
        <v>0</v>
      </c>
    </row>
    <row r="1699" spans="1:28">
      <c r="A1699" s="35">
        <v>1688</v>
      </c>
      <c r="B1699" s="35">
        <v>5.2113372203754782E-4</v>
      </c>
      <c r="C1699" s="232">
        <v>53.18</v>
      </c>
      <c r="D1699" s="35">
        <v>5.0658725211830662</v>
      </c>
      <c r="E1699" s="232">
        <v>34.75</v>
      </c>
      <c r="F1699" s="35">
        <v>5.0542594446377134</v>
      </c>
      <c r="G1699" s="232">
        <v>7836.59</v>
      </c>
      <c r="H1699" s="35">
        <v>8.9826162460098775</v>
      </c>
      <c r="I1699" s="232">
        <v>10018.950000000001</v>
      </c>
      <c r="J1699" s="35">
        <v>8.910025672351999</v>
      </c>
      <c r="K1699" s="232">
        <v>9120.4</v>
      </c>
      <c r="L1699" s="35">
        <v>8.4728488003187152</v>
      </c>
      <c r="M1699" s="232">
        <v>34956.559999999998</v>
      </c>
      <c r="N1699" s="35">
        <v>7.3559102952046782</v>
      </c>
      <c r="P1699" s="232">
        <v>-18.43</v>
      </c>
      <c r="Q1699" s="35">
        <v>1.1613076545352818E-2</v>
      </c>
      <c r="R1699" s="232">
        <v>2182.36</v>
      </c>
      <c r="S1699" s="35">
        <v>7.2590573657878465E-2</v>
      </c>
      <c r="T1699" s="232">
        <v>25836.17</v>
      </c>
      <c r="U1699" s="35">
        <v>1.116938505114037</v>
      </c>
      <c r="W1699" s="35">
        <f t="shared" si="163"/>
        <v>599.08382726764091</v>
      </c>
      <c r="X1699" s="35">
        <f t="shared" si="164"/>
        <v>1447.1686828939232</v>
      </c>
      <c r="Y1699" s="35">
        <f t="shared" si="165"/>
        <v>30010.75525570185</v>
      </c>
      <c r="Z1699" s="35">
        <f t="shared" si="166"/>
        <v>0</v>
      </c>
      <c r="AA1699" s="35">
        <f t="shared" si="167"/>
        <v>0</v>
      </c>
      <c r="AB1699" s="35">
        <f t="shared" si="168"/>
        <v>1</v>
      </c>
    </row>
    <row r="1700" spans="1:28">
      <c r="A1700" s="35">
        <v>1689</v>
      </c>
      <c r="B1700" s="35">
        <v>5.7948536993768229E-4</v>
      </c>
      <c r="C1700" s="232">
        <v>86.23</v>
      </c>
      <c r="D1700" s="35">
        <v>5.0658774527184258</v>
      </c>
      <c r="E1700" s="232">
        <v>54.78</v>
      </c>
      <c r="F1700" s="35">
        <v>5.0544943442459891</v>
      </c>
      <c r="G1700" s="232">
        <v>10973.85</v>
      </c>
      <c r="H1700" s="35">
        <v>8.1477420959699636</v>
      </c>
      <c r="I1700" s="232">
        <v>10162.11</v>
      </c>
      <c r="J1700" s="35">
        <v>6.16670123080638</v>
      </c>
      <c r="K1700" s="232">
        <v>17134.759999999998</v>
      </c>
      <c r="L1700" s="35">
        <v>8.711360693494882</v>
      </c>
      <c r="M1700" s="232">
        <v>43358.16</v>
      </c>
      <c r="N1700" s="35">
        <v>7.6861427034000496</v>
      </c>
      <c r="P1700" s="232">
        <v>-31.44</v>
      </c>
      <c r="Q1700" s="35">
        <v>1.1383108472436732E-2</v>
      </c>
      <c r="R1700" s="232">
        <v>-811.74</v>
      </c>
      <c r="S1700" s="35">
        <v>1.9810408651635836</v>
      </c>
      <c r="T1700" s="232">
        <v>26223.39</v>
      </c>
      <c r="U1700" s="35">
        <v>1.0252179900948324</v>
      </c>
      <c r="W1700" s="35">
        <f t="shared" si="163"/>
        <v>600.59542362183663</v>
      </c>
      <c r="X1700" s="35">
        <f t="shared" si="164"/>
        <v>99863.783258179188</v>
      </c>
      <c r="Y1700" s="35">
        <f t="shared" si="165"/>
        <v>25037.509504741618</v>
      </c>
      <c r="Z1700" s="35">
        <f t="shared" si="166"/>
        <v>0</v>
      </c>
      <c r="AA1700" s="35">
        <f t="shared" si="167"/>
        <v>1</v>
      </c>
      <c r="AB1700" s="35">
        <f t="shared" si="168"/>
        <v>0</v>
      </c>
    </row>
    <row r="1701" spans="1:28">
      <c r="A1701" s="35">
        <v>1690</v>
      </c>
      <c r="B1701" s="35">
        <v>4.6020240156963155E-4</v>
      </c>
      <c r="C1701" s="232">
        <v>56.62</v>
      </c>
      <c r="D1701" s="35">
        <v>5.0630604932630829</v>
      </c>
      <c r="E1701" s="232">
        <v>35.17</v>
      </c>
      <c r="F1701" s="35">
        <v>5.051912115245405</v>
      </c>
      <c r="G1701" s="232">
        <v>9512.01</v>
      </c>
      <c r="H1701" s="35">
        <v>8.8613363463309049</v>
      </c>
      <c r="I1701" s="232">
        <v>10711.42</v>
      </c>
      <c r="J1701" s="35">
        <v>7.0716615874740532</v>
      </c>
      <c r="K1701" s="232">
        <v>10592.79</v>
      </c>
      <c r="L1701" s="35">
        <v>9.0074363094944552</v>
      </c>
      <c r="M1701" s="232">
        <v>36474.68</v>
      </c>
      <c r="N1701" s="35">
        <v>7.8320090731372982</v>
      </c>
      <c r="P1701" s="232">
        <v>-21.45</v>
      </c>
      <c r="Q1701" s="35">
        <v>1.1148378017677985E-2</v>
      </c>
      <c r="R1701" s="232">
        <v>1199.4000000000001</v>
      </c>
      <c r="S1701" s="35">
        <v>1.7896747588568518</v>
      </c>
      <c r="T1701" s="232">
        <v>25881.89</v>
      </c>
      <c r="U1701" s="35">
        <v>1.175427236357157</v>
      </c>
      <c r="W1701" s="35">
        <f t="shared" si="163"/>
        <v>578.8689008838993</v>
      </c>
      <c r="X1701" s="35">
        <f t="shared" si="164"/>
        <v>88284.337942842598</v>
      </c>
      <c r="Y1701" s="35">
        <f t="shared" si="165"/>
        <v>32889.471817857848</v>
      </c>
      <c r="Z1701" s="35">
        <f t="shared" si="166"/>
        <v>0</v>
      </c>
      <c r="AA1701" s="35">
        <f t="shared" si="167"/>
        <v>1</v>
      </c>
      <c r="AB1701" s="35">
        <f t="shared" si="168"/>
        <v>0</v>
      </c>
    </row>
    <row r="1702" spans="1:28">
      <c r="A1702" s="35">
        <v>1691</v>
      </c>
      <c r="B1702" s="35">
        <v>2.7275192729166257E-4</v>
      </c>
      <c r="C1702" s="232">
        <v>45.54</v>
      </c>
      <c r="D1702" s="35">
        <v>5.0514473804208375</v>
      </c>
      <c r="E1702" s="232">
        <v>28.81</v>
      </c>
      <c r="F1702" s="35">
        <v>5.0453910377055626</v>
      </c>
      <c r="G1702" s="232">
        <v>11829.28</v>
      </c>
      <c r="H1702" s="35">
        <v>8.4138755291123868</v>
      </c>
      <c r="I1702" s="232">
        <v>9932.86</v>
      </c>
      <c r="J1702" s="35">
        <v>6.5308088924063759</v>
      </c>
      <c r="K1702" s="232">
        <v>18749.189999999999</v>
      </c>
      <c r="L1702" s="35">
        <v>8.5734320631642227</v>
      </c>
      <c r="M1702" s="232">
        <v>44878.12</v>
      </c>
      <c r="N1702" s="35">
        <v>7.4943608585824899</v>
      </c>
      <c r="P1702" s="232">
        <v>-16.73</v>
      </c>
      <c r="Q1702" s="35">
        <v>6.0563427152748872E-3</v>
      </c>
      <c r="R1702" s="232">
        <v>-1896.42</v>
      </c>
      <c r="S1702" s="35">
        <v>1.8830666367060109</v>
      </c>
      <c r="T1702" s="232">
        <v>26128.93</v>
      </c>
      <c r="U1702" s="35">
        <v>1.0790712045817328</v>
      </c>
      <c r="W1702" s="35">
        <f t="shared" si="163"/>
        <v>319.54713576374439</v>
      </c>
      <c r="X1702" s="35">
        <f t="shared" si="164"/>
        <v>96049.751835300543</v>
      </c>
      <c r="Y1702" s="35">
        <f t="shared" si="165"/>
        <v>27824.630229086637</v>
      </c>
      <c r="Z1702" s="35">
        <f t="shared" si="166"/>
        <v>0</v>
      </c>
      <c r="AA1702" s="35">
        <f t="shared" si="167"/>
        <v>1</v>
      </c>
      <c r="AB1702" s="35">
        <f t="shared" si="168"/>
        <v>0</v>
      </c>
    </row>
    <row r="1703" spans="1:28">
      <c r="A1703" s="35">
        <v>1692</v>
      </c>
      <c r="B1703" s="35">
        <v>4.4496643052912194E-4</v>
      </c>
      <c r="C1703" s="232">
        <v>52.73</v>
      </c>
      <c r="D1703" s="35">
        <v>5.060512553231022</v>
      </c>
      <c r="E1703" s="232">
        <v>30.75</v>
      </c>
      <c r="F1703" s="35">
        <v>5.0495265733361423</v>
      </c>
      <c r="G1703" s="232">
        <v>10049.6</v>
      </c>
      <c r="H1703" s="35">
        <v>8.5437236095416367</v>
      </c>
      <c r="I1703" s="232">
        <v>12149.25</v>
      </c>
      <c r="J1703" s="35">
        <v>6.9319656189868137</v>
      </c>
      <c r="K1703" s="232">
        <v>10350.14</v>
      </c>
      <c r="L1703" s="35">
        <v>8.6816446021174372</v>
      </c>
      <c r="M1703" s="232">
        <v>36041.089999999997</v>
      </c>
      <c r="N1703" s="35">
        <v>7.5890613183453457</v>
      </c>
      <c r="P1703" s="232">
        <v>-21.98</v>
      </c>
      <c r="Q1703" s="35">
        <v>1.0985979894879705E-2</v>
      </c>
      <c r="R1703" s="232">
        <v>2099.65</v>
      </c>
      <c r="S1703" s="35">
        <v>1.6117579905548229</v>
      </c>
      <c r="T1703" s="232">
        <v>25690.95</v>
      </c>
      <c r="U1703" s="35">
        <v>1.0925832837720915</v>
      </c>
      <c r="W1703" s="35">
        <f t="shared" si="163"/>
        <v>571.27899474398532</v>
      </c>
      <c r="X1703" s="35">
        <f t="shared" si="164"/>
        <v>78488.249527741151</v>
      </c>
      <c r="Y1703" s="35">
        <f t="shared" si="165"/>
        <v>28938.214188604576</v>
      </c>
      <c r="Z1703" s="35">
        <f t="shared" si="166"/>
        <v>0</v>
      </c>
      <c r="AA1703" s="35">
        <f t="shared" si="167"/>
        <v>1</v>
      </c>
      <c r="AB1703" s="35">
        <f t="shared" si="168"/>
        <v>0</v>
      </c>
    </row>
    <row r="1704" spans="1:28">
      <c r="A1704" s="35">
        <v>1693</v>
      </c>
      <c r="B1704" s="35">
        <v>4.6967247050377914E-4</v>
      </c>
      <c r="C1704" s="232">
        <v>80.760000000000005</v>
      </c>
      <c r="D1704" s="35">
        <v>5.0643575116553849</v>
      </c>
      <c r="E1704" s="232">
        <v>47.18</v>
      </c>
      <c r="F1704" s="35">
        <v>5.0521659052662633</v>
      </c>
      <c r="G1704" s="232">
        <v>12839.31</v>
      </c>
      <c r="H1704" s="35">
        <v>9.1744508465969297</v>
      </c>
      <c r="I1704" s="232">
        <v>11228.68</v>
      </c>
      <c r="J1704" s="35">
        <v>7.2356108495126534</v>
      </c>
      <c r="K1704" s="232">
        <v>19894.86</v>
      </c>
      <c r="L1704" s="35">
        <v>8.965178218948326</v>
      </c>
      <c r="M1704" s="232">
        <v>46361.5</v>
      </c>
      <c r="N1704" s="35">
        <v>7.8399886961832683</v>
      </c>
      <c r="P1704" s="232">
        <v>-33.58</v>
      </c>
      <c r="Q1704" s="35">
        <v>1.2191606389121645E-2</v>
      </c>
      <c r="R1704" s="232">
        <v>-1610.63</v>
      </c>
      <c r="S1704" s="35">
        <v>1.9388399970842762</v>
      </c>
      <c r="T1704" s="232">
        <v>26466.639999999999</v>
      </c>
      <c r="U1704" s="35">
        <v>1.1251895227650577</v>
      </c>
      <c r="W1704" s="35">
        <f t="shared" si="163"/>
        <v>643.16031945608233</v>
      </c>
      <c r="X1704" s="35">
        <f t="shared" si="164"/>
        <v>98552.62985421381</v>
      </c>
      <c r="Y1704" s="35">
        <f t="shared" si="165"/>
        <v>29792.836138252882</v>
      </c>
      <c r="Z1704" s="35">
        <f t="shared" si="166"/>
        <v>0</v>
      </c>
      <c r="AA1704" s="35">
        <f t="shared" si="167"/>
        <v>1</v>
      </c>
      <c r="AB1704" s="35">
        <f t="shared" si="168"/>
        <v>0</v>
      </c>
    </row>
    <row r="1705" spans="1:28">
      <c r="A1705" s="35">
        <v>1694</v>
      </c>
      <c r="B1705" s="35">
        <v>4.6291095491957091E-4</v>
      </c>
      <c r="C1705" s="232">
        <v>71.63</v>
      </c>
      <c r="D1705" s="35">
        <v>5.06250933452624</v>
      </c>
      <c r="E1705" s="232">
        <v>43.88</v>
      </c>
      <c r="F1705" s="35">
        <v>5.05172537337537</v>
      </c>
      <c r="G1705" s="232">
        <v>13079.35</v>
      </c>
      <c r="H1705" s="35">
        <v>8.9022297079792221</v>
      </c>
      <c r="I1705" s="232">
        <v>15546.37</v>
      </c>
      <c r="J1705" s="35">
        <v>6.8288308458038252</v>
      </c>
      <c r="K1705" s="232">
        <v>12496.35</v>
      </c>
      <c r="L1705" s="35">
        <v>8.6599961589269796</v>
      </c>
      <c r="M1705" s="232">
        <v>38371.26</v>
      </c>
      <c r="N1705" s="35">
        <v>7.592413956527591</v>
      </c>
      <c r="P1705" s="232">
        <v>-27.75</v>
      </c>
      <c r="Q1705" s="35">
        <v>1.0783961150869992E-2</v>
      </c>
      <c r="R1705" s="232">
        <v>2467.02</v>
      </c>
      <c r="S1705" s="35">
        <v>2.0733988621753969</v>
      </c>
      <c r="T1705" s="232">
        <v>25874.91</v>
      </c>
      <c r="U1705" s="35">
        <v>1.0675822023993886</v>
      </c>
      <c r="W1705" s="35">
        <f t="shared" si="163"/>
        <v>566.94805754349954</v>
      </c>
      <c r="X1705" s="35">
        <f t="shared" si="164"/>
        <v>101202.92310876984</v>
      </c>
      <c r="Y1705" s="35">
        <f t="shared" si="165"/>
        <v>27504.200119969431</v>
      </c>
      <c r="Z1705" s="35">
        <f t="shared" si="166"/>
        <v>0</v>
      </c>
      <c r="AA1705" s="35">
        <f t="shared" si="167"/>
        <v>1</v>
      </c>
      <c r="AB1705" s="35">
        <f t="shared" si="168"/>
        <v>0</v>
      </c>
    </row>
    <row r="1706" spans="1:28">
      <c r="A1706" s="35">
        <v>1695</v>
      </c>
      <c r="B1706" s="35">
        <v>3.9789013209532754E-4</v>
      </c>
      <c r="C1706" s="232">
        <v>47.49</v>
      </c>
      <c r="D1706" s="35">
        <v>5.0588735456952918</v>
      </c>
      <c r="E1706" s="232">
        <v>28.22</v>
      </c>
      <c r="F1706" s="35">
        <v>5.0487569243440085</v>
      </c>
      <c r="G1706" s="232">
        <v>9206.91</v>
      </c>
      <c r="H1706" s="35">
        <v>8.7594207584783312</v>
      </c>
      <c r="I1706" s="232">
        <v>10238.4</v>
      </c>
      <c r="J1706" s="35">
        <v>7.2381043763791961</v>
      </c>
      <c r="K1706" s="232">
        <v>11329.98</v>
      </c>
      <c r="L1706" s="35">
        <v>8.7566411050927861</v>
      </c>
      <c r="M1706" s="232">
        <v>37323.230000000003</v>
      </c>
      <c r="N1706" s="35">
        <v>7.6026384163141714</v>
      </c>
      <c r="P1706" s="232">
        <v>-19.27</v>
      </c>
      <c r="Q1706" s="35">
        <v>1.0116621351283328E-2</v>
      </c>
      <c r="R1706" s="232">
        <v>1031.48</v>
      </c>
      <c r="S1706" s="35">
        <v>1.5213163820991351</v>
      </c>
      <c r="T1706" s="232">
        <v>25993.25</v>
      </c>
      <c r="U1706" s="35">
        <v>1.1540026887786148</v>
      </c>
      <c r="W1706" s="35">
        <f t="shared" si="163"/>
        <v>525.10106756416644</v>
      </c>
      <c r="X1706" s="35">
        <f t="shared" si="164"/>
        <v>75034.339104956758</v>
      </c>
      <c r="Y1706" s="35">
        <f t="shared" si="165"/>
        <v>31706.884438930741</v>
      </c>
      <c r="Z1706" s="35">
        <f t="shared" si="166"/>
        <v>0</v>
      </c>
      <c r="AA1706" s="35">
        <f t="shared" si="167"/>
        <v>1</v>
      </c>
      <c r="AB1706" s="35">
        <f t="shared" si="168"/>
        <v>0</v>
      </c>
    </row>
    <row r="1707" spans="1:28">
      <c r="A1707" s="35">
        <v>1696</v>
      </c>
      <c r="B1707" s="35">
        <v>4.0545883944661794E-4</v>
      </c>
      <c r="C1707" s="232">
        <v>51.66</v>
      </c>
      <c r="D1707" s="35">
        <v>5.0584649483609221</v>
      </c>
      <c r="E1707" s="232">
        <v>33.68</v>
      </c>
      <c r="F1707" s="35">
        <v>5.0498607499860633</v>
      </c>
      <c r="G1707" s="232">
        <v>10524.62</v>
      </c>
      <c r="H1707" s="35">
        <v>8.5800312951362656</v>
      </c>
      <c r="I1707" s="232">
        <v>12699.23</v>
      </c>
      <c r="J1707" s="35">
        <v>7.9608693265034711</v>
      </c>
      <c r="K1707" s="232">
        <v>10431.09</v>
      </c>
      <c r="L1707" s="35">
        <v>8.4967897088019502</v>
      </c>
      <c r="M1707" s="232">
        <v>36313.81</v>
      </c>
      <c r="N1707" s="35">
        <v>7.3794039515505547</v>
      </c>
      <c r="P1707" s="232">
        <v>-17.97</v>
      </c>
      <c r="Q1707" s="35">
        <v>8.604198374858818E-3</v>
      </c>
      <c r="R1707" s="232">
        <v>2174.62</v>
      </c>
      <c r="S1707" s="35">
        <v>0.61916196863279449</v>
      </c>
      <c r="T1707" s="232">
        <v>25882.71</v>
      </c>
      <c r="U1707" s="35">
        <v>1.1173857572513954</v>
      </c>
      <c r="W1707" s="35">
        <f t="shared" si="163"/>
        <v>448.17991874294091</v>
      </c>
      <c r="X1707" s="35">
        <f t="shared" si="164"/>
        <v>28783.478431639727</v>
      </c>
      <c r="Y1707" s="35">
        <f t="shared" si="165"/>
        <v>29986.577862569771</v>
      </c>
      <c r="Z1707" s="35">
        <f t="shared" si="166"/>
        <v>0</v>
      </c>
      <c r="AA1707" s="35">
        <f t="shared" si="167"/>
        <v>0</v>
      </c>
      <c r="AB1707" s="35">
        <f t="shared" si="168"/>
        <v>1</v>
      </c>
    </row>
    <row r="1708" spans="1:28">
      <c r="A1708" s="35">
        <v>1697</v>
      </c>
      <c r="B1708" s="35">
        <v>5.0961636570456825E-4</v>
      </c>
      <c r="C1708" s="232">
        <v>71.44</v>
      </c>
      <c r="D1708" s="35">
        <v>5.0657871162437562</v>
      </c>
      <c r="E1708" s="232">
        <v>41.08</v>
      </c>
      <c r="F1708" s="35">
        <v>5.0525143639880223</v>
      </c>
      <c r="G1708" s="232">
        <v>10529.5</v>
      </c>
      <c r="H1708" s="35">
        <v>8.871872284894696</v>
      </c>
      <c r="I1708" s="232">
        <v>11112.42</v>
      </c>
      <c r="J1708" s="35">
        <v>6.6448523392721288</v>
      </c>
      <c r="K1708" s="232">
        <v>11205.16</v>
      </c>
      <c r="L1708" s="35">
        <v>9.1597628218259484</v>
      </c>
      <c r="M1708" s="232">
        <v>37157.69</v>
      </c>
      <c r="N1708" s="35">
        <v>8.037270852944852</v>
      </c>
      <c r="P1708" s="232">
        <v>-30.36</v>
      </c>
      <c r="Q1708" s="35">
        <v>1.3272752255733877E-2</v>
      </c>
      <c r="R1708" s="232">
        <v>582.91999999999996</v>
      </c>
      <c r="S1708" s="35">
        <v>2.2270199456225672</v>
      </c>
      <c r="T1708" s="232">
        <v>25952.53</v>
      </c>
      <c r="U1708" s="35">
        <v>1.1224919688810964</v>
      </c>
      <c r="W1708" s="35">
        <f t="shared" si="163"/>
        <v>693.99761278669382</v>
      </c>
      <c r="X1708" s="35">
        <f t="shared" si="164"/>
        <v>110768.07728112837</v>
      </c>
      <c r="Y1708" s="35">
        <f t="shared" si="165"/>
        <v>30172.068444054821</v>
      </c>
      <c r="Z1708" s="35">
        <f t="shared" si="166"/>
        <v>0</v>
      </c>
      <c r="AA1708" s="35">
        <f t="shared" si="167"/>
        <v>1</v>
      </c>
      <c r="AB1708" s="35">
        <f t="shared" si="168"/>
        <v>0</v>
      </c>
    </row>
    <row r="1709" spans="1:28">
      <c r="A1709" s="35">
        <v>1698</v>
      </c>
      <c r="B1709" s="35">
        <v>4.8833495416700234E-4</v>
      </c>
      <c r="C1709" s="232">
        <v>109.78</v>
      </c>
      <c r="D1709" s="35">
        <v>5.0625550465513847</v>
      </c>
      <c r="E1709" s="232">
        <v>69.94</v>
      </c>
      <c r="F1709" s="35">
        <v>5.0527925415980954</v>
      </c>
      <c r="G1709" s="232">
        <v>15789.88</v>
      </c>
      <c r="H1709" s="35">
        <v>8.5197170359686947</v>
      </c>
      <c r="I1709" s="232">
        <v>12803.01</v>
      </c>
      <c r="J1709" s="35">
        <v>6.8376202202034282</v>
      </c>
      <c r="K1709" s="232">
        <v>26056.46</v>
      </c>
      <c r="L1709" s="35">
        <v>8.6208308326614809</v>
      </c>
      <c r="M1709" s="232">
        <v>52666.5</v>
      </c>
      <c r="N1709" s="35">
        <v>7.6102942321974867</v>
      </c>
      <c r="P1709" s="232">
        <v>-39.840000000000003</v>
      </c>
      <c r="Q1709" s="35">
        <v>9.7625049532892305E-3</v>
      </c>
      <c r="R1709" s="232">
        <v>-2986.87</v>
      </c>
      <c r="S1709" s="35">
        <v>1.6820968157652665</v>
      </c>
      <c r="T1709" s="232">
        <v>26610.04</v>
      </c>
      <c r="U1709" s="35">
        <v>1.0105366004639942</v>
      </c>
      <c r="W1709" s="35">
        <f t="shared" si="163"/>
        <v>527.96524766446157</v>
      </c>
      <c r="X1709" s="35">
        <f t="shared" si="164"/>
        <v>87091.710788263314</v>
      </c>
      <c r="Y1709" s="35">
        <f t="shared" si="165"/>
        <v>23916.790023199712</v>
      </c>
      <c r="Z1709" s="35">
        <f t="shared" si="166"/>
        <v>0</v>
      </c>
      <c r="AA1709" s="35">
        <f t="shared" si="167"/>
        <v>1</v>
      </c>
      <c r="AB1709" s="35">
        <f t="shared" si="168"/>
        <v>0</v>
      </c>
    </row>
    <row r="1710" spans="1:28">
      <c r="A1710" s="35">
        <v>1699</v>
      </c>
      <c r="B1710" s="35">
        <v>4.8889841130284051E-4</v>
      </c>
      <c r="C1710" s="232">
        <v>56.53</v>
      </c>
      <c r="D1710" s="35">
        <v>5.0637326167550718</v>
      </c>
      <c r="E1710" s="232">
        <v>35.99</v>
      </c>
      <c r="F1710" s="35">
        <v>5.0526823135000463</v>
      </c>
      <c r="G1710" s="232">
        <v>9412.8700000000008</v>
      </c>
      <c r="H1710" s="35">
        <v>8.9131365723073266</v>
      </c>
      <c r="I1710" s="232">
        <v>11327.08</v>
      </c>
      <c r="J1710" s="35">
        <v>7.7066213390425764</v>
      </c>
      <c r="K1710" s="232">
        <v>9854.75</v>
      </c>
      <c r="L1710" s="35">
        <v>8.4320451628985307</v>
      </c>
      <c r="M1710" s="232">
        <v>35758.57</v>
      </c>
      <c r="N1710" s="35">
        <v>7.2587195281011381</v>
      </c>
      <c r="P1710" s="232">
        <v>-20.54</v>
      </c>
      <c r="Q1710" s="35">
        <v>1.105030325502554E-2</v>
      </c>
      <c r="R1710" s="232">
        <v>1914.21</v>
      </c>
      <c r="S1710" s="35">
        <v>1.2065152332647502</v>
      </c>
      <c r="T1710" s="232">
        <v>25903.82</v>
      </c>
      <c r="U1710" s="35">
        <v>1.1733256347973926</v>
      </c>
      <c r="W1710" s="35">
        <f t="shared" si="163"/>
        <v>573.05516275127695</v>
      </c>
      <c r="X1710" s="35">
        <f t="shared" si="164"/>
        <v>58411.551663237507</v>
      </c>
      <c r="Y1710" s="35">
        <f t="shared" si="165"/>
        <v>32762.461739869628</v>
      </c>
      <c r="Z1710" s="35">
        <f t="shared" si="166"/>
        <v>0</v>
      </c>
      <c r="AA1710" s="35">
        <f t="shared" si="167"/>
        <v>1</v>
      </c>
      <c r="AB1710" s="35">
        <f t="shared" si="168"/>
        <v>0</v>
      </c>
    </row>
    <row r="1711" spans="1:28">
      <c r="A1711" s="35">
        <v>1700</v>
      </c>
      <c r="B1711" s="35">
        <v>5.1989870361179857E-4</v>
      </c>
      <c r="C1711" s="232">
        <v>77.44</v>
      </c>
      <c r="D1711" s="35">
        <v>5.0650769353446945</v>
      </c>
      <c r="E1711" s="232">
        <v>50.03</v>
      </c>
      <c r="F1711" s="35">
        <v>5.0541805284935997</v>
      </c>
      <c r="G1711" s="232">
        <v>11179.62</v>
      </c>
      <c r="H1711" s="35">
        <v>8.6511629340657574</v>
      </c>
      <c r="I1711" s="232">
        <v>11549.02</v>
      </c>
      <c r="J1711" s="35">
        <v>7.3262713818088026</v>
      </c>
      <c r="K1711" s="232">
        <v>16136.33</v>
      </c>
      <c r="L1711" s="35">
        <v>8.7868394305376878</v>
      </c>
      <c r="M1711" s="232">
        <v>42371.22</v>
      </c>
      <c r="N1711" s="35">
        <v>7.7436087399338218</v>
      </c>
      <c r="P1711" s="232">
        <v>-27.41</v>
      </c>
      <c r="Q1711" s="35">
        <v>1.0896406851094831E-2</v>
      </c>
      <c r="R1711" s="232">
        <v>369.4</v>
      </c>
      <c r="S1711" s="35">
        <v>1.3248915522569549</v>
      </c>
      <c r="T1711" s="232">
        <v>26234.89</v>
      </c>
      <c r="U1711" s="35">
        <v>1.043230690603866</v>
      </c>
      <c r="W1711" s="35">
        <f t="shared" si="163"/>
        <v>572.23034255474147</v>
      </c>
      <c r="X1711" s="35">
        <f t="shared" si="164"/>
        <v>65875.17761284775</v>
      </c>
      <c r="Y1711" s="35">
        <f t="shared" si="165"/>
        <v>25926.644530193298</v>
      </c>
      <c r="Z1711" s="35">
        <f t="shared" si="166"/>
        <v>0</v>
      </c>
      <c r="AA1711" s="35">
        <f t="shared" si="167"/>
        <v>1</v>
      </c>
      <c r="AB1711" s="35">
        <f t="shared" si="168"/>
        <v>0</v>
      </c>
    </row>
    <row r="1712" spans="1:28">
      <c r="A1712" s="35">
        <v>1701</v>
      </c>
      <c r="B1712" s="35">
        <v>4.4627701643351614E-4</v>
      </c>
      <c r="C1712" s="232">
        <v>68.3</v>
      </c>
      <c r="D1712" s="35">
        <v>5.0612959901455028</v>
      </c>
      <c r="E1712" s="232">
        <v>49.38</v>
      </c>
      <c r="F1712" s="35">
        <v>5.0535699238107297</v>
      </c>
      <c r="G1712" s="232">
        <v>11508.77</v>
      </c>
      <c r="H1712" s="35">
        <v>8.7999664977966123</v>
      </c>
      <c r="I1712" s="232">
        <v>14019.66</v>
      </c>
      <c r="J1712" s="35">
        <v>9.0202778624252336</v>
      </c>
      <c r="K1712" s="232">
        <v>15297.81</v>
      </c>
      <c r="L1712" s="35">
        <v>8.4789996183746155</v>
      </c>
      <c r="M1712" s="232">
        <v>41327</v>
      </c>
      <c r="N1712" s="35">
        <v>7.4573442290727172</v>
      </c>
      <c r="P1712" s="232">
        <v>-18.91</v>
      </c>
      <c r="Q1712" s="35">
        <v>7.7260663347731295E-3</v>
      </c>
      <c r="R1712" s="232">
        <v>2510.89</v>
      </c>
      <c r="S1712" s="35">
        <v>-0.22031136462862122</v>
      </c>
      <c r="T1712" s="232">
        <v>26029.19</v>
      </c>
      <c r="U1712" s="35">
        <v>1.0216553893018983</v>
      </c>
      <c r="W1712" s="35">
        <f t="shared" si="163"/>
        <v>405.21331673865649</v>
      </c>
      <c r="X1712" s="35">
        <f t="shared" si="164"/>
        <v>-13526.458231431061</v>
      </c>
      <c r="Y1712" s="35">
        <f t="shared" si="165"/>
        <v>25053.579465094914</v>
      </c>
      <c r="Z1712" s="35">
        <f t="shared" si="166"/>
        <v>0</v>
      </c>
      <c r="AA1712" s="35">
        <f t="shared" si="167"/>
        <v>0</v>
      </c>
      <c r="AB1712" s="35">
        <f t="shared" si="168"/>
        <v>1</v>
      </c>
    </row>
    <row r="1713" spans="1:28">
      <c r="A1713" s="35">
        <v>1702</v>
      </c>
      <c r="B1713" s="35">
        <v>5.4473650825925812E-4</v>
      </c>
      <c r="C1713" s="232">
        <v>94.56</v>
      </c>
      <c r="D1713" s="35">
        <v>5.0644126969577252</v>
      </c>
      <c r="E1713" s="232">
        <v>60.38</v>
      </c>
      <c r="F1713" s="35">
        <v>5.0538107392204221</v>
      </c>
      <c r="G1713" s="232">
        <v>13352.83</v>
      </c>
      <c r="H1713" s="35">
        <v>8.3686280856663302</v>
      </c>
      <c r="I1713" s="232">
        <v>14396.14</v>
      </c>
      <c r="J1713" s="35">
        <v>7.3395788636685895</v>
      </c>
      <c r="K1713" s="232">
        <v>16803.59</v>
      </c>
      <c r="L1713" s="35">
        <v>8.3073112892570986</v>
      </c>
      <c r="M1713" s="232">
        <v>43006.95</v>
      </c>
      <c r="N1713" s="35">
        <v>7.1870579504929752</v>
      </c>
      <c r="P1713" s="232">
        <v>-34.18</v>
      </c>
      <c r="Q1713" s="35">
        <v>1.0601957737303103E-2</v>
      </c>
      <c r="R1713" s="232">
        <v>1043.31</v>
      </c>
      <c r="S1713" s="35">
        <v>1.0290492219977407</v>
      </c>
      <c r="T1713" s="232">
        <v>26203.360000000001</v>
      </c>
      <c r="U1713" s="35">
        <v>1.1202533387641234</v>
      </c>
      <c r="W1713" s="35">
        <f t="shared" si="163"/>
        <v>564.2778868651551</v>
      </c>
      <c r="X1713" s="35">
        <f t="shared" si="164"/>
        <v>50409.151099887036</v>
      </c>
      <c r="Y1713" s="35">
        <f t="shared" si="165"/>
        <v>29809.306938206166</v>
      </c>
      <c r="Z1713" s="35">
        <f t="shared" si="166"/>
        <v>0</v>
      </c>
      <c r="AA1713" s="35">
        <f t="shared" si="167"/>
        <v>1</v>
      </c>
      <c r="AB1713" s="35">
        <f t="shared" si="168"/>
        <v>0</v>
      </c>
    </row>
    <row r="1714" spans="1:28">
      <c r="A1714" s="35">
        <v>1703</v>
      </c>
      <c r="B1714" s="35">
        <v>3.4527882148144989E-4</v>
      </c>
      <c r="C1714" s="232">
        <v>37.479999999999997</v>
      </c>
      <c r="D1714" s="35">
        <v>5.0542271515873134</v>
      </c>
      <c r="E1714" s="232">
        <v>24.5</v>
      </c>
      <c r="F1714" s="35">
        <v>5.0469859441904008</v>
      </c>
      <c r="G1714" s="232">
        <v>7918.28</v>
      </c>
      <c r="H1714" s="35">
        <v>8.0651988068345837</v>
      </c>
      <c r="I1714" s="232">
        <v>9133.4</v>
      </c>
      <c r="J1714" s="35">
        <v>7.0559630757820946</v>
      </c>
      <c r="K1714" s="232">
        <v>10836.18</v>
      </c>
      <c r="L1714" s="35">
        <v>8.5885902412272355</v>
      </c>
      <c r="M1714" s="232">
        <v>36555.97</v>
      </c>
      <c r="N1714" s="35">
        <v>7.4683979155139912</v>
      </c>
      <c r="P1714" s="232">
        <v>-12.98</v>
      </c>
      <c r="Q1714" s="35">
        <v>7.2412073969125856E-3</v>
      </c>
      <c r="R1714" s="232">
        <v>1215.1199999999999</v>
      </c>
      <c r="S1714" s="35">
        <v>1.0092357310524891</v>
      </c>
      <c r="T1714" s="232">
        <v>25719.79</v>
      </c>
      <c r="U1714" s="35">
        <v>1.1201923257132442</v>
      </c>
      <c r="W1714" s="35">
        <f t="shared" si="163"/>
        <v>375.0403698456293</v>
      </c>
      <c r="X1714" s="35">
        <f t="shared" si="164"/>
        <v>49246.666552624454</v>
      </c>
      <c r="Y1714" s="35">
        <f t="shared" si="165"/>
        <v>30289.82628566221</v>
      </c>
      <c r="Z1714" s="35">
        <f t="shared" si="166"/>
        <v>0</v>
      </c>
      <c r="AA1714" s="35">
        <f t="shared" si="167"/>
        <v>1</v>
      </c>
      <c r="AB1714" s="35">
        <f t="shared" si="168"/>
        <v>0</v>
      </c>
    </row>
    <row r="1715" spans="1:28">
      <c r="A1715" s="35">
        <v>1704</v>
      </c>
      <c r="B1715" s="35">
        <v>4.1389211360632369E-4</v>
      </c>
      <c r="C1715" s="232">
        <v>48.37</v>
      </c>
      <c r="D1715" s="35">
        <v>5.0607919670939072</v>
      </c>
      <c r="E1715" s="232">
        <v>28.69</v>
      </c>
      <c r="F1715" s="35">
        <v>5.0497564926898457</v>
      </c>
      <c r="G1715" s="232">
        <v>9361.42</v>
      </c>
      <c r="H1715" s="35">
        <v>9.0618715621076706</v>
      </c>
      <c r="I1715" s="232">
        <v>11003.3</v>
      </c>
      <c r="J1715" s="35">
        <v>7.1382477110651834</v>
      </c>
      <c r="K1715" s="232">
        <v>9398.26</v>
      </c>
      <c r="L1715" s="35">
        <v>8.958161213118716</v>
      </c>
      <c r="M1715" s="232">
        <v>35277.370000000003</v>
      </c>
      <c r="N1715" s="35">
        <v>7.7873711856279355</v>
      </c>
      <c r="P1715" s="232">
        <v>-19.68</v>
      </c>
      <c r="Q1715" s="35">
        <v>1.1035474404061496E-2</v>
      </c>
      <c r="R1715" s="232">
        <v>1641.88</v>
      </c>
      <c r="S1715" s="35">
        <v>1.9236238510424872</v>
      </c>
      <c r="T1715" s="232">
        <v>25879.1</v>
      </c>
      <c r="U1715" s="35">
        <v>1.1707900274907805</v>
      </c>
      <c r="W1715" s="35">
        <f t="shared" si="163"/>
        <v>571.45372020307479</v>
      </c>
      <c r="X1715" s="35">
        <f t="shared" si="164"/>
        <v>94539.312552124364</v>
      </c>
      <c r="Y1715" s="35">
        <f t="shared" si="165"/>
        <v>32660.401374539026</v>
      </c>
      <c r="Z1715" s="35">
        <f t="shared" si="166"/>
        <v>0</v>
      </c>
      <c r="AA1715" s="35">
        <f t="shared" si="167"/>
        <v>1</v>
      </c>
      <c r="AB1715" s="35">
        <f t="shared" si="168"/>
        <v>0</v>
      </c>
    </row>
    <row r="1716" spans="1:28">
      <c r="A1716" s="35">
        <v>1705</v>
      </c>
      <c r="B1716" s="35">
        <v>3.2361751714546133E-4</v>
      </c>
      <c r="C1716" s="232">
        <v>38.58</v>
      </c>
      <c r="D1716" s="35">
        <v>5.0540507282865867</v>
      </c>
      <c r="E1716" s="232">
        <v>26.76</v>
      </c>
      <c r="F1716" s="35">
        <v>5.0475782157931972</v>
      </c>
      <c r="G1716" s="232">
        <v>9236.9599999999991</v>
      </c>
      <c r="H1716" s="35">
        <v>8.475379920967022</v>
      </c>
      <c r="I1716" s="232">
        <v>10026.15</v>
      </c>
      <c r="J1716" s="35">
        <v>6.735492610671086</v>
      </c>
      <c r="K1716" s="232">
        <v>11774.48</v>
      </c>
      <c r="L1716" s="35">
        <v>8.4442762009984875</v>
      </c>
      <c r="M1716" s="232">
        <v>37668.03</v>
      </c>
      <c r="N1716" s="35">
        <v>7.3165811103010148</v>
      </c>
      <c r="P1716" s="232">
        <v>-11.82</v>
      </c>
      <c r="Q1716" s="35">
        <v>6.4725124933895373E-3</v>
      </c>
      <c r="R1716" s="232">
        <v>789.18</v>
      </c>
      <c r="S1716" s="35">
        <v>1.739887310295936</v>
      </c>
      <c r="T1716" s="232">
        <v>25893.56</v>
      </c>
      <c r="U1716" s="35">
        <v>1.1276950906974728</v>
      </c>
      <c r="W1716" s="35">
        <f t="shared" si="163"/>
        <v>335.44562466947684</v>
      </c>
      <c r="X1716" s="35">
        <f t="shared" si="164"/>
        <v>86205.185514796802</v>
      </c>
      <c r="Y1716" s="35">
        <f t="shared" si="165"/>
        <v>30491.194534873637</v>
      </c>
      <c r="Z1716" s="35">
        <f t="shared" si="166"/>
        <v>0</v>
      </c>
      <c r="AA1716" s="35">
        <f t="shared" si="167"/>
        <v>1</v>
      </c>
      <c r="AB1716" s="35">
        <f t="shared" si="168"/>
        <v>0</v>
      </c>
    </row>
    <row r="1717" spans="1:28">
      <c r="A1717" s="35">
        <v>1706</v>
      </c>
      <c r="B1717" s="35">
        <v>5.6063710229103947E-4</v>
      </c>
      <c r="C1717" s="232">
        <v>59.59</v>
      </c>
      <c r="D1717" s="35">
        <v>5.0682140350262932</v>
      </c>
      <c r="E1717" s="232">
        <v>36.299999999999997</v>
      </c>
      <c r="F1717" s="35">
        <v>5.054510330339026</v>
      </c>
      <c r="G1717" s="232">
        <v>8460</v>
      </c>
      <c r="H1717" s="35">
        <v>8.7803800278900503</v>
      </c>
      <c r="I1717" s="232">
        <v>10683.28</v>
      </c>
      <c r="J1717" s="35">
        <v>7.612909088082481</v>
      </c>
      <c r="K1717" s="232">
        <v>6707.06</v>
      </c>
      <c r="L1717" s="35">
        <v>9.0839718728790135</v>
      </c>
      <c r="M1717" s="232">
        <v>32411.02</v>
      </c>
      <c r="N1717" s="35">
        <v>8.0108639332130682</v>
      </c>
      <c r="P1717" s="232">
        <v>-23.29</v>
      </c>
      <c r="Q1717" s="35">
        <v>1.3703704687267226E-2</v>
      </c>
      <c r="R1717" s="232">
        <v>2223.2800000000002</v>
      </c>
      <c r="S1717" s="35">
        <v>1.1674709398075693</v>
      </c>
      <c r="T1717" s="232">
        <v>25703.96</v>
      </c>
      <c r="U1717" s="35">
        <v>1.0731079396659453</v>
      </c>
      <c r="W1717" s="35">
        <f t="shared" si="163"/>
        <v>708.47523436336132</v>
      </c>
      <c r="X1717" s="35">
        <f t="shared" si="164"/>
        <v>56150.26699037847</v>
      </c>
      <c r="Y1717" s="35">
        <f t="shared" si="165"/>
        <v>27951.436983297266</v>
      </c>
      <c r="Z1717" s="35">
        <f t="shared" si="166"/>
        <v>0</v>
      </c>
      <c r="AA1717" s="35">
        <f t="shared" si="167"/>
        <v>1</v>
      </c>
      <c r="AB1717" s="35">
        <f t="shared" si="168"/>
        <v>0</v>
      </c>
    </row>
    <row r="1718" spans="1:28">
      <c r="A1718" s="35">
        <v>1707</v>
      </c>
      <c r="B1718" s="35">
        <v>5.2606648772701714E-4</v>
      </c>
      <c r="C1718" s="232">
        <v>72.099999999999994</v>
      </c>
      <c r="D1718" s="35">
        <v>5.06767371143704</v>
      </c>
      <c r="E1718" s="232">
        <v>60.11</v>
      </c>
      <c r="F1718" s="35">
        <v>5.0612176102037134</v>
      </c>
      <c r="G1718" s="232">
        <v>10151.950000000001</v>
      </c>
      <c r="H1718" s="35">
        <v>9.0622295762241087</v>
      </c>
      <c r="I1718" s="232">
        <v>10946.56</v>
      </c>
      <c r="J1718" s="35">
        <v>7.6722162079427578</v>
      </c>
      <c r="K1718" s="232">
        <v>13021.64</v>
      </c>
      <c r="L1718" s="35">
        <v>8.7460940672751359</v>
      </c>
      <c r="M1718" s="232">
        <v>39052.32</v>
      </c>
      <c r="N1718" s="35">
        <v>7.6569419106871948</v>
      </c>
      <c r="P1718" s="232">
        <v>-11.98</v>
      </c>
      <c r="Q1718" s="35">
        <v>6.4561012333266277E-3</v>
      </c>
      <c r="R1718" s="232">
        <v>794.61</v>
      </c>
      <c r="S1718" s="35">
        <v>1.3900133682813509</v>
      </c>
      <c r="T1718" s="232">
        <v>26030.68</v>
      </c>
      <c r="U1718" s="35">
        <v>1.0891521565879412</v>
      </c>
      <c r="W1718" s="35">
        <f t="shared" si="163"/>
        <v>334.78506166633139</v>
      </c>
      <c r="X1718" s="35">
        <f t="shared" si="164"/>
        <v>68706.058414067549</v>
      </c>
      <c r="Y1718" s="35">
        <f t="shared" si="165"/>
        <v>28426.927829397056</v>
      </c>
      <c r="Z1718" s="35">
        <f t="shared" si="166"/>
        <v>0</v>
      </c>
      <c r="AA1718" s="35">
        <f t="shared" si="167"/>
        <v>1</v>
      </c>
      <c r="AB1718" s="35">
        <f t="shared" si="168"/>
        <v>0</v>
      </c>
    </row>
    <row r="1719" spans="1:28">
      <c r="A1719" s="35">
        <v>1708</v>
      </c>
      <c r="B1719" s="35">
        <v>4.0982407519317508E-4</v>
      </c>
      <c r="C1719" s="232">
        <v>73.27</v>
      </c>
      <c r="D1719" s="35">
        <v>5.0593681994204891</v>
      </c>
      <c r="E1719" s="232">
        <v>46.93</v>
      </c>
      <c r="F1719" s="35">
        <v>5.0505848186327604</v>
      </c>
      <c r="G1719" s="232">
        <v>13532.23</v>
      </c>
      <c r="H1719" s="35">
        <v>8.9018900964359275</v>
      </c>
      <c r="I1719" s="232">
        <v>12864.01</v>
      </c>
      <c r="J1719" s="35">
        <v>7.0337192195929212</v>
      </c>
      <c r="K1719" s="232">
        <v>17219.46</v>
      </c>
      <c r="L1719" s="35">
        <v>8.4435464442815125</v>
      </c>
      <c r="M1719" s="232">
        <v>43421.67</v>
      </c>
      <c r="N1719" s="35">
        <v>7.373935311365134</v>
      </c>
      <c r="P1719" s="232">
        <v>-26.34</v>
      </c>
      <c r="Q1719" s="35">
        <v>8.7833807877286674E-3</v>
      </c>
      <c r="R1719" s="232">
        <v>-668.22</v>
      </c>
      <c r="S1719" s="35">
        <v>1.8681708768430063</v>
      </c>
      <c r="T1719" s="232">
        <v>26202.21</v>
      </c>
      <c r="U1719" s="35">
        <v>1.0696111329163784</v>
      </c>
      <c r="W1719" s="35">
        <f t="shared" si="163"/>
        <v>465.50903938643336</v>
      </c>
      <c r="X1719" s="35">
        <f t="shared" si="164"/>
        <v>94076.763842150322</v>
      </c>
      <c r="Y1719" s="35">
        <f t="shared" si="165"/>
        <v>27278.346645818921</v>
      </c>
      <c r="Z1719" s="35">
        <f t="shared" si="166"/>
        <v>0</v>
      </c>
      <c r="AA1719" s="35">
        <f t="shared" si="167"/>
        <v>1</v>
      </c>
      <c r="AB1719" s="35">
        <f t="shared" si="168"/>
        <v>0</v>
      </c>
    </row>
    <row r="1720" spans="1:28">
      <c r="A1720" s="35">
        <v>1709</v>
      </c>
      <c r="B1720" s="35">
        <v>5.0001301136637366E-4</v>
      </c>
      <c r="C1720" s="232">
        <v>78.83</v>
      </c>
      <c r="D1720" s="35">
        <v>5.0669258349218511</v>
      </c>
      <c r="E1720" s="232">
        <v>56.39</v>
      </c>
      <c r="F1720" s="35">
        <v>5.0573191833734299</v>
      </c>
      <c r="G1720" s="232">
        <v>11951.02</v>
      </c>
      <c r="H1720" s="35">
        <v>9.337047138171128</v>
      </c>
      <c r="I1720" s="232">
        <v>13273.54</v>
      </c>
      <c r="J1720" s="35">
        <v>8.2880906521385196</v>
      </c>
      <c r="K1720" s="232">
        <v>13508.06</v>
      </c>
      <c r="L1720" s="35">
        <v>8.7748894055021278</v>
      </c>
      <c r="M1720" s="232">
        <v>39602.26</v>
      </c>
      <c r="N1720" s="35">
        <v>7.7477934366623851</v>
      </c>
      <c r="P1720" s="232">
        <v>-22.45</v>
      </c>
      <c r="Q1720" s="35">
        <v>9.6066515484212189E-3</v>
      </c>
      <c r="R1720" s="232">
        <v>1322.52</v>
      </c>
      <c r="S1720" s="35">
        <v>1.0489564860326084</v>
      </c>
      <c r="T1720" s="232">
        <v>26094.21</v>
      </c>
      <c r="U1720" s="35">
        <v>1.0270959688397427</v>
      </c>
      <c r="W1720" s="35">
        <f t="shared" si="163"/>
        <v>502.78257742106092</v>
      </c>
      <c r="X1720" s="35">
        <f t="shared" si="164"/>
        <v>51125.304301630422</v>
      </c>
      <c r="Y1720" s="35">
        <f t="shared" si="165"/>
        <v>25260.588441987136</v>
      </c>
      <c r="Z1720" s="35">
        <f t="shared" si="166"/>
        <v>0</v>
      </c>
      <c r="AA1720" s="35">
        <f t="shared" si="167"/>
        <v>1</v>
      </c>
      <c r="AB1720" s="35">
        <f t="shared" si="168"/>
        <v>0</v>
      </c>
    </row>
    <row r="1721" spans="1:28">
      <c r="A1721" s="35">
        <v>1710</v>
      </c>
      <c r="B1721" s="35">
        <v>5.1013948620814986E-4</v>
      </c>
      <c r="C1721" s="232">
        <v>66.75</v>
      </c>
      <c r="D1721" s="35">
        <v>5.0640957210655975</v>
      </c>
      <c r="E1721" s="232">
        <v>37.24</v>
      </c>
      <c r="F1721" s="35">
        <v>5.0510868255750268</v>
      </c>
      <c r="G1721" s="232">
        <v>10413.33</v>
      </c>
      <c r="H1721" s="35">
        <v>8.6978664426411019</v>
      </c>
      <c r="I1721" s="232">
        <v>11855.99</v>
      </c>
      <c r="J1721" s="35">
        <v>7.4032213091476802</v>
      </c>
      <c r="K1721" s="232">
        <v>11799.16</v>
      </c>
      <c r="L1721" s="35">
        <v>8.5985570641394382</v>
      </c>
      <c r="M1721" s="232">
        <v>37582.26</v>
      </c>
      <c r="N1721" s="35">
        <v>7.5384269497943341</v>
      </c>
      <c r="P1721" s="232">
        <v>-29.51</v>
      </c>
      <c r="Q1721" s="35">
        <v>1.3008895490570715E-2</v>
      </c>
      <c r="R1721" s="232">
        <v>1442.66</v>
      </c>
      <c r="S1721" s="35">
        <v>1.2946451334934217</v>
      </c>
      <c r="T1721" s="232">
        <v>25783.1</v>
      </c>
      <c r="U1721" s="35">
        <v>1.0601301143451041</v>
      </c>
      <c r="W1721" s="35">
        <f t="shared" si="163"/>
        <v>679.95477452853572</v>
      </c>
      <c r="X1721" s="35">
        <f t="shared" si="164"/>
        <v>63289.596674671084</v>
      </c>
      <c r="Y1721" s="35">
        <f t="shared" si="165"/>
        <v>27223.405717255206</v>
      </c>
      <c r="Z1721" s="35">
        <f t="shared" si="166"/>
        <v>0</v>
      </c>
      <c r="AA1721" s="35">
        <f t="shared" si="167"/>
        <v>1</v>
      </c>
      <c r="AB1721" s="35">
        <f t="shared" si="168"/>
        <v>0</v>
      </c>
    </row>
    <row r="1722" spans="1:28">
      <c r="A1722" s="35">
        <v>1711</v>
      </c>
      <c r="B1722" s="35">
        <v>3.7698646411654728E-4</v>
      </c>
      <c r="C1722" s="232">
        <v>69.64</v>
      </c>
      <c r="D1722" s="35">
        <v>5.0591968028116927</v>
      </c>
      <c r="E1722" s="232">
        <v>46.39</v>
      </c>
      <c r="F1722" s="35">
        <v>5.0509761101552666</v>
      </c>
      <c r="G1722" s="232">
        <v>14158.92</v>
      </c>
      <c r="H1722" s="35">
        <v>9.1338918082068261</v>
      </c>
      <c r="I1722" s="232">
        <v>14901.15</v>
      </c>
      <c r="J1722" s="35">
        <v>7.9090817651504866</v>
      </c>
      <c r="K1722" s="232">
        <v>17611.21</v>
      </c>
      <c r="L1722" s="35">
        <v>8.8340422033460921</v>
      </c>
      <c r="M1722" s="232">
        <v>43949.97</v>
      </c>
      <c r="N1722" s="35">
        <v>7.6626718376455223</v>
      </c>
      <c r="P1722" s="232">
        <v>-23.24</v>
      </c>
      <c r="Q1722" s="35">
        <v>8.2206926564261096E-3</v>
      </c>
      <c r="R1722" s="232">
        <v>742.23</v>
      </c>
      <c r="S1722" s="35">
        <v>1.2248100430563396</v>
      </c>
      <c r="T1722" s="232">
        <v>26338.76</v>
      </c>
      <c r="U1722" s="35">
        <v>1.1713703657005698</v>
      </c>
      <c r="W1722" s="35">
        <f t="shared" si="163"/>
        <v>434.27463282130549</v>
      </c>
      <c r="X1722" s="35">
        <f t="shared" si="164"/>
        <v>60498.272152816971</v>
      </c>
      <c r="Y1722" s="35">
        <f t="shared" si="165"/>
        <v>32229.758285028493</v>
      </c>
      <c r="Z1722" s="35">
        <f t="shared" si="166"/>
        <v>0</v>
      </c>
      <c r="AA1722" s="35">
        <f t="shared" si="167"/>
        <v>1</v>
      </c>
      <c r="AB1722" s="35">
        <f t="shared" si="168"/>
        <v>0</v>
      </c>
    </row>
    <row r="1723" spans="1:28">
      <c r="A1723" s="35">
        <v>1712</v>
      </c>
      <c r="B1723" s="35">
        <v>2.8729988855349665E-4</v>
      </c>
      <c r="C1723" s="232">
        <v>41.85</v>
      </c>
      <c r="D1723" s="35">
        <v>5.0523909285271964</v>
      </c>
      <c r="E1723" s="232">
        <v>27.19</v>
      </c>
      <c r="F1723" s="35">
        <v>5.0460570511334391</v>
      </c>
      <c r="G1723" s="232">
        <v>10738.54</v>
      </c>
      <c r="H1723" s="35">
        <v>8.4680041408921003</v>
      </c>
      <c r="I1723" s="232">
        <v>10663.2</v>
      </c>
      <c r="J1723" s="35">
        <v>6.8621327134105661</v>
      </c>
      <c r="K1723" s="232">
        <v>15686.74</v>
      </c>
      <c r="L1723" s="35">
        <v>8.5327146322524001</v>
      </c>
      <c r="M1723" s="232">
        <v>42024.82</v>
      </c>
      <c r="N1723" s="35">
        <v>7.3641129962523033</v>
      </c>
      <c r="P1723" s="232">
        <v>-14.66</v>
      </c>
      <c r="Q1723" s="35">
        <v>6.3338773937573478E-3</v>
      </c>
      <c r="R1723" s="232">
        <v>-75.34</v>
      </c>
      <c r="S1723" s="35">
        <v>1.6058714274815342</v>
      </c>
      <c r="T1723" s="232">
        <v>26338.080000000002</v>
      </c>
      <c r="U1723" s="35">
        <v>1.1686016360000968</v>
      </c>
      <c r="W1723" s="35">
        <f t="shared" si="163"/>
        <v>331.35386968786742</v>
      </c>
      <c r="X1723" s="35">
        <f t="shared" si="164"/>
        <v>80368.911374076706</v>
      </c>
      <c r="Y1723" s="35">
        <f t="shared" si="165"/>
        <v>32092.001800004837</v>
      </c>
      <c r="Z1723" s="35">
        <f t="shared" si="166"/>
        <v>0</v>
      </c>
      <c r="AA1723" s="35">
        <f t="shared" si="167"/>
        <v>1</v>
      </c>
      <c r="AB1723" s="35">
        <f t="shared" si="168"/>
        <v>0</v>
      </c>
    </row>
    <row r="1724" spans="1:28">
      <c r="A1724" s="35">
        <v>1713</v>
      </c>
      <c r="B1724" s="35">
        <v>3.4857357914513053E-4</v>
      </c>
      <c r="C1724" s="232">
        <v>42.62</v>
      </c>
      <c r="D1724" s="35">
        <v>5.0551950942816815</v>
      </c>
      <c r="E1724" s="232">
        <v>27.01</v>
      </c>
      <c r="F1724" s="35">
        <v>5.0473872478199864</v>
      </c>
      <c r="G1724" s="232">
        <v>9562.7999999999993</v>
      </c>
      <c r="H1724" s="35">
        <v>8.4202419722729864</v>
      </c>
      <c r="I1724" s="232">
        <v>10952.45</v>
      </c>
      <c r="J1724" s="35">
        <v>7.2331635377645087</v>
      </c>
      <c r="K1724" s="232">
        <v>11831.51</v>
      </c>
      <c r="L1724" s="35">
        <v>8.4331023393421294</v>
      </c>
      <c r="M1724" s="232">
        <v>37944.080000000002</v>
      </c>
      <c r="N1724" s="35">
        <v>7.2635705993033524</v>
      </c>
      <c r="P1724" s="232">
        <v>-15.6</v>
      </c>
      <c r="Q1724" s="35">
        <v>7.8078464616950782E-3</v>
      </c>
      <c r="R1724" s="232">
        <v>1389.65</v>
      </c>
      <c r="S1724" s="35">
        <v>1.1870784345084777</v>
      </c>
      <c r="T1724" s="232">
        <v>26112.57</v>
      </c>
      <c r="U1724" s="35">
        <v>1.169531740038777</v>
      </c>
      <c r="W1724" s="35">
        <f t="shared" si="163"/>
        <v>405.99232308475393</v>
      </c>
      <c r="X1724" s="35">
        <f t="shared" si="164"/>
        <v>57964.271725423881</v>
      </c>
      <c r="Y1724" s="35">
        <f t="shared" si="165"/>
        <v>32364.017001938853</v>
      </c>
      <c r="Z1724" s="35">
        <f t="shared" si="166"/>
        <v>0</v>
      </c>
      <c r="AA1724" s="35">
        <f t="shared" si="167"/>
        <v>1</v>
      </c>
      <c r="AB1724" s="35">
        <f t="shared" si="168"/>
        <v>0</v>
      </c>
    </row>
    <row r="1725" spans="1:28">
      <c r="A1725" s="35">
        <v>1714</v>
      </c>
      <c r="B1725" s="35">
        <v>3.6404679238715012E-4</v>
      </c>
      <c r="C1725" s="232">
        <v>56.57</v>
      </c>
      <c r="D1725" s="35">
        <v>5.0555186588949796</v>
      </c>
      <c r="E1725" s="232">
        <v>37.58</v>
      </c>
      <c r="F1725" s="35">
        <v>5.0484740501286467</v>
      </c>
      <c r="G1725" s="232">
        <v>11942.25</v>
      </c>
      <c r="H1725" s="35">
        <v>8.4447263620046815</v>
      </c>
      <c r="I1725" s="232">
        <v>12442.65</v>
      </c>
      <c r="J1725" s="35">
        <v>7.1921878953099316</v>
      </c>
      <c r="K1725" s="232">
        <v>16359.67</v>
      </c>
      <c r="L1725" s="35">
        <v>8.2585716800396121</v>
      </c>
      <c r="M1725" s="232">
        <v>42493.15</v>
      </c>
      <c r="N1725" s="35">
        <v>7.1883498166743385</v>
      </c>
      <c r="P1725" s="232">
        <v>-18.98</v>
      </c>
      <c r="Q1725" s="35">
        <v>7.0446087663329493E-3</v>
      </c>
      <c r="R1725" s="232">
        <v>500.4</v>
      </c>
      <c r="S1725" s="35">
        <v>1.2525384666947499</v>
      </c>
      <c r="T1725" s="232">
        <v>26133.48</v>
      </c>
      <c r="U1725" s="35">
        <v>1.0702218633652736</v>
      </c>
      <c r="W1725" s="35">
        <f t="shared" si="163"/>
        <v>371.21043831664747</v>
      </c>
      <c r="X1725" s="35">
        <f t="shared" si="164"/>
        <v>62126.523334737496</v>
      </c>
      <c r="Y1725" s="35">
        <f t="shared" si="165"/>
        <v>27377.613168263681</v>
      </c>
      <c r="Z1725" s="35">
        <f t="shared" si="166"/>
        <v>0</v>
      </c>
      <c r="AA1725" s="35">
        <f t="shared" si="167"/>
        <v>1</v>
      </c>
      <c r="AB1725" s="35">
        <f t="shared" si="168"/>
        <v>0</v>
      </c>
    </row>
    <row r="1726" spans="1:28">
      <c r="A1726" s="35">
        <v>1715</v>
      </c>
      <c r="B1726" s="35">
        <v>4.8021593618208236E-4</v>
      </c>
      <c r="C1726" s="232">
        <v>52.83</v>
      </c>
      <c r="D1726" s="35">
        <v>5.0639987723855429</v>
      </c>
      <c r="E1726" s="232">
        <v>38.369999999999997</v>
      </c>
      <c r="F1726" s="35">
        <v>5.0550528033790485</v>
      </c>
      <c r="G1726" s="232">
        <v>8599.17</v>
      </c>
      <c r="H1726" s="35">
        <v>8.879322359356987</v>
      </c>
      <c r="I1726" s="232">
        <v>10283.65</v>
      </c>
      <c r="J1726" s="35">
        <v>7.7222968843152033</v>
      </c>
      <c r="K1726" s="232">
        <v>9691.07</v>
      </c>
      <c r="L1726" s="35">
        <v>8.6581280413086894</v>
      </c>
      <c r="M1726" s="232">
        <v>35479.33</v>
      </c>
      <c r="N1726" s="35">
        <v>7.5431634817618978</v>
      </c>
      <c r="P1726" s="232">
        <v>-14.46</v>
      </c>
      <c r="Q1726" s="35">
        <v>8.9459690064943587E-3</v>
      </c>
      <c r="R1726" s="232">
        <v>1684.48</v>
      </c>
      <c r="S1726" s="35">
        <v>1.1570254750417837</v>
      </c>
      <c r="T1726" s="232">
        <v>25788.25</v>
      </c>
      <c r="U1726" s="35">
        <v>1.1149645595467916</v>
      </c>
      <c r="W1726" s="35">
        <f t="shared" si="163"/>
        <v>461.7584503247179</v>
      </c>
      <c r="X1726" s="35">
        <f t="shared" si="164"/>
        <v>56166.793752089179</v>
      </c>
      <c r="Y1726" s="35">
        <f t="shared" si="165"/>
        <v>29959.977977339579</v>
      </c>
      <c r="Z1726" s="35">
        <f t="shared" si="166"/>
        <v>0</v>
      </c>
      <c r="AA1726" s="35">
        <f t="shared" si="167"/>
        <v>1</v>
      </c>
      <c r="AB1726" s="35">
        <f t="shared" si="168"/>
        <v>0</v>
      </c>
    </row>
    <row r="1727" spans="1:28">
      <c r="A1727" s="35">
        <v>1716</v>
      </c>
      <c r="B1727" s="35">
        <v>5.7995985334124978E-4</v>
      </c>
      <c r="C1727" s="232">
        <v>99.52</v>
      </c>
      <c r="D1727" s="35">
        <v>5.0675939045442169</v>
      </c>
      <c r="E1727" s="232">
        <v>58.18</v>
      </c>
      <c r="F1727" s="35">
        <v>5.0541726641443496</v>
      </c>
      <c r="G1727" s="232">
        <v>13513.6</v>
      </c>
      <c r="H1727" s="35">
        <v>8.8259859577453614</v>
      </c>
      <c r="I1727" s="232">
        <v>14277.86</v>
      </c>
      <c r="J1727" s="35">
        <v>7.4827232188751029</v>
      </c>
      <c r="K1727" s="232">
        <v>16372.61</v>
      </c>
      <c r="L1727" s="35">
        <v>8.3528642439614789</v>
      </c>
      <c r="M1727" s="232">
        <v>42609.4</v>
      </c>
      <c r="N1727" s="35">
        <v>7.2707508889658401</v>
      </c>
      <c r="P1727" s="232">
        <v>-41.35</v>
      </c>
      <c r="Q1727" s="35">
        <v>1.3421240399867251E-2</v>
      </c>
      <c r="R1727" s="232">
        <v>764.26</v>
      </c>
      <c r="S1727" s="35">
        <v>1.3432627388702585</v>
      </c>
      <c r="T1727" s="232">
        <v>26236.799999999999</v>
      </c>
      <c r="U1727" s="35">
        <v>1.0821133549956388</v>
      </c>
      <c r="W1727" s="35">
        <f t="shared" si="163"/>
        <v>712.41201999336261</v>
      </c>
      <c r="X1727" s="35">
        <f t="shared" si="164"/>
        <v>66398.876943512936</v>
      </c>
      <c r="Y1727" s="35">
        <f t="shared" si="165"/>
        <v>27868.867749781941</v>
      </c>
      <c r="Z1727" s="35">
        <f t="shared" si="166"/>
        <v>0</v>
      </c>
      <c r="AA1727" s="35">
        <f t="shared" si="167"/>
        <v>1</v>
      </c>
      <c r="AB1727" s="35">
        <f t="shared" si="168"/>
        <v>0</v>
      </c>
    </row>
    <row r="1728" spans="1:28">
      <c r="A1728" s="35">
        <v>1717</v>
      </c>
      <c r="B1728" s="35">
        <v>3.0344045796106906E-4</v>
      </c>
      <c r="C1728" s="232">
        <v>48</v>
      </c>
      <c r="D1728" s="35">
        <v>5.0539347025400563</v>
      </c>
      <c r="E1728" s="232">
        <v>31.41</v>
      </c>
      <c r="F1728" s="35">
        <v>5.0471787932329359</v>
      </c>
      <c r="G1728" s="232">
        <v>12382.39</v>
      </c>
      <c r="H1728" s="35">
        <v>8.8283669828270241</v>
      </c>
      <c r="I1728" s="232">
        <v>13397.04</v>
      </c>
      <c r="J1728" s="35">
        <v>7.6709980223440715</v>
      </c>
      <c r="K1728" s="232">
        <v>15811.21</v>
      </c>
      <c r="L1728" s="35">
        <v>8.7093688959720552</v>
      </c>
      <c r="M1728" s="232">
        <v>41922.74</v>
      </c>
      <c r="N1728" s="35">
        <v>7.6341600197914889</v>
      </c>
      <c r="P1728" s="232">
        <v>-16.59</v>
      </c>
      <c r="Q1728" s="35">
        <v>6.7559093071203336E-3</v>
      </c>
      <c r="R1728" s="232">
        <v>1014.65</v>
      </c>
      <c r="S1728" s="35">
        <v>1.1573689604829527</v>
      </c>
      <c r="T1728" s="232">
        <v>26111.53</v>
      </c>
      <c r="U1728" s="35">
        <v>1.0752088761805663</v>
      </c>
      <c r="W1728" s="35">
        <f t="shared" si="163"/>
        <v>354.38546535601665</v>
      </c>
      <c r="X1728" s="35">
        <f t="shared" si="164"/>
        <v>56853.798024147633</v>
      </c>
      <c r="Y1728" s="35">
        <f t="shared" si="165"/>
        <v>27648.913809028316</v>
      </c>
      <c r="Z1728" s="35">
        <f t="shared" si="166"/>
        <v>0</v>
      </c>
      <c r="AA1728" s="35">
        <f t="shared" si="167"/>
        <v>1</v>
      </c>
      <c r="AB1728" s="35">
        <f t="shared" si="168"/>
        <v>0</v>
      </c>
    </row>
    <row r="1729" spans="1:28">
      <c r="A1729" s="35">
        <v>1718</v>
      </c>
      <c r="B1729" s="35">
        <v>4.4170423158984719E-4</v>
      </c>
      <c r="C1729" s="232">
        <v>62.38</v>
      </c>
      <c r="D1729" s="35">
        <v>5.0600123091905198</v>
      </c>
      <c r="E1729" s="232">
        <v>35.450000000000003</v>
      </c>
      <c r="F1729" s="35">
        <v>5.0491800491071501</v>
      </c>
      <c r="G1729" s="232">
        <v>10934.25</v>
      </c>
      <c r="H1729" s="35">
        <v>8.6689177789554694</v>
      </c>
      <c r="I1729" s="232">
        <v>11722.66</v>
      </c>
      <c r="J1729" s="35">
        <v>7.1064648363306464</v>
      </c>
      <c r="K1729" s="232">
        <v>12809.21</v>
      </c>
      <c r="L1729" s="35">
        <v>8.3969572446187826</v>
      </c>
      <c r="M1729" s="232">
        <v>38826.21</v>
      </c>
      <c r="N1729" s="35">
        <v>7.3033037469816451</v>
      </c>
      <c r="P1729" s="232">
        <v>-26.92</v>
      </c>
      <c r="Q1729" s="35">
        <v>1.0832260083369682E-2</v>
      </c>
      <c r="R1729" s="232">
        <v>788.42</v>
      </c>
      <c r="S1729" s="35">
        <v>1.562452942624823</v>
      </c>
      <c r="T1729" s="232">
        <v>26017</v>
      </c>
      <c r="U1729" s="35">
        <v>1.0936534976371375</v>
      </c>
      <c r="W1729" s="35">
        <f t="shared" si="163"/>
        <v>568.53300416848413</v>
      </c>
      <c r="X1729" s="35">
        <f t="shared" si="164"/>
        <v>77334.227131241147</v>
      </c>
      <c r="Y1729" s="35">
        <f t="shared" si="165"/>
        <v>28665.674881856874</v>
      </c>
      <c r="Z1729" s="35">
        <f t="shared" si="166"/>
        <v>0</v>
      </c>
      <c r="AA1729" s="35">
        <f t="shared" si="167"/>
        <v>1</v>
      </c>
      <c r="AB1729" s="35">
        <f t="shared" si="168"/>
        <v>0</v>
      </c>
    </row>
    <row r="1730" spans="1:28">
      <c r="A1730" s="35">
        <v>1719</v>
      </c>
      <c r="B1730" s="35">
        <v>3.3016590674171664E-4</v>
      </c>
      <c r="C1730" s="232">
        <v>59.35</v>
      </c>
      <c r="D1730" s="35">
        <v>5.0558998282738452</v>
      </c>
      <c r="E1730" s="232">
        <v>34.799999999999997</v>
      </c>
      <c r="F1730" s="35">
        <v>5.047353546727237</v>
      </c>
      <c r="G1730" s="232">
        <v>14376.03</v>
      </c>
      <c r="H1730" s="35">
        <v>9.0041652605856388</v>
      </c>
      <c r="I1730" s="232">
        <v>14464.57</v>
      </c>
      <c r="J1730" s="35">
        <v>6.9339065222002816</v>
      </c>
      <c r="K1730" s="232">
        <v>18299.650000000001</v>
      </c>
      <c r="L1730" s="35">
        <v>8.8293741888981216</v>
      </c>
      <c r="M1730" s="232">
        <v>44606.05</v>
      </c>
      <c r="N1730" s="35">
        <v>7.706499119259977</v>
      </c>
      <c r="P1730" s="232">
        <v>-24.55</v>
      </c>
      <c r="Q1730" s="35">
        <v>8.5462815466081921E-3</v>
      </c>
      <c r="R1730" s="232">
        <v>88.54</v>
      </c>
      <c r="S1730" s="35">
        <v>2.0702587383853572</v>
      </c>
      <c r="T1730" s="232">
        <v>26306.400000000001</v>
      </c>
      <c r="U1730" s="35">
        <v>1.1228750696381447</v>
      </c>
      <c r="W1730" s="35">
        <f t="shared" si="163"/>
        <v>451.8640773304096</v>
      </c>
      <c r="X1730" s="35">
        <f t="shared" si="164"/>
        <v>103424.39691926786</v>
      </c>
      <c r="Y1730" s="35">
        <f t="shared" si="165"/>
        <v>29837.35348190723</v>
      </c>
      <c r="Z1730" s="35">
        <f t="shared" si="166"/>
        <v>0</v>
      </c>
      <c r="AA1730" s="35">
        <f t="shared" si="167"/>
        <v>1</v>
      </c>
      <c r="AB1730" s="35">
        <f t="shared" si="168"/>
        <v>0</v>
      </c>
    </row>
    <row r="1731" spans="1:28">
      <c r="A1731" s="35">
        <v>1720</v>
      </c>
      <c r="B1731" s="35">
        <v>4.542829915599178E-4</v>
      </c>
      <c r="C1731" s="232">
        <v>43.89</v>
      </c>
      <c r="D1731" s="35">
        <v>5.0598100109079711</v>
      </c>
      <c r="E1731" s="232">
        <v>28.56</v>
      </c>
      <c r="F1731" s="35">
        <v>5.0503368077166781</v>
      </c>
      <c r="G1731" s="232">
        <v>7725.55</v>
      </c>
      <c r="H1731" s="35">
        <v>8.2917839542699596</v>
      </c>
      <c r="I1731" s="232">
        <v>9626.1</v>
      </c>
      <c r="J1731" s="35">
        <v>7.2103786777350454</v>
      </c>
      <c r="K1731" s="232">
        <v>8046.29</v>
      </c>
      <c r="L1731" s="35">
        <v>8.4479219395187268</v>
      </c>
      <c r="M1731" s="232">
        <v>33576.620000000003</v>
      </c>
      <c r="N1731" s="35">
        <v>7.3641174356614361</v>
      </c>
      <c r="P1731" s="232">
        <v>-15.33</v>
      </c>
      <c r="Q1731" s="35">
        <v>9.4732031912929671E-3</v>
      </c>
      <c r="R1731" s="232">
        <v>1900.56</v>
      </c>
      <c r="S1731" s="35">
        <v>1.0814052765349143</v>
      </c>
      <c r="T1731" s="232">
        <v>25530.33</v>
      </c>
      <c r="U1731" s="35">
        <v>1.0838045038572908</v>
      </c>
      <c r="W1731" s="35">
        <f t="shared" si="163"/>
        <v>488.99015956464831</v>
      </c>
      <c r="X1731" s="35">
        <f t="shared" si="164"/>
        <v>52169.703826745717</v>
      </c>
      <c r="Y1731" s="35">
        <f t="shared" si="165"/>
        <v>28659.89519286454</v>
      </c>
      <c r="Z1731" s="35">
        <f t="shared" si="166"/>
        <v>0</v>
      </c>
      <c r="AA1731" s="35">
        <f t="shared" si="167"/>
        <v>1</v>
      </c>
      <c r="AB1731" s="35">
        <f t="shared" si="168"/>
        <v>0</v>
      </c>
    </row>
    <row r="1732" spans="1:28">
      <c r="A1732" s="35">
        <v>1721</v>
      </c>
      <c r="B1732" s="35">
        <v>4.4325023513999641E-4</v>
      </c>
      <c r="C1732" s="232">
        <v>57.62</v>
      </c>
      <c r="D1732" s="35">
        <v>5.0631038236683148</v>
      </c>
      <c r="E1732" s="232">
        <v>34.25</v>
      </c>
      <c r="F1732" s="35">
        <v>5.0512873124591069</v>
      </c>
      <c r="G1732" s="232">
        <v>10460.51</v>
      </c>
      <c r="H1732" s="35">
        <v>9.272566763180432</v>
      </c>
      <c r="I1732" s="232">
        <v>11890.48</v>
      </c>
      <c r="J1732" s="35">
        <v>8.0698805481216258</v>
      </c>
      <c r="K1732" s="232">
        <v>12802.41</v>
      </c>
      <c r="L1732" s="35">
        <v>8.747980353991867</v>
      </c>
      <c r="M1732" s="232">
        <v>38724.050000000003</v>
      </c>
      <c r="N1732" s="35">
        <v>7.5345717566179768</v>
      </c>
      <c r="P1732" s="232">
        <v>-23.38</v>
      </c>
      <c r="Q1732" s="35">
        <v>1.1816511209207903E-2</v>
      </c>
      <c r="R1732" s="232">
        <v>1429.98</v>
      </c>
      <c r="S1732" s="35">
        <v>1.2026862150588062</v>
      </c>
      <c r="T1732" s="232">
        <v>25921.64</v>
      </c>
      <c r="U1732" s="35">
        <v>1.2134085973738902</v>
      </c>
      <c r="W1732" s="35">
        <f t="shared" si="163"/>
        <v>614.20556046039508</v>
      </c>
      <c r="X1732" s="35">
        <f t="shared" si="164"/>
        <v>58704.33075294031</v>
      </c>
      <c r="Y1732" s="35">
        <f t="shared" si="165"/>
        <v>34748.789868694512</v>
      </c>
      <c r="Z1732" s="35">
        <f t="shared" si="166"/>
        <v>0</v>
      </c>
      <c r="AA1732" s="35">
        <f t="shared" si="167"/>
        <v>1</v>
      </c>
      <c r="AB1732" s="35">
        <f t="shared" si="168"/>
        <v>0</v>
      </c>
    </row>
    <row r="1733" spans="1:28">
      <c r="A1733" s="35">
        <v>1722</v>
      </c>
      <c r="B1733" s="35">
        <v>4.4367570305755665E-4</v>
      </c>
      <c r="C1733" s="232">
        <v>70.66</v>
      </c>
      <c r="D1733" s="35">
        <v>5.0618441816938606</v>
      </c>
      <c r="E1733" s="232">
        <v>46.96</v>
      </c>
      <c r="F1733" s="35">
        <v>5.0525792546877693</v>
      </c>
      <c r="G1733" s="232">
        <v>12927.65</v>
      </c>
      <c r="H1733" s="35">
        <v>9.0116492817397482</v>
      </c>
      <c r="I1733" s="232">
        <v>14729.34</v>
      </c>
      <c r="J1733" s="35">
        <v>8.0601218583225478</v>
      </c>
      <c r="K1733" s="232">
        <v>14157.07</v>
      </c>
      <c r="L1733" s="35">
        <v>8.4677278395902693</v>
      </c>
      <c r="M1733" s="232">
        <v>40042.129999999997</v>
      </c>
      <c r="N1733" s="35">
        <v>7.3839972466423145</v>
      </c>
      <c r="P1733" s="232">
        <v>-23.7</v>
      </c>
      <c r="Q1733" s="35">
        <v>9.2649270060913835E-3</v>
      </c>
      <c r="R1733" s="232">
        <v>1801.7</v>
      </c>
      <c r="S1733" s="35">
        <v>0.95152742341720042</v>
      </c>
      <c r="T1733" s="232">
        <v>25885.07</v>
      </c>
      <c r="U1733" s="35">
        <v>1.0837305929479548</v>
      </c>
      <c r="W1733" s="35">
        <f t="shared" si="163"/>
        <v>486.94635030456919</v>
      </c>
      <c r="X1733" s="35">
        <f t="shared" si="164"/>
        <v>45774.671170860027</v>
      </c>
      <c r="Y1733" s="35">
        <f t="shared" si="165"/>
        <v>28301.459647397744</v>
      </c>
      <c r="Z1733" s="35">
        <f t="shared" si="166"/>
        <v>0</v>
      </c>
      <c r="AA1733" s="35">
        <f t="shared" si="167"/>
        <v>1</v>
      </c>
      <c r="AB1733" s="35">
        <f t="shared" si="168"/>
        <v>0</v>
      </c>
    </row>
    <row r="1734" spans="1:28">
      <c r="A1734" s="35">
        <v>1723</v>
      </c>
      <c r="B1734" s="35">
        <v>4.315395356168743E-4</v>
      </c>
      <c r="C1734" s="232">
        <v>93.74</v>
      </c>
      <c r="D1734" s="35">
        <v>5.0607629839924089</v>
      </c>
      <c r="E1734" s="232">
        <v>52.97</v>
      </c>
      <c r="F1734" s="35">
        <v>5.0499341456385283</v>
      </c>
      <c r="G1734" s="232">
        <v>17065.28</v>
      </c>
      <c r="H1734" s="35">
        <v>8.961148238929793</v>
      </c>
      <c r="I1734" s="232">
        <v>17208.63</v>
      </c>
      <c r="J1734" s="35">
        <v>7.6134954086315307</v>
      </c>
      <c r="K1734" s="232">
        <v>21844.54</v>
      </c>
      <c r="L1734" s="35">
        <v>8.7240351206652598</v>
      </c>
      <c r="M1734" s="232">
        <v>48297.5</v>
      </c>
      <c r="N1734" s="35">
        <v>7.7511958332469613</v>
      </c>
      <c r="P1734" s="232">
        <v>-40.78</v>
      </c>
      <c r="Q1734" s="35">
        <v>1.0828838353880599E-2</v>
      </c>
      <c r="R1734" s="232">
        <v>143.35</v>
      </c>
      <c r="S1734" s="35">
        <v>1.3476528302982622</v>
      </c>
      <c r="T1734" s="232">
        <v>26452.959999999999</v>
      </c>
      <c r="U1734" s="35">
        <v>0.9728392874182985</v>
      </c>
      <c r="W1734" s="35">
        <f t="shared" si="163"/>
        <v>582.22191769402991</v>
      </c>
      <c r="X1734" s="35">
        <f t="shared" si="164"/>
        <v>67239.2915149131</v>
      </c>
      <c r="Y1734" s="35">
        <f t="shared" si="165"/>
        <v>22189.004370914925</v>
      </c>
      <c r="Z1734" s="35">
        <f t="shared" si="166"/>
        <v>0</v>
      </c>
      <c r="AA1734" s="35">
        <f t="shared" si="167"/>
        <v>1</v>
      </c>
      <c r="AB1734" s="35">
        <f t="shared" si="168"/>
        <v>0</v>
      </c>
    </row>
    <row r="1735" spans="1:28">
      <c r="A1735" s="35">
        <v>1724</v>
      </c>
      <c r="B1735" s="35">
        <v>3.9216011294659653E-4</v>
      </c>
      <c r="C1735" s="232">
        <v>71.349999999999994</v>
      </c>
      <c r="D1735" s="35">
        <v>5.0583337625746081</v>
      </c>
      <c r="E1735" s="232">
        <v>42.15</v>
      </c>
      <c r="F1735" s="35">
        <v>5.0489331920830889</v>
      </c>
      <c r="G1735" s="232">
        <v>13433.93</v>
      </c>
      <c r="H1735" s="35">
        <v>8.7831024148563497</v>
      </c>
      <c r="I1735" s="232">
        <v>12941.49</v>
      </c>
      <c r="J1735" s="35">
        <v>6.9902612857296305</v>
      </c>
      <c r="K1735" s="232">
        <v>16367.25</v>
      </c>
      <c r="L1735" s="35">
        <v>8.7247597524886036</v>
      </c>
      <c r="M1735" s="232">
        <v>42457.68</v>
      </c>
      <c r="N1735" s="35">
        <v>7.6901282330609577</v>
      </c>
      <c r="P1735" s="232">
        <v>-29.19</v>
      </c>
      <c r="Q1735" s="35">
        <v>9.4005704915192112E-3</v>
      </c>
      <c r="R1735" s="232">
        <v>-492.44</v>
      </c>
      <c r="S1735" s="35">
        <v>1.7928411291267192</v>
      </c>
      <c r="T1735" s="232">
        <v>26090.43</v>
      </c>
      <c r="U1735" s="35">
        <v>1.0346315194276459</v>
      </c>
      <c r="W1735" s="35">
        <f t="shared" si="163"/>
        <v>499.21852457596054</v>
      </c>
      <c r="X1735" s="35">
        <f t="shared" si="164"/>
        <v>90134.496456335968</v>
      </c>
      <c r="Y1735" s="35">
        <f t="shared" si="165"/>
        <v>25641.145971382291</v>
      </c>
      <c r="Z1735" s="35">
        <f t="shared" si="166"/>
        <v>0</v>
      </c>
      <c r="AA1735" s="35">
        <f t="shared" si="167"/>
        <v>1</v>
      </c>
      <c r="AB1735" s="35">
        <f t="shared" si="168"/>
        <v>0</v>
      </c>
    </row>
    <row r="1736" spans="1:28">
      <c r="A1736" s="35">
        <v>1725</v>
      </c>
      <c r="B1736" s="35">
        <v>4.1175491398149949E-4</v>
      </c>
      <c r="C1736" s="232">
        <v>56.05</v>
      </c>
      <c r="D1736" s="35">
        <v>5.0620968580637538</v>
      </c>
      <c r="E1736" s="232">
        <v>36.82</v>
      </c>
      <c r="F1736" s="35">
        <v>5.0522230655899305</v>
      </c>
      <c r="G1736" s="232">
        <v>10743.7</v>
      </c>
      <c r="H1736" s="35">
        <v>9.3210320124639132</v>
      </c>
      <c r="I1736" s="232">
        <v>12241.48</v>
      </c>
      <c r="J1736" s="35">
        <v>8.0864720947963189</v>
      </c>
      <c r="K1736" s="232">
        <v>12477.55</v>
      </c>
      <c r="L1736" s="35">
        <v>9.1119287259498023</v>
      </c>
      <c r="M1736" s="232">
        <v>38485.68</v>
      </c>
      <c r="N1736" s="35">
        <v>7.9608312611113634</v>
      </c>
      <c r="P1736" s="232">
        <v>-19.23</v>
      </c>
      <c r="Q1736" s="35">
        <v>9.8737924738232508E-3</v>
      </c>
      <c r="R1736" s="232">
        <v>1497.78</v>
      </c>
      <c r="S1736" s="35">
        <v>1.2345599176675943</v>
      </c>
      <c r="T1736" s="232">
        <v>26008.13</v>
      </c>
      <c r="U1736" s="35">
        <v>1.1510974648384389</v>
      </c>
      <c r="W1736" s="35">
        <f t="shared" si="163"/>
        <v>512.91962369116254</v>
      </c>
      <c r="X1736" s="35">
        <f t="shared" si="164"/>
        <v>60230.215883379715</v>
      </c>
      <c r="Y1736" s="35">
        <f t="shared" si="165"/>
        <v>31546.743241921944</v>
      </c>
      <c r="Z1736" s="35">
        <f t="shared" si="166"/>
        <v>0</v>
      </c>
      <c r="AA1736" s="35">
        <f t="shared" si="167"/>
        <v>1</v>
      </c>
      <c r="AB1736" s="35">
        <f t="shared" si="168"/>
        <v>0</v>
      </c>
    </row>
    <row r="1737" spans="1:28">
      <c r="A1737" s="35">
        <v>1726</v>
      </c>
      <c r="B1737" s="35">
        <v>4.2101016969314434E-4</v>
      </c>
      <c r="C1737" s="232">
        <v>66.62</v>
      </c>
      <c r="D1737" s="35">
        <v>5.059500033870524</v>
      </c>
      <c r="E1737" s="232">
        <v>41.59</v>
      </c>
      <c r="F1737" s="35">
        <v>5.0502072981842074</v>
      </c>
      <c r="G1737" s="232">
        <v>11772.68</v>
      </c>
      <c r="H1737" s="35">
        <v>8.8512965840041673</v>
      </c>
      <c r="I1737" s="232">
        <v>13013.85</v>
      </c>
      <c r="J1737" s="35">
        <v>8.274394542275072</v>
      </c>
      <c r="K1737" s="232">
        <v>15990.67</v>
      </c>
      <c r="L1737" s="35">
        <v>8.3160057177420637</v>
      </c>
      <c r="M1737" s="232">
        <v>42118.02</v>
      </c>
      <c r="N1737" s="35">
        <v>7.2158349532802557</v>
      </c>
      <c r="P1737" s="232">
        <v>-25.03</v>
      </c>
      <c r="Q1737" s="35">
        <v>9.2927356863166111E-3</v>
      </c>
      <c r="R1737" s="232">
        <v>1241.18</v>
      </c>
      <c r="S1737" s="35">
        <v>0.57690204172909532</v>
      </c>
      <c r="T1737" s="232">
        <v>26127.35</v>
      </c>
      <c r="U1737" s="35">
        <v>1.1001707644618079</v>
      </c>
      <c r="W1737" s="35">
        <f t="shared" si="163"/>
        <v>489.66678431583057</v>
      </c>
      <c r="X1737" s="35">
        <f t="shared" si="164"/>
        <v>27603.922086454764</v>
      </c>
      <c r="Y1737" s="35">
        <f t="shared" si="165"/>
        <v>28881.188223090401</v>
      </c>
      <c r="Z1737" s="35">
        <f t="shared" si="166"/>
        <v>0</v>
      </c>
      <c r="AA1737" s="35">
        <f t="shared" si="167"/>
        <v>0</v>
      </c>
      <c r="AB1737" s="35">
        <f t="shared" si="168"/>
        <v>1</v>
      </c>
    </row>
    <row r="1738" spans="1:28">
      <c r="A1738" s="35">
        <v>1727</v>
      </c>
      <c r="B1738" s="35">
        <v>4.6266786705795315E-4</v>
      </c>
      <c r="C1738" s="232">
        <v>64.08</v>
      </c>
      <c r="D1738" s="35">
        <v>5.0626420542338133</v>
      </c>
      <c r="E1738" s="232">
        <v>37.049999999999997</v>
      </c>
      <c r="F1738" s="35">
        <v>5.0508003818201361</v>
      </c>
      <c r="G1738" s="232">
        <v>10876.39</v>
      </c>
      <c r="H1738" s="35">
        <v>8.9061436568257371</v>
      </c>
      <c r="I1738" s="232">
        <v>12028.32</v>
      </c>
      <c r="J1738" s="35">
        <v>7.5255471714100279</v>
      </c>
      <c r="K1738" s="232">
        <v>12918.88</v>
      </c>
      <c r="L1738" s="35">
        <v>8.8439458756299079</v>
      </c>
      <c r="M1738" s="232">
        <v>38959.879999999997</v>
      </c>
      <c r="N1738" s="35">
        <v>7.7703754382751127</v>
      </c>
      <c r="P1738" s="232">
        <v>-27.03</v>
      </c>
      <c r="Q1738" s="35">
        <v>1.1841672413677173E-2</v>
      </c>
      <c r="R1738" s="232">
        <v>1151.93</v>
      </c>
      <c r="S1738" s="35">
        <v>1.3805964854157091</v>
      </c>
      <c r="T1738" s="232">
        <v>26040.99</v>
      </c>
      <c r="U1738" s="35">
        <v>1.0735704373547952</v>
      </c>
      <c r="W1738" s="35">
        <f t="shared" si="163"/>
        <v>619.1136206838587</v>
      </c>
      <c r="X1738" s="35">
        <f t="shared" si="164"/>
        <v>67877.894270785459</v>
      </c>
      <c r="Y1738" s="35">
        <f t="shared" si="165"/>
        <v>27637.531867739755</v>
      </c>
      <c r="Z1738" s="35">
        <f t="shared" si="166"/>
        <v>0</v>
      </c>
      <c r="AA1738" s="35">
        <f t="shared" si="167"/>
        <v>1</v>
      </c>
      <c r="AB1738" s="35">
        <f t="shared" si="168"/>
        <v>0</v>
      </c>
    </row>
    <row r="1739" spans="1:28">
      <c r="A1739" s="35">
        <v>1728</v>
      </c>
      <c r="B1739" s="35">
        <v>4.5531054412406569E-4</v>
      </c>
      <c r="C1739" s="232">
        <v>54.95</v>
      </c>
      <c r="D1739" s="35">
        <v>5.0646564081024819</v>
      </c>
      <c r="E1739" s="232">
        <v>32.72</v>
      </c>
      <c r="F1739" s="35">
        <v>5.0520563683412103</v>
      </c>
      <c r="G1739" s="232">
        <v>10254.700000000001</v>
      </c>
      <c r="H1739" s="35">
        <v>9.4672540494187132</v>
      </c>
      <c r="I1739" s="232">
        <v>12535.16</v>
      </c>
      <c r="J1739" s="35">
        <v>7.9208413235555897</v>
      </c>
      <c r="K1739" s="232">
        <v>10217.459999999999</v>
      </c>
      <c r="L1739" s="35">
        <v>9.0340152358918182</v>
      </c>
      <c r="M1739" s="232">
        <v>36110.629999999997</v>
      </c>
      <c r="N1739" s="35">
        <v>7.8692605534652635</v>
      </c>
      <c r="P1739" s="232">
        <v>-22.23</v>
      </c>
      <c r="Q1739" s="35">
        <v>1.2600039761271553E-2</v>
      </c>
      <c r="R1739" s="232">
        <v>2280.4699999999998</v>
      </c>
      <c r="S1739" s="35">
        <v>1.5464127258631235</v>
      </c>
      <c r="T1739" s="232">
        <v>25893.17</v>
      </c>
      <c r="U1739" s="35">
        <v>1.1647546824265547</v>
      </c>
      <c r="W1739" s="35">
        <f t="shared" si="163"/>
        <v>652.23198806357766</v>
      </c>
      <c r="X1739" s="35">
        <f t="shared" si="164"/>
        <v>75040.166293156173</v>
      </c>
      <c r="Y1739" s="35">
        <f t="shared" si="165"/>
        <v>32344.564121327734</v>
      </c>
      <c r="Z1739" s="35">
        <f t="shared" si="166"/>
        <v>0</v>
      </c>
      <c r="AA1739" s="35">
        <f t="shared" si="167"/>
        <v>1</v>
      </c>
      <c r="AB1739" s="35">
        <f t="shared" si="168"/>
        <v>0</v>
      </c>
    </row>
    <row r="1740" spans="1:28">
      <c r="A1740" s="35">
        <v>1729</v>
      </c>
      <c r="B1740" s="35">
        <v>4.4873943334378108E-4</v>
      </c>
      <c r="C1740" s="232">
        <v>66.95</v>
      </c>
      <c r="D1740" s="35">
        <v>5.0602509081180642</v>
      </c>
      <c r="E1740" s="232">
        <v>35.130000000000003</v>
      </c>
      <c r="F1740" s="35">
        <v>5.0484156919584704</v>
      </c>
      <c r="G1740" s="232">
        <v>11061.02</v>
      </c>
      <c r="H1740" s="35">
        <v>8.5941615130100502</v>
      </c>
      <c r="I1740" s="232">
        <v>12351.83</v>
      </c>
      <c r="J1740" s="35">
        <v>8.0232722354814729</v>
      </c>
      <c r="K1740" s="232">
        <v>15925.57</v>
      </c>
      <c r="L1740" s="35">
        <v>8.5128256318772006</v>
      </c>
      <c r="M1740" s="232">
        <v>42059.75</v>
      </c>
      <c r="N1740" s="35">
        <v>7.4282467283297331</v>
      </c>
      <c r="P1740" s="232">
        <v>-31.82</v>
      </c>
      <c r="Q1740" s="35">
        <v>1.183521615959382E-2</v>
      </c>
      <c r="R1740" s="232">
        <v>1290.8</v>
      </c>
      <c r="S1740" s="35">
        <v>0.57088927752857721</v>
      </c>
      <c r="T1740" s="232">
        <v>26134.18</v>
      </c>
      <c r="U1740" s="35">
        <v>1.0845789035474676</v>
      </c>
      <c r="W1740" s="35">
        <f t="shared" ref="W1740:W1803" si="169">$X$2*Q1740-P1740</f>
        <v>623.58080797969103</v>
      </c>
      <c r="X1740" s="35">
        <f t="shared" ref="X1740:X1803" si="170">$X$2*S1740-R1740</f>
        <v>27253.663876428862</v>
      </c>
      <c r="Y1740" s="35">
        <f t="shared" ref="Y1740:Y1803" si="171">$X$2*U1740-T1740</f>
        <v>28094.765177373374</v>
      </c>
      <c r="Z1740" s="35">
        <f t="shared" ref="Z1740:Z1803" si="172">IF(W1740=MAX($W1740:$Y1740), 1, 0)</f>
        <v>0</v>
      </c>
      <c r="AA1740" s="35">
        <f t="shared" ref="AA1740:AA1803" si="173">IF(X1740=MAX($W1740:$Y1740), 1, 0)</f>
        <v>0</v>
      </c>
      <c r="AB1740" s="35">
        <f t="shared" ref="AB1740:AB1803" si="174">IF(Y1740=MAX($W1740:$Y1740), 1, 0)</f>
        <v>1</v>
      </c>
    </row>
    <row r="1741" spans="1:28">
      <c r="A1741" s="35">
        <v>1730</v>
      </c>
      <c r="B1741" s="35">
        <v>5.5892556190417775E-4</v>
      </c>
      <c r="C1741" s="232">
        <v>79.81</v>
      </c>
      <c r="D1741" s="35">
        <v>5.0666299065114471</v>
      </c>
      <c r="E1741" s="232">
        <v>48.62</v>
      </c>
      <c r="F1741" s="35">
        <v>5.0540893467925567</v>
      </c>
      <c r="G1741" s="232">
        <v>10987.46</v>
      </c>
      <c r="H1741" s="35">
        <v>8.600184063009376</v>
      </c>
      <c r="I1741" s="232">
        <v>12756.25</v>
      </c>
      <c r="J1741" s="35">
        <v>7.9759511436897457</v>
      </c>
      <c r="K1741" s="232">
        <v>12596.91</v>
      </c>
      <c r="L1741" s="35">
        <v>8.6347395873989239</v>
      </c>
      <c r="M1741" s="232">
        <v>38595.9</v>
      </c>
      <c r="N1741" s="35">
        <v>7.5847089858742365</v>
      </c>
      <c r="P1741" s="232">
        <v>-31.2</v>
      </c>
      <c r="Q1741" s="35">
        <v>1.2540559718890343E-2</v>
      </c>
      <c r="R1741" s="232">
        <v>1768.79</v>
      </c>
      <c r="S1741" s="35">
        <v>0.62423291931963032</v>
      </c>
      <c r="T1741" s="232">
        <v>25998.99</v>
      </c>
      <c r="U1741" s="35">
        <v>1.0500306015246874</v>
      </c>
      <c r="W1741" s="35">
        <f t="shared" si="169"/>
        <v>658.22798594451717</v>
      </c>
      <c r="X1741" s="35">
        <f t="shared" si="170"/>
        <v>29442.855965981515</v>
      </c>
      <c r="Y1741" s="35">
        <f t="shared" si="171"/>
        <v>26502.540076234367</v>
      </c>
      <c r="Z1741" s="35">
        <f t="shared" si="172"/>
        <v>0</v>
      </c>
      <c r="AA1741" s="35">
        <f t="shared" si="173"/>
        <v>1</v>
      </c>
      <c r="AB1741" s="35">
        <f t="shared" si="174"/>
        <v>0</v>
      </c>
    </row>
    <row r="1742" spans="1:28">
      <c r="A1742" s="35">
        <v>1731</v>
      </c>
      <c r="B1742" s="35">
        <v>3.4044889734712936E-4</v>
      </c>
      <c r="C1742" s="232">
        <v>52.98</v>
      </c>
      <c r="D1742" s="35">
        <v>5.0557191198168061</v>
      </c>
      <c r="E1742" s="232">
        <v>31.88</v>
      </c>
      <c r="F1742" s="35">
        <v>5.0474013674217328</v>
      </c>
      <c r="G1742" s="232">
        <v>11555.06</v>
      </c>
      <c r="H1742" s="35">
        <v>8.7129176412217131</v>
      </c>
      <c r="I1742" s="232">
        <v>11662.73</v>
      </c>
      <c r="J1742" s="35">
        <v>7.2798683979750178</v>
      </c>
      <c r="K1742" s="232">
        <v>16233.02</v>
      </c>
      <c r="L1742" s="35">
        <v>8.7297442579344633</v>
      </c>
      <c r="M1742" s="232">
        <v>42417.25</v>
      </c>
      <c r="N1742" s="35">
        <v>7.6304378490374587</v>
      </c>
      <c r="P1742" s="232">
        <v>-21.1</v>
      </c>
      <c r="Q1742" s="35">
        <v>8.3177523950732635E-3</v>
      </c>
      <c r="R1742" s="232">
        <v>107.67</v>
      </c>
      <c r="S1742" s="35">
        <v>1.4330492432466952</v>
      </c>
      <c r="T1742" s="232">
        <v>26184.23</v>
      </c>
      <c r="U1742" s="35">
        <v>1.0993064088970046</v>
      </c>
      <c r="W1742" s="35">
        <f t="shared" si="169"/>
        <v>436.98761975366318</v>
      </c>
      <c r="X1742" s="35">
        <f t="shared" si="170"/>
        <v>71544.792162334765</v>
      </c>
      <c r="Y1742" s="35">
        <f t="shared" si="171"/>
        <v>28781.09044485023</v>
      </c>
      <c r="Z1742" s="35">
        <f t="shared" si="172"/>
        <v>0</v>
      </c>
      <c r="AA1742" s="35">
        <f t="shared" si="173"/>
        <v>1</v>
      </c>
      <c r="AB1742" s="35">
        <f t="shared" si="174"/>
        <v>0</v>
      </c>
    </row>
    <row r="1743" spans="1:28">
      <c r="A1743" s="35">
        <v>1732</v>
      </c>
      <c r="B1743" s="35">
        <v>4.91628363860519E-4</v>
      </c>
      <c r="C1743" s="232">
        <v>68.41</v>
      </c>
      <c r="D1743" s="35">
        <v>5.0621368431551632</v>
      </c>
      <c r="E1743" s="232">
        <v>45.81</v>
      </c>
      <c r="F1743" s="35">
        <v>5.0528398228539162</v>
      </c>
      <c r="G1743" s="232">
        <v>9830.2099999999991</v>
      </c>
      <c r="H1743" s="35">
        <v>8.2314654750195508</v>
      </c>
      <c r="I1743" s="232">
        <v>9716.4599999999991</v>
      </c>
      <c r="J1743" s="35">
        <v>6.8123935157402702</v>
      </c>
      <c r="K1743" s="232">
        <v>16049.09</v>
      </c>
      <c r="L1743" s="35">
        <v>8.6931606277531532</v>
      </c>
      <c r="M1743" s="232">
        <v>42372.47</v>
      </c>
      <c r="N1743" s="35">
        <v>7.5928819446949252</v>
      </c>
      <c r="P1743" s="232">
        <v>-22.6</v>
      </c>
      <c r="Q1743" s="35">
        <v>9.2970203012470165E-3</v>
      </c>
      <c r="R1743" s="232">
        <v>-113.75</v>
      </c>
      <c r="S1743" s="35">
        <v>1.4190719592792806</v>
      </c>
      <c r="T1743" s="232">
        <v>26323.38</v>
      </c>
      <c r="U1743" s="35">
        <v>1.1002786830582281</v>
      </c>
      <c r="W1743" s="35">
        <f t="shared" si="169"/>
        <v>487.45101506235085</v>
      </c>
      <c r="X1743" s="35">
        <f t="shared" si="170"/>
        <v>71067.347963964028</v>
      </c>
      <c r="Y1743" s="35">
        <f t="shared" si="171"/>
        <v>28690.554152911402</v>
      </c>
      <c r="Z1743" s="35">
        <f t="shared" si="172"/>
        <v>0</v>
      </c>
      <c r="AA1743" s="35">
        <f t="shared" si="173"/>
        <v>1</v>
      </c>
      <c r="AB1743" s="35">
        <f t="shared" si="174"/>
        <v>0</v>
      </c>
    </row>
    <row r="1744" spans="1:28">
      <c r="A1744" s="35">
        <v>1733</v>
      </c>
      <c r="B1744" s="35">
        <v>3.7018967437377269E-4</v>
      </c>
      <c r="C1744" s="232">
        <v>71</v>
      </c>
      <c r="D1744" s="35">
        <v>5.0606624496327495</v>
      </c>
      <c r="E1744" s="232">
        <v>40.75</v>
      </c>
      <c r="F1744" s="35">
        <v>5.0497997320409169</v>
      </c>
      <c r="G1744" s="232">
        <v>15644.99</v>
      </c>
      <c r="H1744" s="35">
        <v>9.8912360931143066</v>
      </c>
      <c r="I1744" s="232">
        <v>16783</v>
      </c>
      <c r="J1744" s="35">
        <v>8.8105792841519772</v>
      </c>
      <c r="K1744" s="232">
        <v>19616.88</v>
      </c>
      <c r="L1744" s="35">
        <v>8.8704094368791679</v>
      </c>
      <c r="M1744" s="232">
        <v>46042.3</v>
      </c>
      <c r="N1744" s="35">
        <v>7.6943348019559457</v>
      </c>
      <c r="P1744" s="232">
        <v>-30.25</v>
      </c>
      <c r="Q1744" s="35">
        <v>1.0862717591832549E-2</v>
      </c>
      <c r="R1744" s="232">
        <v>1138.01</v>
      </c>
      <c r="S1744" s="35">
        <v>1.0806568089623294</v>
      </c>
      <c r="T1744" s="232">
        <v>26425.43</v>
      </c>
      <c r="U1744" s="35">
        <v>1.1760746349232223</v>
      </c>
      <c r="W1744" s="35">
        <f t="shared" si="169"/>
        <v>573.38587959162749</v>
      </c>
      <c r="X1744" s="35">
        <f t="shared" si="170"/>
        <v>52894.830448116467</v>
      </c>
      <c r="Y1744" s="35">
        <f t="shared" si="171"/>
        <v>32378.301746161116</v>
      </c>
      <c r="Z1744" s="35">
        <f t="shared" si="172"/>
        <v>0</v>
      </c>
      <c r="AA1744" s="35">
        <f t="shared" si="173"/>
        <v>1</v>
      </c>
      <c r="AB1744" s="35">
        <f t="shared" si="174"/>
        <v>0</v>
      </c>
    </row>
    <row r="1745" spans="1:28">
      <c r="A1745" s="35">
        <v>1734</v>
      </c>
      <c r="B1745" s="35">
        <v>6.0915538919747991E-4</v>
      </c>
      <c r="C1745" s="232">
        <v>88.29</v>
      </c>
      <c r="D1745" s="35">
        <v>5.068538748543908</v>
      </c>
      <c r="E1745" s="232">
        <v>48.97</v>
      </c>
      <c r="F1745" s="35">
        <v>5.0536318707549617</v>
      </c>
      <c r="G1745" s="232">
        <v>10934.88</v>
      </c>
      <c r="H1745" s="35">
        <v>8.7102476515782552</v>
      </c>
      <c r="I1745" s="232">
        <v>12101.98</v>
      </c>
      <c r="J1745" s="35">
        <v>7.9158669080100204</v>
      </c>
      <c r="K1745" s="232">
        <v>14124.33</v>
      </c>
      <c r="L1745" s="35">
        <v>8.2949410662076364</v>
      </c>
      <c r="M1745" s="232">
        <v>40074.85</v>
      </c>
      <c r="N1745" s="35">
        <v>7.1903149484530307</v>
      </c>
      <c r="P1745" s="232">
        <v>-39.32</v>
      </c>
      <c r="Q1745" s="35">
        <v>1.4906877788946282E-2</v>
      </c>
      <c r="R1745" s="232">
        <v>1167.0999999999999</v>
      </c>
      <c r="S1745" s="35">
        <v>0.79438074356823485</v>
      </c>
      <c r="T1745" s="232">
        <v>25950.51</v>
      </c>
      <c r="U1745" s="35">
        <v>1.1046261177546057</v>
      </c>
      <c r="W1745" s="35">
        <f t="shared" si="169"/>
        <v>784.6638894473142</v>
      </c>
      <c r="X1745" s="35">
        <f t="shared" si="170"/>
        <v>38551.937178411747</v>
      </c>
      <c r="Y1745" s="35">
        <f t="shared" si="171"/>
        <v>29280.795887730284</v>
      </c>
      <c r="Z1745" s="35">
        <f t="shared" si="172"/>
        <v>0</v>
      </c>
      <c r="AA1745" s="35">
        <f t="shared" si="173"/>
        <v>1</v>
      </c>
      <c r="AB1745" s="35">
        <f t="shared" si="174"/>
        <v>0</v>
      </c>
    </row>
    <row r="1746" spans="1:28">
      <c r="A1746" s="35">
        <v>1735</v>
      </c>
      <c r="B1746" s="35">
        <v>6.1880619588339236E-4</v>
      </c>
      <c r="C1746" s="232">
        <v>118.89</v>
      </c>
      <c r="D1746" s="35">
        <v>5.0698925175286131</v>
      </c>
      <c r="E1746" s="232">
        <v>73.72</v>
      </c>
      <c r="F1746" s="35">
        <v>5.0567582795723087</v>
      </c>
      <c r="G1746" s="232">
        <v>13242.6</v>
      </c>
      <c r="H1746" s="35">
        <v>8.4174518915171284</v>
      </c>
      <c r="I1746" s="232">
        <v>11878.05</v>
      </c>
      <c r="J1746" s="35">
        <v>6.9726832207817813</v>
      </c>
      <c r="K1746" s="232">
        <v>23100.91</v>
      </c>
      <c r="L1746" s="35">
        <v>9.0511831845876642</v>
      </c>
      <c r="M1746" s="232">
        <v>49790.39</v>
      </c>
      <c r="N1746" s="35">
        <v>7.9600882777239566</v>
      </c>
      <c r="P1746" s="232">
        <v>-45.17</v>
      </c>
      <c r="Q1746" s="35">
        <v>1.3134237956304418E-2</v>
      </c>
      <c r="R1746" s="232">
        <v>-1364.55</v>
      </c>
      <c r="S1746" s="35">
        <v>1.4447686707353471</v>
      </c>
      <c r="T1746" s="232">
        <v>26689.48</v>
      </c>
      <c r="U1746" s="35">
        <v>1.0910949068637077</v>
      </c>
      <c r="W1746" s="35">
        <f t="shared" si="169"/>
        <v>701.8818978152209</v>
      </c>
      <c r="X1746" s="35">
        <f t="shared" si="170"/>
        <v>73602.983536767351</v>
      </c>
      <c r="Y1746" s="35">
        <f t="shared" si="171"/>
        <v>27865.265343185387</v>
      </c>
      <c r="Z1746" s="35">
        <f t="shared" si="172"/>
        <v>0</v>
      </c>
      <c r="AA1746" s="35">
        <f t="shared" si="173"/>
        <v>1</v>
      </c>
      <c r="AB1746" s="35">
        <f t="shared" si="174"/>
        <v>0</v>
      </c>
    </row>
    <row r="1747" spans="1:28">
      <c r="A1747" s="35">
        <v>1736</v>
      </c>
      <c r="B1747" s="35">
        <v>3.3625760157352593E-4</v>
      </c>
      <c r="C1747" s="232">
        <v>51.19</v>
      </c>
      <c r="D1747" s="35">
        <v>5.0560895526288423</v>
      </c>
      <c r="E1747" s="232">
        <v>31.96</v>
      </c>
      <c r="F1747" s="35">
        <v>5.0479640620994868</v>
      </c>
      <c r="G1747" s="232">
        <v>12173.06</v>
      </c>
      <c r="H1747" s="35">
        <v>9.0436449829332055</v>
      </c>
      <c r="I1747" s="232">
        <v>13965.19</v>
      </c>
      <c r="J1747" s="35">
        <v>8.548982182716145</v>
      </c>
      <c r="K1747" s="232">
        <v>15220.28</v>
      </c>
      <c r="L1747" s="35">
        <v>8.7188698882078111</v>
      </c>
      <c r="M1747" s="232">
        <v>41264.53</v>
      </c>
      <c r="N1747" s="35">
        <v>7.6959529940426732</v>
      </c>
      <c r="P1747" s="232">
        <v>-19.23</v>
      </c>
      <c r="Q1747" s="35">
        <v>8.1254905293555169E-3</v>
      </c>
      <c r="R1747" s="232">
        <v>1792.13</v>
      </c>
      <c r="S1747" s="35">
        <v>0.49466280021706055</v>
      </c>
      <c r="T1747" s="232">
        <v>26044.26</v>
      </c>
      <c r="U1747" s="35">
        <v>1.0229168941651379</v>
      </c>
      <c r="W1747" s="35">
        <f t="shared" si="169"/>
        <v>425.50452646777586</v>
      </c>
      <c r="X1747" s="35">
        <f t="shared" si="170"/>
        <v>22941.010010853028</v>
      </c>
      <c r="Y1747" s="35">
        <f t="shared" si="171"/>
        <v>25101.584708256898</v>
      </c>
      <c r="Z1747" s="35">
        <f t="shared" si="172"/>
        <v>0</v>
      </c>
      <c r="AA1747" s="35">
        <f t="shared" si="173"/>
        <v>0</v>
      </c>
      <c r="AB1747" s="35">
        <f t="shared" si="174"/>
        <v>1</v>
      </c>
    </row>
    <row r="1748" spans="1:28">
      <c r="A1748" s="35">
        <v>1737</v>
      </c>
      <c r="B1748" s="35">
        <v>4.6466388476440468E-4</v>
      </c>
      <c r="C1748" s="232">
        <v>90.93</v>
      </c>
      <c r="D1748" s="35">
        <v>5.0628561984463429</v>
      </c>
      <c r="E1748" s="232">
        <v>53.94</v>
      </c>
      <c r="F1748" s="35">
        <v>5.0517069358410627</v>
      </c>
      <c r="G1748" s="232">
        <v>15311.45</v>
      </c>
      <c r="H1748" s="35">
        <v>9.0426383082199653</v>
      </c>
      <c r="I1748" s="232">
        <v>16185.54</v>
      </c>
      <c r="J1748" s="35">
        <v>8.1783530905653894</v>
      </c>
      <c r="K1748" s="232">
        <v>20288.5</v>
      </c>
      <c r="L1748" s="35">
        <v>8.5897055286543083</v>
      </c>
      <c r="M1748" s="232">
        <v>46559.57</v>
      </c>
      <c r="N1748" s="35">
        <v>7.5674490053868855</v>
      </c>
      <c r="P1748" s="232">
        <v>-36.99</v>
      </c>
      <c r="Q1748" s="35">
        <v>1.1149262605280263E-2</v>
      </c>
      <c r="R1748" s="232">
        <v>874.09</v>
      </c>
      <c r="S1748" s="35">
        <v>0.86428521765457589</v>
      </c>
      <c r="T1748" s="232">
        <v>26271.06</v>
      </c>
      <c r="U1748" s="35">
        <v>1.0222565232674228</v>
      </c>
      <c r="W1748" s="35">
        <f t="shared" si="169"/>
        <v>594.45313026401323</v>
      </c>
      <c r="X1748" s="35">
        <f t="shared" si="170"/>
        <v>42340.170882728795</v>
      </c>
      <c r="Y1748" s="35">
        <f t="shared" si="171"/>
        <v>24841.766163371136</v>
      </c>
      <c r="Z1748" s="35">
        <f t="shared" si="172"/>
        <v>0</v>
      </c>
      <c r="AA1748" s="35">
        <f t="shared" si="173"/>
        <v>1</v>
      </c>
      <c r="AB1748" s="35">
        <f t="shared" si="174"/>
        <v>0</v>
      </c>
    </row>
    <row r="1749" spans="1:28">
      <c r="A1749" s="35">
        <v>1738</v>
      </c>
      <c r="B1749" s="35">
        <v>5.1258960451860958E-4</v>
      </c>
      <c r="C1749" s="232">
        <v>49.44</v>
      </c>
      <c r="D1749" s="35">
        <v>5.0645329678113793</v>
      </c>
      <c r="E1749" s="232">
        <v>32.86</v>
      </c>
      <c r="F1749" s="35">
        <v>5.0536388965878558</v>
      </c>
      <c r="G1749" s="232">
        <v>7386.65</v>
      </c>
      <c r="H1749" s="35">
        <v>8.6543777700783977</v>
      </c>
      <c r="I1749" s="232">
        <v>9347.99</v>
      </c>
      <c r="J1749" s="35">
        <v>7.7090203883262332</v>
      </c>
      <c r="K1749" s="232">
        <v>6664.58</v>
      </c>
      <c r="L1749" s="35">
        <v>8.7087830269467634</v>
      </c>
      <c r="M1749" s="232">
        <v>32164.53</v>
      </c>
      <c r="N1749" s="35">
        <v>7.6489290671710313</v>
      </c>
      <c r="P1749" s="232">
        <v>-16.579999999999998</v>
      </c>
      <c r="Q1749" s="35">
        <v>1.0894071223523483E-2</v>
      </c>
      <c r="R1749" s="232">
        <v>1961.34</v>
      </c>
      <c r="S1749" s="35">
        <v>0.94535738175216455</v>
      </c>
      <c r="T1749" s="232">
        <v>25499.96</v>
      </c>
      <c r="U1749" s="35">
        <v>1.0598539597757322</v>
      </c>
      <c r="W1749" s="35">
        <f t="shared" si="169"/>
        <v>561.2835611761742</v>
      </c>
      <c r="X1749" s="35">
        <f t="shared" si="170"/>
        <v>45306.529087608229</v>
      </c>
      <c r="Y1749" s="35">
        <f t="shared" si="171"/>
        <v>27492.737988786612</v>
      </c>
      <c r="Z1749" s="35">
        <f t="shared" si="172"/>
        <v>0</v>
      </c>
      <c r="AA1749" s="35">
        <f t="shared" si="173"/>
        <v>1</v>
      </c>
      <c r="AB1749" s="35">
        <f t="shared" si="174"/>
        <v>0</v>
      </c>
    </row>
    <row r="1750" spans="1:28">
      <c r="A1750" s="35">
        <v>1739</v>
      </c>
      <c r="B1750" s="35">
        <v>4.7261490448835541E-4</v>
      </c>
      <c r="C1750" s="232">
        <v>66.959999999999994</v>
      </c>
      <c r="D1750" s="35">
        <v>5.0625879648347976</v>
      </c>
      <c r="E1750" s="232">
        <v>37.64</v>
      </c>
      <c r="F1750" s="35">
        <v>5.05043778539609</v>
      </c>
      <c r="G1750" s="232">
        <v>10650.04</v>
      </c>
      <c r="H1750" s="35">
        <v>8.8413893303671003</v>
      </c>
      <c r="I1750" s="232">
        <v>12259.38</v>
      </c>
      <c r="J1750" s="35">
        <v>8.3396427056282896</v>
      </c>
      <c r="K1750" s="232">
        <v>13975.35</v>
      </c>
      <c r="L1750" s="35">
        <v>8.4832810172694888</v>
      </c>
      <c r="M1750" s="232">
        <v>40098.39</v>
      </c>
      <c r="N1750" s="35">
        <v>7.2982849961729714</v>
      </c>
      <c r="P1750" s="232">
        <v>-29.32</v>
      </c>
      <c r="Q1750" s="35">
        <v>1.2150179438707553E-2</v>
      </c>
      <c r="R1750" s="232">
        <v>1609.34</v>
      </c>
      <c r="S1750" s="35">
        <v>0.50174662473881071</v>
      </c>
      <c r="T1750" s="232">
        <v>26123.040000000001</v>
      </c>
      <c r="U1750" s="35">
        <v>1.1849960210965174</v>
      </c>
      <c r="W1750" s="35">
        <f t="shared" si="169"/>
        <v>636.82897193537769</v>
      </c>
      <c r="X1750" s="35">
        <f t="shared" si="170"/>
        <v>23477.991236940536</v>
      </c>
      <c r="Y1750" s="35">
        <f t="shared" si="171"/>
        <v>33126.761054825867</v>
      </c>
      <c r="Z1750" s="35">
        <f t="shared" si="172"/>
        <v>0</v>
      </c>
      <c r="AA1750" s="35">
        <f t="shared" si="173"/>
        <v>0</v>
      </c>
      <c r="AB1750" s="35">
        <f t="shared" si="174"/>
        <v>1</v>
      </c>
    </row>
    <row r="1751" spans="1:28">
      <c r="A1751" s="35">
        <v>1740</v>
      </c>
      <c r="B1751" s="35">
        <v>5.359919587791806E-4</v>
      </c>
      <c r="C1751" s="232">
        <v>92.73</v>
      </c>
      <c r="D1751" s="35">
        <v>5.0660276407274836</v>
      </c>
      <c r="E1751" s="232">
        <v>52.68</v>
      </c>
      <c r="F1751" s="35">
        <v>5.0527774373416632</v>
      </c>
      <c r="G1751" s="232">
        <v>13856.08</v>
      </c>
      <c r="H1751" s="35">
        <v>8.8589537181387605</v>
      </c>
      <c r="I1751" s="232">
        <v>14498.19</v>
      </c>
      <c r="J1751" s="35">
        <v>7.294566863823829</v>
      </c>
      <c r="K1751" s="232">
        <v>17296.55</v>
      </c>
      <c r="L1751" s="35">
        <v>8.6734691406570192</v>
      </c>
      <c r="M1751" s="232">
        <v>43443.19</v>
      </c>
      <c r="N1751" s="35">
        <v>7.6386695917623149</v>
      </c>
      <c r="P1751" s="232">
        <v>-40.049999999999997</v>
      </c>
      <c r="Q1751" s="35">
        <v>1.3250203385820392E-2</v>
      </c>
      <c r="R1751" s="232">
        <v>642.11</v>
      </c>
      <c r="S1751" s="35">
        <v>1.5643868543149315</v>
      </c>
      <c r="T1751" s="232">
        <v>26146.639999999999</v>
      </c>
      <c r="U1751" s="35">
        <v>1.0347995488947044</v>
      </c>
      <c r="W1751" s="35">
        <f t="shared" si="169"/>
        <v>702.56016929101952</v>
      </c>
      <c r="X1751" s="35">
        <f t="shared" si="170"/>
        <v>77577.232715746577</v>
      </c>
      <c r="Y1751" s="35">
        <f t="shared" si="171"/>
        <v>25593.337444735218</v>
      </c>
      <c r="Z1751" s="35">
        <f t="shared" si="172"/>
        <v>0</v>
      </c>
      <c r="AA1751" s="35">
        <f t="shared" si="173"/>
        <v>1</v>
      </c>
      <c r="AB1751" s="35">
        <f t="shared" si="174"/>
        <v>0</v>
      </c>
    </row>
    <row r="1752" spans="1:28">
      <c r="A1752" s="35">
        <v>1741</v>
      </c>
      <c r="B1752" s="35">
        <v>4.4870018254528077E-4</v>
      </c>
      <c r="C1752" s="232">
        <v>64.53</v>
      </c>
      <c r="D1752" s="35">
        <v>5.0583594354720542</v>
      </c>
      <c r="E1752" s="232">
        <v>34.479999999999997</v>
      </c>
      <c r="F1752" s="35">
        <v>5.0476820603391408</v>
      </c>
      <c r="G1752" s="232">
        <v>11134.84</v>
      </c>
      <c r="H1752" s="35">
        <v>7.9145444369515676</v>
      </c>
      <c r="I1752" s="232">
        <v>12203.39</v>
      </c>
      <c r="J1752" s="35">
        <v>6.8083098674571687</v>
      </c>
      <c r="K1752" s="232">
        <v>15171.2</v>
      </c>
      <c r="L1752" s="35">
        <v>8.4456025446307947</v>
      </c>
      <c r="M1752" s="232">
        <v>41219.22</v>
      </c>
      <c r="N1752" s="35">
        <v>7.258959174313258</v>
      </c>
      <c r="P1752" s="232">
        <v>-30.05</v>
      </c>
      <c r="Q1752" s="35">
        <v>1.0677375132913447E-2</v>
      </c>
      <c r="R1752" s="232">
        <v>1068.55</v>
      </c>
      <c r="S1752" s="35">
        <v>1.1062345694943989</v>
      </c>
      <c r="T1752" s="232">
        <v>26048.02</v>
      </c>
      <c r="U1752" s="35">
        <v>1.1866433703175367</v>
      </c>
      <c r="W1752" s="35">
        <f t="shared" si="169"/>
        <v>563.91875664567226</v>
      </c>
      <c r="X1752" s="35">
        <f t="shared" si="170"/>
        <v>54243.178474719942</v>
      </c>
      <c r="Y1752" s="35">
        <f t="shared" si="171"/>
        <v>33284.148515876834</v>
      </c>
      <c r="Z1752" s="35">
        <f t="shared" si="172"/>
        <v>0</v>
      </c>
      <c r="AA1752" s="35">
        <f t="shared" si="173"/>
        <v>1</v>
      </c>
      <c r="AB1752" s="35">
        <f t="shared" si="174"/>
        <v>0</v>
      </c>
    </row>
    <row r="1753" spans="1:28">
      <c r="A1753" s="35">
        <v>1742</v>
      </c>
      <c r="B1753" s="35">
        <v>4.1231699175693957E-4</v>
      </c>
      <c r="C1753" s="232">
        <v>68.06</v>
      </c>
      <c r="D1753" s="35">
        <v>5.0584762716848042</v>
      </c>
      <c r="E1753" s="232">
        <v>38.31</v>
      </c>
      <c r="F1753" s="35">
        <v>5.0483858538361144</v>
      </c>
      <c r="G1753" s="232">
        <v>12637.95</v>
      </c>
      <c r="H1753" s="35">
        <v>8.5213876321533668</v>
      </c>
      <c r="I1753" s="232">
        <v>13601.04</v>
      </c>
      <c r="J1753" s="35">
        <v>7.4382027865538847</v>
      </c>
      <c r="K1753" s="232">
        <v>15854.25</v>
      </c>
      <c r="L1753" s="35">
        <v>8.5458302449067176</v>
      </c>
      <c r="M1753" s="232">
        <v>42103.29</v>
      </c>
      <c r="N1753" s="35">
        <v>7.4391840553622215</v>
      </c>
      <c r="P1753" s="232">
        <v>-29.75</v>
      </c>
      <c r="Q1753" s="35">
        <v>1.0090417848689803E-2</v>
      </c>
      <c r="R1753" s="232">
        <v>963.09</v>
      </c>
      <c r="S1753" s="35">
        <v>1.0831848455994821</v>
      </c>
      <c r="T1753" s="232">
        <v>26249.040000000001</v>
      </c>
      <c r="U1753" s="35">
        <v>1.1066461895444961</v>
      </c>
      <c r="W1753" s="35">
        <f t="shared" si="169"/>
        <v>534.27089243449018</v>
      </c>
      <c r="X1753" s="35">
        <f t="shared" si="170"/>
        <v>53196.152279974107</v>
      </c>
      <c r="Y1753" s="35">
        <f t="shared" si="171"/>
        <v>29083.269477224807</v>
      </c>
      <c r="Z1753" s="35">
        <f t="shared" si="172"/>
        <v>0</v>
      </c>
      <c r="AA1753" s="35">
        <f t="shared" si="173"/>
        <v>1</v>
      </c>
      <c r="AB1753" s="35">
        <f t="shared" si="174"/>
        <v>0</v>
      </c>
    </row>
    <row r="1754" spans="1:28">
      <c r="A1754" s="35">
        <v>1743</v>
      </c>
      <c r="B1754" s="35">
        <v>4.1716153686303855E-4</v>
      </c>
      <c r="C1754" s="232">
        <v>53.3</v>
      </c>
      <c r="D1754" s="35">
        <v>5.0592149120053014</v>
      </c>
      <c r="E1754" s="232">
        <v>34.68</v>
      </c>
      <c r="F1754" s="35">
        <v>5.0503146305351807</v>
      </c>
      <c r="G1754" s="232">
        <v>10881.16</v>
      </c>
      <c r="H1754" s="35">
        <v>8.7445212361399314</v>
      </c>
      <c r="I1754" s="232">
        <v>13218.37</v>
      </c>
      <c r="J1754" s="35">
        <v>7.629156606092093</v>
      </c>
      <c r="K1754" s="232">
        <v>10731.73</v>
      </c>
      <c r="L1754" s="35">
        <v>8.4329121270549958</v>
      </c>
      <c r="M1754" s="232">
        <v>36554.39</v>
      </c>
      <c r="N1754" s="35">
        <v>7.3379659705498375</v>
      </c>
      <c r="P1754" s="232">
        <v>-18.61</v>
      </c>
      <c r="Q1754" s="35">
        <v>8.9002814701206745E-3</v>
      </c>
      <c r="R1754" s="232">
        <v>2337.21</v>
      </c>
      <c r="S1754" s="35">
        <v>1.1153646300478384</v>
      </c>
      <c r="T1754" s="232">
        <v>25822.66</v>
      </c>
      <c r="U1754" s="35">
        <v>1.0949461565051584</v>
      </c>
      <c r="W1754" s="35">
        <f t="shared" si="169"/>
        <v>463.62407350603371</v>
      </c>
      <c r="X1754" s="35">
        <f t="shared" si="170"/>
        <v>53431.021502391923</v>
      </c>
      <c r="Y1754" s="35">
        <f t="shared" si="171"/>
        <v>28924.647825257922</v>
      </c>
      <c r="Z1754" s="35">
        <f t="shared" si="172"/>
        <v>0</v>
      </c>
      <c r="AA1754" s="35">
        <f t="shared" si="173"/>
        <v>1</v>
      </c>
      <c r="AB1754" s="35">
        <f t="shared" si="174"/>
        <v>0</v>
      </c>
    </row>
    <row r="1755" spans="1:28">
      <c r="A1755" s="35">
        <v>1744</v>
      </c>
      <c r="B1755" s="35">
        <v>5.2222493914677592E-4</v>
      </c>
      <c r="C1755" s="232">
        <v>83.74</v>
      </c>
      <c r="D1755" s="35">
        <v>5.0651832668379058</v>
      </c>
      <c r="E1755" s="232">
        <v>47.63</v>
      </c>
      <c r="F1755" s="35">
        <v>5.0522326231934409</v>
      </c>
      <c r="G1755" s="232">
        <v>13152.17</v>
      </c>
      <c r="H1755" s="35">
        <v>8.5870315165843856</v>
      </c>
      <c r="I1755" s="232">
        <v>15421.97</v>
      </c>
      <c r="J1755" s="35">
        <v>8.6685134344613068</v>
      </c>
      <c r="K1755" s="232">
        <v>15778.03</v>
      </c>
      <c r="L1755" s="35">
        <v>9.0166745689288916</v>
      </c>
      <c r="M1755" s="232">
        <v>41925.980000000003</v>
      </c>
      <c r="N1755" s="35">
        <v>7.8751311893638336</v>
      </c>
      <c r="P1755" s="232">
        <v>-36.11</v>
      </c>
      <c r="Q1755" s="35">
        <v>1.2950643644464854E-2</v>
      </c>
      <c r="R1755" s="232">
        <v>2269.79</v>
      </c>
      <c r="S1755" s="35">
        <v>-8.1481917876921273E-2</v>
      </c>
      <c r="T1755" s="232">
        <v>26147.96</v>
      </c>
      <c r="U1755" s="35">
        <v>1.141543379565058</v>
      </c>
      <c r="W1755" s="35">
        <f t="shared" si="169"/>
        <v>683.64218222324268</v>
      </c>
      <c r="X1755" s="35">
        <f t="shared" si="170"/>
        <v>-6343.8858938460635</v>
      </c>
      <c r="Y1755" s="35">
        <f t="shared" si="171"/>
        <v>30929.2089782529</v>
      </c>
      <c r="Z1755" s="35">
        <f t="shared" si="172"/>
        <v>0</v>
      </c>
      <c r="AA1755" s="35">
        <f t="shared" si="173"/>
        <v>0</v>
      </c>
      <c r="AB1755" s="35">
        <f t="shared" si="174"/>
        <v>1</v>
      </c>
    </row>
    <row r="1756" spans="1:28">
      <c r="A1756" s="35">
        <v>1745</v>
      </c>
      <c r="B1756" s="35">
        <v>4.4389441626048172E-4</v>
      </c>
      <c r="C1756" s="232">
        <v>64.61</v>
      </c>
      <c r="D1756" s="35">
        <v>5.0618257331758887</v>
      </c>
      <c r="E1756" s="232">
        <v>38.17</v>
      </c>
      <c r="F1756" s="35">
        <v>5.0506893406095319</v>
      </c>
      <c r="G1756" s="232">
        <v>11349.84</v>
      </c>
      <c r="H1756" s="35">
        <v>8.7947962429860276</v>
      </c>
      <c r="I1756" s="232">
        <v>12287.51</v>
      </c>
      <c r="J1756" s="35">
        <v>7.6051169751629333</v>
      </c>
      <c r="K1756" s="232">
        <v>15866.96</v>
      </c>
      <c r="L1756" s="35">
        <v>8.975198381602322</v>
      </c>
      <c r="M1756" s="232">
        <v>42107.19</v>
      </c>
      <c r="N1756" s="35">
        <v>7.862015379157536</v>
      </c>
      <c r="P1756" s="232">
        <v>-26.44</v>
      </c>
      <c r="Q1756" s="35">
        <v>1.113639256635679E-2</v>
      </c>
      <c r="R1756" s="232">
        <v>937.67</v>
      </c>
      <c r="S1756" s="35">
        <v>1.1896792678230943</v>
      </c>
      <c r="T1756" s="232">
        <v>26240.23</v>
      </c>
      <c r="U1756" s="35">
        <v>1.113183002444786</v>
      </c>
      <c r="W1756" s="35">
        <f t="shared" si="169"/>
        <v>583.25962831783954</v>
      </c>
      <c r="X1756" s="35">
        <f t="shared" si="170"/>
        <v>58546.293391154715</v>
      </c>
      <c r="Y1756" s="35">
        <f t="shared" si="171"/>
        <v>29418.920122239299</v>
      </c>
      <c r="Z1756" s="35">
        <f t="shared" si="172"/>
        <v>0</v>
      </c>
      <c r="AA1756" s="35">
        <f t="shared" si="173"/>
        <v>1</v>
      </c>
      <c r="AB1756" s="35">
        <f t="shared" si="174"/>
        <v>0</v>
      </c>
    </row>
    <row r="1757" spans="1:28">
      <c r="A1757" s="35">
        <v>1746</v>
      </c>
      <c r="B1757" s="35">
        <v>3.4221467040479605E-4</v>
      </c>
      <c r="C1757" s="232">
        <v>45.95</v>
      </c>
      <c r="D1757" s="35">
        <v>5.0555399811253725</v>
      </c>
      <c r="E1757" s="232">
        <v>27.69</v>
      </c>
      <c r="F1757" s="35">
        <v>5.0471333454471035</v>
      </c>
      <c r="G1757" s="232">
        <v>10861.74</v>
      </c>
      <c r="H1757" s="35">
        <v>8.5437318485705518</v>
      </c>
      <c r="I1757" s="232">
        <v>12731.23</v>
      </c>
      <c r="J1757" s="35">
        <v>7.6666786735573877</v>
      </c>
      <c r="K1757" s="232">
        <v>11964.72</v>
      </c>
      <c r="L1757" s="35">
        <v>8.892375283138227</v>
      </c>
      <c r="M1757" s="232">
        <v>37882.14</v>
      </c>
      <c r="N1757" s="35">
        <v>7.7173496409994025</v>
      </c>
      <c r="P1757" s="232">
        <v>-18.260000000000002</v>
      </c>
      <c r="Q1757" s="35">
        <v>8.4066356782690477E-3</v>
      </c>
      <c r="R1757" s="232">
        <v>1869.5</v>
      </c>
      <c r="S1757" s="35">
        <v>0.87705317501316404</v>
      </c>
      <c r="T1757" s="232">
        <v>25917.42</v>
      </c>
      <c r="U1757" s="35">
        <v>1.1750256421388245</v>
      </c>
      <c r="W1757" s="35">
        <f t="shared" si="169"/>
        <v>438.59178391345239</v>
      </c>
      <c r="X1757" s="35">
        <f t="shared" si="170"/>
        <v>41983.1587506582</v>
      </c>
      <c r="Y1757" s="35">
        <f t="shared" si="171"/>
        <v>32833.862106941226</v>
      </c>
      <c r="Z1757" s="35">
        <f t="shared" si="172"/>
        <v>0</v>
      </c>
      <c r="AA1757" s="35">
        <f t="shared" si="173"/>
        <v>1</v>
      </c>
      <c r="AB1757" s="35">
        <f t="shared" si="174"/>
        <v>0</v>
      </c>
    </row>
    <row r="1758" spans="1:28">
      <c r="A1758" s="35">
        <v>1747</v>
      </c>
      <c r="B1758" s="35">
        <v>4.5084532892669671E-4</v>
      </c>
      <c r="C1758" s="232">
        <v>81.180000000000007</v>
      </c>
      <c r="D1758" s="35">
        <v>5.059603474540209</v>
      </c>
      <c r="E1758" s="232">
        <v>50.51</v>
      </c>
      <c r="F1758" s="35">
        <v>5.0504341072571792</v>
      </c>
      <c r="G1758" s="232">
        <v>12967.42</v>
      </c>
      <c r="H1758" s="35">
        <v>8.1571351944819241</v>
      </c>
      <c r="I1758" s="232">
        <v>11301.27</v>
      </c>
      <c r="J1758" s="35">
        <v>6.0916056064792397</v>
      </c>
      <c r="K1758" s="232">
        <v>19282.11</v>
      </c>
      <c r="L1758" s="35">
        <v>8.6459656632583446</v>
      </c>
      <c r="M1758" s="232">
        <v>45651.360000000001</v>
      </c>
      <c r="N1758" s="35">
        <v>7.5630743295415552</v>
      </c>
      <c r="P1758" s="232">
        <v>-30.66</v>
      </c>
      <c r="Q1758" s="35">
        <v>9.1693672830297501E-3</v>
      </c>
      <c r="R1758" s="232">
        <v>-1666.16</v>
      </c>
      <c r="S1758" s="35">
        <v>2.0655295880026845</v>
      </c>
      <c r="T1758" s="232">
        <v>26369.25</v>
      </c>
      <c r="U1758" s="35">
        <v>1.0828913337167894</v>
      </c>
      <c r="W1758" s="35">
        <f t="shared" si="169"/>
        <v>489.12836415148752</v>
      </c>
      <c r="X1758" s="35">
        <f t="shared" si="170"/>
        <v>104942.63940013423</v>
      </c>
      <c r="Y1758" s="35">
        <f t="shared" si="171"/>
        <v>27775.316685839469</v>
      </c>
      <c r="Z1758" s="35">
        <f t="shared" si="172"/>
        <v>0</v>
      </c>
      <c r="AA1758" s="35">
        <f t="shared" si="173"/>
        <v>1</v>
      </c>
      <c r="AB1758" s="35">
        <f t="shared" si="174"/>
        <v>0</v>
      </c>
    </row>
    <row r="1759" spans="1:28">
      <c r="A1759" s="35">
        <v>1748</v>
      </c>
      <c r="B1759" s="35">
        <v>4.5815507126256705E-4</v>
      </c>
      <c r="C1759" s="232">
        <v>54.78</v>
      </c>
      <c r="D1759" s="35">
        <v>5.0601830445023221</v>
      </c>
      <c r="E1759" s="232">
        <v>35.92</v>
      </c>
      <c r="F1759" s="35">
        <v>5.0510325469630919</v>
      </c>
      <c r="G1759" s="232">
        <v>8748.83</v>
      </c>
      <c r="H1759" s="35">
        <v>8.2121374824644509</v>
      </c>
      <c r="I1759" s="232">
        <v>10168.41</v>
      </c>
      <c r="J1759" s="35">
        <v>7.3893412117732948</v>
      </c>
      <c r="K1759" s="232">
        <v>11532.97</v>
      </c>
      <c r="L1759" s="35">
        <v>8.5145368291096464</v>
      </c>
      <c r="M1759" s="232">
        <v>37591.339999999997</v>
      </c>
      <c r="N1759" s="35">
        <v>7.3517013439289878</v>
      </c>
      <c r="P1759" s="232">
        <v>-18.850000000000001</v>
      </c>
      <c r="Q1759" s="35">
        <v>9.1504975392302512E-3</v>
      </c>
      <c r="R1759" s="232">
        <v>1419.58</v>
      </c>
      <c r="S1759" s="35">
        <v>0.82279627069115602</v>
      </c>
      <c r="T1759" s="232">
        <v>26058.37</v>
      </c>
      <c r="U1759" s="35">
        <v>1.1628354851806586</v>
      </c>
      <c r="W1759" s="35">
        <f t="shared" si="169"/>
        <v>476.3748769615126</v>
      </c>
      <c r="X1759" s="35">
        <f t="shared" si="170"/>
        <v>39720.233534557796</v>
      </c>
      <c r="Y1759" s="35">
        <f t="shared" si="171"/>
        <v>32083.40425903293</v>
      </c>
      <c r="Z1759" s="35">
        <f t="shared" si="172"/>
        <v>0</v>
      </c>
      <c r="AA1759" s="35">
        <f t="shared" si="173"/>
        <v>1</v>
      </c>
      <c r="AB1759" s="35">
        <f t="shared" si="174"/>
        <v>0</v>
      </c>
    </row>
    <row r="1760" spans="1:28">
      <c r="A1760" s="35">
        <v>1749</v>
      </c>
      <c r="B1760" s="35">
        <v>3.8813546730232293E-4</v>
      </c>
      <c r="C1760" s="232">
        <v>64.16</v>
      </c>
      <c r="D1760" s="35">
        <v>5.0583714882083921</v>
      </c>
      <c r="E1760" s="232">
        <v>36.090000000000003</v>
      </c>
      <c r="F1760" s="35">
        <v>5.0482581758155458</v>
      </c>
      <c r="G1760" s="232">
        <v>12652.14</v>
      </c>
      <c r="H1760" s="35">
        <v>8.7674931804327869</v>
      </c>
      <c r="I1760" s="232">
        <v>12489.48</v>
      </c>
      <c r="J1760" s="35">
        <v>7.2906468946247438</v>
      </c>
      <c r="K1760" s="232">
        <v>18585.34</v>
      </c>
      <c r="L1760" s="35">
        <v>8.7791567724687525</v>
      </c>
      <c r="M1760" s="232">
        <v>44733.94</v>
      </c>
      <c r="N1760" s="35">
        <v>7.7017228533048998</v>
      </c>
      <c r="P1760" s="232">
        <v>-28.06</v>
      </c>
      <c r="Q1760" s="35">
        <v>1.0113312392846296E-2</v>
      </c>
      <c r="R1760" s="232">
        <v>-162.66</v>
      </c>
      <c r="S1760" s="35">
        <v>1.4768462858080431</v>
      </c>
      <c r="T1760" s="232">
        <v>26148.6</v>
      </c>
      <c r="U1760" s="35">
        <v>1.0774339191638527</v>
      </c>
      <c r="W1760" s="35">
        <f t="shared" si="169"/>
        <v>533.72561964231477</v>
      </c>
      <c r="X1760" s="35">
        <f t="shared" si="170"/>
        <v>74004.974290402155</v>
      </c>
      <c r="Y1760" s="35">
        <f t="shared" si="171"/>
        <v>27723.095958192636</v>
      </c>
      <c r="Z1760" s="35">
        <f t="shared" si="172"/>
        <v>0</v>
      </c>
      <c r="AA1760" s="35">
        <f t="shared" si="173"/>
        <v>1</v>
      </c>
      <c r="AB1760" s="35">
        <f t="shared" si="174"/>
        <v>0</v>
      </c>
    </row>
    <row r="1761" spans="1:28">
      <c r="A1761" s="35">
        <v>1750</v>
      </c>
      <c r="B1761" s="35">
        <v>3.7101711628697469E-4</v>
      </c>
      <c r="C1761" s="232">
        <v>49.91</v>
      </c>
      <c r="D1761" s="35">
        <v>5.0578502109861585</v>
      </c>
      <c r="E1761" s="232">
        <v>33.130000000000003</v>
      </c>
      <c r="F1761" s="35">
        <v>5.0496884579994408</v>
      </c>
      <c r="G1761" s="232">
        <v>10180.58</v>
      </c>
      <c r="H1761" s="35">
        <v>9.0258986223880324</v>
      </c>
      <c r="I1761" s="232">
        <v>11163.04</v>
      </c>
      <c r="J1761" s="35">
        <v>7.8652155720354529</v>
      </c>
      <c r="K1761" s="232">
        <v>12527.02</v>
      </c>
      <c r="L1761" s="35">
        <v>8.520683514265416</v>
      </c>
      <c r="M1761" s="232">
        <v>38401.49</v>
      </c>
      <c r="N1761" s="35">
        <v>7.4473618437414437</v>
      </c>
      <c r="P1761" s="232">
        <v>-16.78</v>
      </c>
      <c r="Q1761" s="35">
        <v>8.1617529867177296E-3</v>
      </c>
      <c r="R1761" s="232">
        <v>982.46</v>
      </c>
      <c r="S1761" s="35">
        <v>1.1606830503525796</v>
      </c>
      <c r="T1761" s="232">
        <v>25874.47</v>
      </c>
      <c r="U1761" s="35">
        <v>1.0733216705239723</v>
      </c>
      <c r="W1761" s="35">
        <f t="shared" si="169"/>
        <v>424.86764933588643</v>
      </c>
      <c r="X1761" s="35">
        <f t="shared" si="170"/>
        <v>57051.692517628981</v>
      </c>
      <c r="Y1761" s="35">
        <f t="shared" si="171"/>
        <v>27791.613526198613</v>
      </c>
      <c r="Z1761" s="35">
        <f t="shared" si="172"/>
        <v>0</v>
      </c>
      <c r="AA1761" s="35">
        <f t="shared" si="173"/>
        <v>1</v>
      </c>
      <c r="AB1761" s="35">
        <f t="shared" si="174"/>
        <v>0</v>
      </c>
    </row>
    <row r="1762" spans="1:28">
      <c r="A1762" s="35">
        <v>1751</v>
      </c>
      <c r="B1762" s="35">
        <v>3.490380072000591E-4</v>
      </c>
      <c r="C1762" s="232">
        <v>74.62</v>
      </c>
      <c r="D1762" s="35">
        <v>5.058208371574838</v>
      </c>
      <c r="E1762" s="232">
        <v>50.08</v>
      </c>
      <c r="F1762" s="35">
        <v>5.0505396803896137</v>
      </c>
      <c r="G1762" s="232">
        <v>16808.54</v>
      </c>
      <c r="H1762" s="35">
        <v>9.2976758985013763</v>
      </c>
      <c r="I1762" s="232">
        <v>16673.84</v>
      </c>
      <c r="J1762" s="35">
        <v>7.6953096580033939</v>
      </c>
      <c r="K1762" s="232">
        <v>23076.03</v>
      </c>
      <c r="L1762" s="35">
        <v>8.6963008434087605</v>
      </c>
      <c r="M1762" s="232">
        <v>49802.35</v>
      </c>
      <c r="N1762" s="35">
        <v>7.4308614318983395</v>
      </c>
      <c r="P1762" s="232">
        <v>-24.54</v>
      </c>
      <c r="Q1762" s="35">
        <v>7.6686911852243966E-3</v>
      </c>
      <c r="R1762" s="232">
        <v>-134.69999999999999</v>
      </c>
      <c r="S1762" s="35">
        <v>1.6023662404979824</v>
      </c>
      <c r="T1762" s="232">
        <v>26726.32</v>
      </c>
      <c r="U1762" s="35">
        <v>1.2654394115104211</v>
      </c>
      <c r="W1762" s="35">
        <f t="shared" si="169"/>
        <v>407.97455926121984</v>
      </c>
      <c r="X1762" s="35">
        <f t="shared" si="170"/>
        <v>80253.012024899115</v>
      </c>
      <c r="Y1762" s="35">
        <f t="shared" si="171"/>
        <v>36545.650575521053</v>
      </c>
      <c r="Z1762" s="35">
        <f t="shared" si="172"/>
        <v>0</v>
      </c>
      <c r="AA1762" s="35">
        <f t="shared" si="173"/>
        <v>1</v>
      </c>
      <c r="AB1762" s="35">
        <f t="shared" si="174"/>
        <v>0</v>
      </c>
    </row>
    <row r="1763" spans="1:28">
      <c r="A1763" s="35">
        <v>1752</v>
      </c>
      <c r="B1763" s="35">
        <v>5.1724475049530483E-4</v>
      </c>
      <c r="C1763" s="232">
        <v>76.94</v>
      </c>
      <c r="D1763" s="35">
        <v>5.0655253427204165</v>
      </c>
      <c r="E1763" s="232">
        <v>42.47</v>
      </c>
      <c r="F1763" s="35">
        <v>5.0518449737058022</v>
      </c>
      <c r="G1763" s="232">
        <v>12007.45</v>
      </c>
      <c r="H1763" s="35">
        <v>8.9185623557348102</v>
      </c>
      <c r="I1763" s="232">
        <v>13945.02</v>
      </c>
      <c r="J1763" s="35">
        <v>8.538429556101411</v>
      </c>
      <c r="K1763" s="232">
        <v>14871.21</v>
      </c>
      <c r="L1763" s="35">
        <v>8.7900175323212721</v>
      </c>
      <c r="M1763" s="232">
        <v>40931.379999999997</v>
      </c>
      <c r="N1763" s="35">
        <v>7.6646519008566223</v>
      </c>
      <c r="P1763" s="232">
        <v>-34.46</v>
      </c>
      <c r="Q1763" s="35">
        <v>1.3680369014614335E-2</v>
      </c>
      <c r="R1763" s="232">
        <v>1937.57</v>
      </c>
      <c r="S1763" s="35">
        <v>0.38013279963339919</v>
      </c>
      <c r="T1763" s="232">
        <v>26060.17</v>
      </c>
      <c r="U1763" s="35">
        <v>1.1253656314646499</v>
      </c>
      <c r="W1763" s="35">
        <f t="shared" si="169"/>
        <v>718.47845073071676</v>
      </c>
      <c r="X1763" s="35">
        <f t="shared" si="170"/>
        <v>17069.06998166996</v>
      </c>
      <c r="Y1763" s="35">
        <f t="shared" si="171"/>
        <v>30208.111573232498</v>
      </c>
      <c r="Z1763" s="35">
        <f t="shared" si="172"/>
        <v>0</v>
      </c>
      <c r="AA1763" s="35">
        <f t="shared" si="173"/>
        <v>0</v>
      </c>
      <c r="AB1763" s="35">
        <f t="shared" si="174"/>
        <v>1</v>
      </c>
    </row>
    <row r="1764" spans="1:28">
      <c r="A1764" s="35">
        <v>1753</v>
      </c>
      <c r="B1764" s="35">
        <v>3.964473865106538E-4</v>
      </c>
      <c r="C1764" s="232">
        <v>57.73</v>
      </c>
      <c r="D1764" s="35">
        <v>5.0587671627818471</v>
      </c>
      <c r="E1764" s="232">
        <v>34.26</v>
      </c>
      <c r="F1764" s="35">
        <v>5.04896954704276</v>
      </c>
      <c r="G1764" s="232">
        <v>11862.24</v>
      </c>
      <c r="H1764" s="35">
        <v>8.9745171231751897</v>
      </c>
      <c r="I1764" s="232">
        <v>13716.14</v>
      </c>
      <c r="J1764" s="35">
        <v>8.3305369027070295</v>
      </c>
      <c r="K1764" s="232">
        <v>13525.81</v>
      </c>
      <c r="L1764" s="35">
        <v>8.5099426191688785</v>
      </c>
      <c r="M1764" s="232">
        <v>39406.639999999999</v>
      </c>
      <c r="N1764" s="35">
        <v>7.4640439601780537</v>
      </c>
      <c r="P1764" s="232">
        <v>-23.47</v>
      </c>
      <c r="Q1764" s="35">
        <v>9.7976157390871066E-3</v>
      </c>
      <c r="R1764" s="232">
        <v>1853.9</v>
      </c>
      <c r="S1764" s="35">
        <v>0.64398022046816017</v>
      </c>
      <c r="T1764" s="232">
        <v>25880.83</v>
      </c>
      <c r="U1764" s="35">
        <v>1.0458986589908248</v>
      </c>
      <c r="W1764" s="35">
        <f t="shared" si="169"/>
        <v>513.35078695435539</v>
      </c>
      <c r="X1764" s="35">
        <f t="shared" si="170"/>
        <v>30345.111023408008</v>
      </c>
      <c r="Y1764" s="35">
        <f t="shared" si="171"/>
        <v>26414.102949541237</v>
      </c>
      <c r="Z1764" s="35">
        <f t="shared" si="172"/>
        <v>0</v>
      </c>
      <c r="AA1764" s="35">
        <f t="shared" si="173"/>
        <v>1</v>
      </c>
      <c r="AB1764" s="35">
        <f t="shared" si="174"/>
        <v>0</v>
      </c>
    </row>
    <row r="1765" spans="1:28">
      <c r="A1765" s="35">
        <v>1754</v>
      </c>
      <c r="B1765" s="35">
        <v>3.6646842883854622E-4</v>
      </c>
      <c r="C1765" s="232">
        <v>59.31</v>
      </c>
      <c r="D1765" s="35">
        <v>5.0574478441054893</v>
      </c>
      <c r="E1765" s="232">
        <v>35.58</v>
      </c>
      <c r="F1765" s="35">
        <v>5.0484289804709874</v>
      </c>
      <c r="G1765" s="232">
        <v>12021.34</v>
      </c>
      <c r="H1765" s="35">
        <v>8.7872787793067797</v>
      </c>
      <c r="I1765" s="232">
        <v>12671.22</v>
      </c>
      <c r="J1765" s="35">
        <v>7.6834194963729132</v>
      </c>
      <c r="K1765" s="232">
        <v>16540.16</v>
      </c>
      <c r="L1765" s="35">
        <v>8.8611086683643681</v>
      </c>
      <c r="M1765" s="232">
        <v>42668.55</v>
      </c>
      <c r="N1765" s="35">
        <v>7.7669526876185477</v>
      </c>
      <c r="P1765" s="232">
        <v>-23.73</v>
      </c>
      <c r="Q1765" s="35">
        <v>9.0188636345018836E-3</v>
      </c>
      <c r="R1765" s="232">
        <v>649.88</v>
      </c>
      <c r="S1765" s="35">
        <v>1.1038592829338665</v>
      </c>
      <c r="T1765" s="232">
        <v>26128.39</v>
      </c>
      <c r="U1765" s="35">
        <v>1.0941559807458203</v>
      </c>
      <c r="W1765" s="35">
        <f t="shared" si="169"/>
        <v>474.6731817250942</v>
      </c>
      <c r="X1765" s="35">
        <f t="shared" si="170"/>
        <v>54543.084146693327</v>
      </c>
      <c r="Y1765" s="35">
        <f t="shared" si="171"/>
        <v>28579.409037291014</v>
      </c>
      <c r="Z1765" s="35">
        <f t="shared" si="172"/>
        <v>0</v>
      </c>
      <c r="AA1765" s="35">
        <f t="shared" si="173"/>
        <v>1</v>
      </c>
      <c r="AB1765" s="35">
        <f t="shared" si="174"/>
        <v>0</v>
      </c>
    </row>
    <row r="1766" spans="1:28">
      <c r="A1766" s="35">
        <v>1755</v>
      </c>
      <c r="B1766" s="35">
        <v>4.7728375851863181E-4</v>
      </c>
      <c r="C1766" s="232">
        <v>71.06</v>
      </c>
      <c r="D1766" s="35">
        <v>5.0613300973013668</v>
      </c>
      <c r="E1766" s="232">
        <v>46.89</v>
      </c>
      <c r="F1766" s="35">
        <v>5.052159389302294</v>
      </c>
      <c r="G1766" s="232">
        <v>11545.2</v>
      </c>
      <c r="H1766" s="35">
        <v>8.3348201133422197</v>
      </c>
      <c r="I1766" s="232">
        <v>13231.93</v>
      </c>
      <c r="J1766" s="35">
        <v>7.481523830497137</v>
      </c>
      <c r="K1766" s="232">
        <v>12972.61</v>
      </c>
      <c r="L1766" s="35">
        <v>8.4682883360905716</v>
      </c>
      <c r="M1766" s="232">
        <v>38964.620000000003</v>
      </c>
      <c r="N1766" s="35">
        <v>7.4678781968280585</v>
      </c>
      <c r="P1766" s="232">
        <v>-24.17</v>
      </c>
      <c r="Q1766" s="35">
        <v>9.1707079990728246E-3</v>
      </c>
      <c r="R1766" s="232">
        <v>1686.73</v>
      </c>
      <c r="S1766" s="35">
        <v>0.85329628284508274</v>
      </c>
      <c r="T1766" s="232">
        <v>25992.01</v>
      </c>
      <c r="U1766" s="35">
        <v>1.0004101392625131</v>
      </c>
      <c r="W1766" s="35">
        <f t="shared" si="169"/>
        <v>482.70539995364123</v>
      </c>
      <c r="X1766" s="35">
        <f t="shared" si="170"/>
        <v>40978.084142254134</v>
      </c>
      <c r="Y1766" s="35">
        <f t="shared" si="171"/>
        <v>24028.496963125657</v>
      </c>
      <c r="Z1766" s="35">
        <f t="shared" si="172"/>
        <v>0</v>
      </c>
      <c r="AA1766" s="35">
        <f t="shared" si="173"/>
        <v>1</v>
      </c>
      <c r="AB1766" s="35">
        <f t="shared" si="174"/>
        <v>0</v>
      </c>
    </row>
    <row r="1767" spans="1:28">
      <c r="A1767" s="35">
        <v>1756</v>
      </c>
      <c r="B1767" s="35">
        <v>4.0595618953628956E-4</v>
      </c>
      <c r="C1767" s="232">
        <v>45.05</v>
      </c>
      <c r="D1767" s="35">
        <v>5.0616610542690061</v>
      </c>
      <c r="E1767" s="232">
        <v>30.37</v>
      </c>
      <c r="F1767" s="35">
        <v>5.0519952844238771</v>
      </c>
      <c r="G1767" s="232">
        <v>8735</v>
      </c>
      <c r="H1767" s="35">
        <v>9.3869676357643943</v>
      </c>
      <c r="I1767" s="232">
        <v>10347.34</v>
      </c>
      <c r="J1767" s="35">
        <v>7.2578510836561207</v>
      </c>
      <c r="K1767" s="232">
        <v>8430.06</v>
      </c>
      <c r="L1767" s="35">
        <v>9.0150633646184613</v>
      </c>
      <c r="M1767" s="232">
        <v>34105.449999999997</v>
      </c>
      <c r="N1767" s="35">
        <v>7.9128220827427533</v>
      </c>
      <c r="P1767" s="232">
        <v>-14.68</v>
      </c>
      <c r="Q1767" s="35">
        <v>9.665769845129013E-3</v>
      </c>
      <c r="R1767" s="232">
        <v>1612.35</v>
      </c>
      <c r="S1767" s="35">
        <v>2.1291165521082736</v>
      </c>
      <c r="T1767" s="232">
        <v>25675.39</v>
      </c>
      <c r="U1767" s="35">
        <v>1.1022412818757079</v>
      </c>
      <c r="W1767" s="35">
        <f t="shared" si="169"/>
        <v>497.96849225645065</v>
      </c>
      <c r="X1767" s="35">
        <f t="shared" si="170"/>
        <v>104843.47760541367</v>
      </c>
      <c r="Y1767" s="35">
        <f t="shared" si="171"/>
        <v>29436.674093785397</v>
      </c>
      <c r="Z1767" s="35">
        <f t="shared" si="172"/>
        <v>0</v>
      </c>
      <c r="AA1767" s="35">
        <f t="shared" si="173"/>
        <v>1</v>
      </c>
      <c r="AB1767" s="35">
        <f t="shared" si="174"/>
        <v>0</v>
      </c>
    </row>
    <row r="1768" spans="1:28">
      <c r="A1768" s="35">
        <v>1757</v>
      </c>
      <c r="B1768" s="35">
        <v>4.1510132933666191E-4</v>
      </c>
      <c r="C1768" s="232">
        <v>63.54</v>
      </c>
      <c r="D1768" s="35">
        <v>5.0587765623351668</v>
      </c>
      <c r="E1768" s="232">
        <v>34.909999999999997</v>
      </c>
      <c r="F1768" s="35">
        <v>5.0481775577622026</v>
      </c>
      <c r="G1768" s="232">
        <v>11637.05</v>
      </c>
      <c r="H1768" s="35">
        <v>8.8208529848381581</v>
      </c>
      <c r="I1768" s="232">
        <v>12018.06</v>
      </c>
      <c r="J1768" s="35">
        <v>7.7822188498858926</v>
      </c>
      <c r="K1768" s="232">
        <v>16706.439999999999</v>
      </c>
      <c r="L1768" s="35">
        <v>8.2877709035481679</v>
      </c>
      <c r="M1768" s="232">
        <v>42909.15</v>
      </c>
      <c r="N1768" s="35">
        <v>7.2680404146030533</v>
      </c>
      <c r="P1768" s="232">
        <v>-28.63</v>
      </c>
      <c r="Q1768" s="35">
        <v>1.0599004572964255E-2</v>
      </c>
      <c r="R1768" s="232">
        <v>381.01</v>
      </c>
      <c r="S1768" s="35">
        <v>1.0386341349522654</v>
      </c>
      <c r="T1768" s="232">
        <v>26202.71</v>
      </c>
      <c r="U1768" s="35">
        <v>1.0197304889451146</v>
      </c>
      <c r="W1768" s="35">
        <f t="shared" si="169"/>
        <v>558.58022864821271</v>
      </c>
      <c r="X1768" s="35">
        <f t="shared" si="170"/>
        <v>51550.69674761327</v>
      </c>
      <c r="Y1768" s="35">
        <f t="shared" si="171"/>
        <v>24783.814447255732</v>
      </c>
      <c r="Z1768" s="35">
        <f t="shared" si="172"/>
        <v>0</v>
      </c>
      <c r="AA1768" s="35">
        <f t="shared" si="173"/>
        <v>1</v>
      </c>
      <c r="AB1768" s="35">
        <f t="shared" si="174"/>
        <v>0</v>
      </c>
    </row>
    <row r="1769" spans="1:28">
      <c r="A1769" s="35">
        <v>1758</v>
      </c>
      <c r="B1769" s="35">
        <v>4.0530294924622222E-4</v>
      </c>
      <c r="C1769" s="232">
        <v>60.05</v>
      </c>
      <c r="D1769" s="35">
        <v>5.061470573528184</v>
      </c>
      <c r="E1769" s="232">
        <v>35.340000000000003</v>
      </c>
      <c r="F1769" s="35">
        <v>5.0503428734448539</v>
      </c>
      <c r="G1769" s="232">
        <v>11882.88</v>
      </c>
      <c r="H1769" s="35">
        <v>9.4470202633633225</v>
      </c>
      <c r="I1769" s="232">
        <v>12841.11</v>
      </c>
      <c r="J1769" s="35">
        <v>7.8718499071521926</v>
      </c>
      <c r="K1769" s="232">
        <v>14278.06</v>
      </c>
      <c r="L1769" s="35">
        <v>9.0152818060186366</v>
      </c>
      <c r="M1769" s="232">
        <v>40205.760000000002</v>
      </c>
      <c r="N1769" s="35">
        <v>7.925761649616696</v>
      </c>
      <c r="P1769" s="232">
        <v>-24.71</v>
      </c>
      <c r="Q1769" s="35">
        <v>1.1127700083330083E-2</v>
      </c>
      <c r="R1769" s="232">
        <v>958.23</v>
      </c>
      <c r="S1769" s="35">
        <v>1.5751703562111299</v>
      </c>
      <c r="T1769" s="232">
        <v>25927.71</v>
      </c>
      <c r="U1769" s="35">
        <v>1.0895201564019406</v>
      </c>
      <c r="W1769" s="35">
        <f t="shared" si="169"/>
        <v>581.09500416650417</v>
      </c>
      <c r="X1769" s="35">
        <f t="shared" si="170"/>
        <v>77800.287810556503</v>
      </c>
      <c r="Y1769" s="35">
        <f t="shared" si="171"/>
        <v>28548.297820097032</v>
      </c>
      <c r="Z1769" s="35">
        <f t="shared" si="172"/>
        <v>0</v>
      </c>
      <c r="AA1769" s="35">
        <f t="shared" si="173"/>
        <v>1</v>
      </c>
      <c r="AB1769" s="35">
        <f t="shared" si="174"/>
        <v>0</v>
      </c>
    </row>
    <row r="1770" spans="1:28">
      <c r="A1770" s="35">
        <v>1759</v>
      </c>
      <c r="B1770" s="35">
        <v>3.3971894382463832E-4</v>
      </c>
      <c r="C1770" s="232">
        <v>65.510000000000005</v>
      </c>
      <c r="D1770" s="35">
        <v>5.0546853627629451</v>
      </c>
      <c r="E1770" s="232">
        <v>42.43</v>
      </c>
      <c r="F1770" s="35">
        <v>5.0478413156895021</v>
      </c>
      <c r="G1770" s="232">
        <v>13390.55</v>
      </c>
      <c r="H1770" s="35">
        <v>8.1317444069622251</v>
      </c>
      <c r="I1770" s="232">
        <v>12661.41</v>
      </c>
      <c r="J1770" s="35">
        <v>6.9906967753590701</v>
      </c>
      <c r="K1770" s="232">
        <v>24529.02</v>
      </c>
      <c r="L1770" s="35">
        <v>8.7509284779023275</v>
      </c>
      <c r="M1770" s="232">
        <v>51072.93</v>
      </c>
      <c r="N1770" s="35">
        <v>7.5983393976568943</v>
      </c>
      <c r="P1770" s="232">
        <v>-23.08</v>
      </c>
      <c r="Q1770" s="35">
        <v>6.8440470734429937E-3</v>
      </c>
      <c r="R1770" s="232">
        <v>-729.14</v>
      </c>
      <c r="S1770" s="35">
        <v>1.141047631603155</v>
      </c>
      <c r="T1770" s="232">
        <v>26543.91</v>
      </c>
      <c r="U1770" s="35">
        <v>1.1525890802454333</v>
      </c>
      <c r="W1770" s="35">
        <f t="shared" si="169"/>
        <v>365.28235367214967</v>
      </c>
      <c r="X1770" s="35">
        <f t="shared" si="170"/>
        <v>57781.521580157751</v>
      </c>
      <c r="Y1770" s="35">
        <f t="shared" si="171"/>
        <v>31085.544012271665</v>
      </c>
      <c r="Z1770" s="35">
        <f t="shared" si="172"/>
        <v>0</v>
      </c>
      <c r="AA1770" s="35">
        <f t="shared" si="173"/>
        <v>1</v>
      </c>
      <c r="AB1770" s="35">
        <f t="shared" si="174"/>
        <v>0</v>
      </c>
    </row>
    <row r="1771" spans="1:28">
      <c r="A1771" s="35">
        <v>1760</v>
      </c>
      <c r="B1771" s="35">
        <v>4.6903803239373154E-4</v>
      </c>
      <c r="C1771" s="232">
        <v>83.62</v>
      </c>
      <c r="D1771" s="35">
        <v>5.0634081459168483</v>
      </c>
      <c r="E1771" s="232">
        <v>55.94</v>
      </c>
      <c r="F1771" s="35">
        <v>5.0538539955651123</v>
      </c>
      <c r="G1771" s="232">
        <v>13615.63</v>
      </c>
      <c r="H1771" s="35">
        <v>8.8121681285245721</v>
      </c>
      <c r="I1771" s="232">
        <v>13014.28</v>
      </c>
      <c r="J1771" s="35">
        <v>6.5566402157321217</v>
      </c>
      <c r="K1771" s="232">
        <v>18149.25</v>
      </c>
      <c r="L1771" s="35">
        <v>8.8531487029188352</v>
      </c>
      <c r="M1771" s="232">
        <v>44613.29</v>
      </c>
      <c r="N1771" s="35">
        <v>7.7051196004194233</v>
      </c>
      <c r="P1771" s="232">
        <v>-27.68</v>
      </c>
      <c r="Q1771" s="35">
        <v>9.5541503517360127E-3</v>
      </c>
      <c r="R1771" s="232">
        <v>-601.35</v>
      </c>
      <c r="S1771" s="35">
        <v>2.2555279127924504</v>
      </c>
      <c r="T1771" s="232">
        <v>26464.03</v>
      </c>
      <c r="U1771" s="35">
        <v>1.1480291024994118</v>
      </c>
      <c r="W1771" s="35">
        <f t="shared" si="169"/>
        <v>505.38751758680064</v>
      </c>
      <c r="X1771" s="35">
        <f t="shared" si="170"/>
        <v>113377.74563962252</v>
      </c>
      <c r="Y1771" s="35">
        <f t="shared" si="171"/>
        <v>30937.425124970592</v>
      </c>
      <c r="Z1771" s="35">
        <f t="shared" si="172"/>
        <v>0</v>
      </c>
      <c r="AA1771" s="35">
        <f t="shared" si="173"/>
        <v>1</v>
      </c>
      <c r="AB1771" s="35">
        <f t="shared" si="174"/>
        <v>0</v>
      </c>
    </row>
    <row r="1772" spans="1:28">
      <c r="A1772" s="35">
        <v>1761</v>
      </c>
      <c r="B1772" s="35">
        <v>3.125109586230979E-4</v>
      </c>
      <c r="C1772" s="232">
        <v>34.14</v>
      </c>
      <c r="D1772" s="35">
        <v>5.0538333144425645</v>
      </c>
      <c r="E1772" s="232">
        <v>24.47</v>
      </c>
      <c r="F1772" s="35">
        <v>5.0476211621319909</v>
      </c>
      <c r="G1772" s="232">
        <v>9356</v>
      </c>
      <c r="H1772" s="35">
        <v>8.6368767996494284</v>
      </c>
      <c r="I1772" s="232">
        <v>12260.25</v>
      </c>
      <c r="J1772" s="35">
        <v>7.1148147519956852</v>
      </c>
      <c r="K1772" s="232">
        <v>7344.54</v>
      </c>
      <c r="L1772" s="35">
        <v>8.5000113454951745</v>
      </c>
      <c r="M1772" s="232">
        <v>33053.919999999998</v>
      </c>
      <c r="N1772" s="35">
        <v>7.4522650308550826</v>
      </c>
      <c r="P1772" s="232">
        <v>-9.67</v>
      </c>
      <c r="Q1772" s="35">
        <v>6.2121523105735932E-3</v>
      </c>
      <c r="R1772" s="232">
        <v>2904.25</v>
      </c>
      <c r="S1772" s="35">
        <v>1.5220620476537432</v>
      </c>
      <c r="T1772" s="232">
        <v>25709.38</v>
      </c>
      <c r="U1772" s="35">
        <v>1.0477463146400918</v>
      </c>
      <c r="W1772" s="35">
        <f t="shared" si="169"/>
        <v>320.27761552867969</v>
      </c>
      <c r="X1772" s="35">
        <f t="shared" si="170"/>
        <v>73198.852382687153</v>
      </c>
      <c r="Y1772" s="35">
        <f t="shared" si="171"/>
        <v>26677.935732004593</v>
      </c>
      <c r="Z1772" s="35">
        <f t="shared" si="172"/>
        <v>0</v>
      </c>
      <c r="AA1772" s="35">
        <f t="shared" si="173"/>
        <v>1</v>
      </c>
      <c r="AB1772" s="35">
        <f t="shared" si="174"/>
        <v>0</v>
      </c>
    </row>
    <row r="1773" spans="1:28">
      <c r="A1773" s="35">
        <v>1762</v>
      </c>
      <c r="B1773" s="35">
        <v>4.2162709723654054E-4</v>
      </c>
      <c r="C1773" s="232">
        <v>74.39</v>
      </c>
      <c r="D1773" s="35">
        <v>5.0577749418705622</v>
      </c>
      <c r="E1773" s="232">
        <v>44.63</v>
      </c>
      <c r="F1773" s="35">
        <v>5.048853499345002</v>
      </c>
      <c r="G1773" s="232">
        <v>13151.01</v>
      </c>
      <c r="H1773" s="35">
        <v>7.929350611916707</v>
      </c>
      <c r="I1773" s="232">
        <v>14081.68</v>
      </c>
      <c r="J1773" s="35">
        <v>6.8834940939664495</v>
      </c>
      <c r="K1773" s="232">
        <v>17439.61</v>
      </c>
      <c r="L1773" s="35">
        <v>8.6979432251024846</v>
      </c>
      <c r="M1773" s="232">
        <v>43700.18</v>
      </c>
      <c r="N1773" s="35">
        <v>7.568403610412183</v>
      </c>
      <c r="P1773" s="232">
        <v>-29.76</v>
      </c>
      <c r="Q1773" s="35">
        <v>8.9214425255601526E-3</v>
      </c>
      <c r="R1773" s="232">
        <v>930.67</v>
      </c>
      <c r="S1773" s="35">
        <v>1.0458565179502575</v>
      </c>
      <c r="T1773" s="232">
        <v>26260.57</v>
      </c>
      <c r="U1773" s="35">
        <v>1.1295396146903016</v>
      </c>
      <c r="W1773" s="35">
        <f t="shared" si="169"/>
        <v>475.83212627800765</v>
      </c>
      <c r="X1773" s="35">
        <f t="shared" si="170"/>
        <v>51362.155897512872</v>
      </c>
      <c r="Y1773" s="35">
        <f t="shared" si="171"/>
        <v>30216.410734515084</v>
      </c>
      <c r="Z1773" s="35">
        <f t="shared" si="172"/>
        <v>0</v>
      </c>
      <c r="AA1773" s="35">
        <f t="shared" si="173"/>
        <v>1</v>
      </c>
      <c r="AB1773" s="35">
        <f t="shared" si="174"/>
        <v>0</v>
      </c>
    </row>
    <row r="1774" spans="1:28">
      <c r="A1774" s="35">
        <v>1763</v>
      </c>
      <c r="B1774" s="35">
        <v>5.2449225860906612E-4</v>
      </c>
      <c r="C1774" s="232">
        <v>90.86</v>
      </c>
      <c r="D1774" s="35">
        <v>5.0633532051204897</v>
      </c>
      <c r="E1774" s="232">
        <v>55.23</v>
      </c>
      <c r="F1774" s="35">
        <v>5.0523531924587575</v>
      </c>
      <c r="G1774" s="232">
        <v>12544.29</v>
      </c>
      <c r="H1774" s="35">
        <v>8.087892578720794</v>
      </c>
      <c r="I1774" s="232">
        <v>13160.19</v>
      </c>
      <c r="J1774" s="35">
        <v>7.2066800735510936</v>
      </c>
      <c r="K1774" s="232">
        <v>20125.14</v>
      </c>
      <c r="L1774" s="35">
        <v>8.847250467785349</v>
      </c>
      <c r="M1774" s="232">
        <v>46570.49</v>
      </c>
      <c r="N1774" s="35">
        <v>7.7882068246566281</v>
      </c>
      <c r="P1774" s="232">
        <v>-35.630000000000003</v>
      </c>
      <c r="Q1774" s="35">
        <v>1.1000012661732228E-2</v>
      </c>
      <c r="R1774" s="232">
        <v>615.9</v>
      </c>
      <c r="S1774" s="35">
        <v>0.8812125051697004</v>
      </c>
      <c r="T1774" s="232">
        <v>26445.35</v>
      </c>
      <c r="U1774" s="35">
        <v>1.0590436431287209</v>
      </c>
      <c r="W1774" s="35">
        <f t="shared" si="169"/>
        <v>585.6306330866114</v>
      </c>
      <c r="X1774" s="35">
        <f t="shared" si="170"/>
        <v>43444.725258485021</v>
      </c>
      <c r="Y1774" s="35">
        <f t="shared" si="171"/>
        <v>26506.832156436045</v>
      </c>
      <c r="Z1774" s="35">
        <f t="shared" si="172"/>
        <v>0</v>
      </c>
      <c r="AA1774" s="35">
        <f t="shared" si="173"/>
        <v>1</v>
      </c>
      <c r="AB1774" s="35">
        <f t="shared" si="174"/>
        <v>0</v>
      </c>
    </row>
    <row r="1775" spans="1:28">
      <c r="A1775" s="35">
        <v>1764</v>
      </c>
      <c r="B1775" s="35">
        <v>4.1104161271526406E-4</v>
      </c>
      <c r="C1775" s="232">
        <v>58.65</v>
      </c>
      <c r="D1775" s="35">
        <v>5.0587407087169867</v>
      </c>
      <c r="E1775" s="232">
        <v>37.619999999999997</v>
      </c>
      <c r="F1775" s="35">
        <v>5.0499748203537136</v>
      </c>
      <c r="G1775" s="232">
        <v>11884.93</v>
      </c>
      <c r="H1775" s="35">
        <v>8.2652577336250683</v>
      </c>
      <c r="I1775" s="232">
        <v>13925.92</v>
      </c>
      <c r="J1775" s="35">
        <v>7.0271829072816567</v>
      </c>
      <c r="K1775" s="232">
        <v>12712.44</v>
      </c>
      <c r="L1775" s="35">
        <v>9.0029973049946328</v>
      </c>
      <c r="M1775" s="232">
        <v>38706.51</v>
      </c>
      <c r="N1775" s="35">
        <v>7.8846952254669764</v>
      </c>
      <c r="P1775" s="232">
        <v>-21.03</v>
      </c>
      <c r="Q1775" s="35">
        <v>8.7658883632730777E-3</v>
      </c>
      <c r="R1775" s="232">
        <v>2040.99</v>
      </c>
      <c r="S1775" s="35">
        <v>1.2380748263434116</v>
      </c>
      <c r="T1775" s="232">
        <v>25994.07</v>
      </c>
      <c r="U1775" s="35">
        <v>1.1183020795276564</v>
      </c>
      <c r="W1775" s="35">
        <f t="shared" si="169"/>
        <v>459.32441816365383</v>
      </c>
      <c r="X1775" s="35">
        <f t="shared" si="170"/>
        <v>59862.75131717058</v>
      </c>
      <c r="Y1775" s="35">
        <f t="shared" si="171"/>
        <v>29921.033976382816</v>
      </c>
      <c r="Z1775" s="35">
        <f t="shared" si="172"/>
        <v>0</v>
      </c>
      <c r="AA1775" s="35">
        <f t="shared" si="173"/>
        <v>1</v>
      </c>
      <c r="AB1775" s="35">
        <f t="shared" si="174"/>
        <v>0</v>
      </c>
    </row>
    <row r="1776" spans="1:28">
      <c r="A1776" s="35">
        <v>1765</v>
      </c>
      <c r="B1776" s="35">
        <v>3.1038412036919711E-4</v>
      </c>
      <c r="C1776" s="232">
        <v>49.61</v>
      </c>
      <c r="D1776" s="35">
        <v>5.0542876072426388</v>
      </c>
      <c r="E1776" s="232">
        <v>30.72</v>
      </c>
      <c r="F1776" s="35">
        <v>5.0468495511061882</v>
      </c>
      <c r="G1776" s="232">
        <v>12492.79</v>
      </c>
      <c r="H1776" s="35">
        <v>8.787833978210589</v>
      </c>
      <c r="I1776" s="232">
        <v>13038.76</v>
      </c>
      <c r="J1776" s="35">
        <v>7.2299156571205483</v>
      </c>
      <c r="K1776" s="232">
        <v>16310.76</v>
      </c>
      <c r="L1776" s="35">
        <v>8.6065302490091682</v>
      </c>
      <c r="M1776" s="232">
        <v>42522.720000000001</v>
      </c>
      <c r="N1776" s="35">
        <v>7.4715324440959634</v>
      </c>
      <c r="P1776" s="232">
        <v>-18.88</v>
      </c>
      <c r="Q1776" s="35">
        <v>7.4380561364506548E-3</v>
      </c>
      <c r="R1776" s="232">
        <v>545.97</v>
      </c>
      <c r="S1776" s="35">
        <v>1.5579183210900407</v>
      </c>
      <c r="T1776" s="232">
        <v>26211.96</v>
      </c>
      <c r="U1776" s="35">
        <v>1.1349978049132048</v>
      </c>
      <c r="W1776" s="35">
        <f t="shared" si="169"/>
        <v>390.78280682253273</v>
      </c>
      <c r="X1776" s="35">
        <f t="shared" si="170"/>
        <v>77349.946054502027</v>
      </c>
      <c r="Y1776" s="35">
        <f t="shared" si="171"/>
        <v>30537.930245660238</v>
      </c>
      <c r="Z1776" s="35">
        <f t="shared" si="172"/>
        <v>0</v>
      </c>
      <c r="AA1776" s="35">
        <f t="shared" si="173"/>
        <v>1</v>
      </c>
      <c r="AB1776" s="35">
        <f t="shared" si="174"/>
        <v>0</v>
      </c>
    </row>
    <row r="1777" spans="1:28">
      <c r="A1777" s="35">
        <v>1766</v>
      </c>
      <c r="B1777" s="35">
        <v>5.8484329441821359E-4</v>
      </c>
      <c r="C1777" s="232">
        <v>84.27</v>
      </c>
      <c r="D1777" s="35">
        <v>5.0725606235040983</v>
      </c>
      <c r="E1777" s="232">
        <v>50.85</v>
      </c>
      <c r="F1777" s="35">
        <v>5.057316896467464</v>
      </c>
      <c r="G1777" s="232">
        <v>11180.57</v>
      </c>
      <c r="H1777" s="35">
        <v>9.4520956646733865</v>
      </c>
      <c r="I1777" s="232">
        <v>12535.63</v>
      </c>
      <c r="J1777" s="35">
        <v>8.3284465747827703</v>
      </c>
      <c r="K1777" s="232">
        <v>12973.71</v>
      </c>
      <c r="L1777" s="35">
        <v>9.1502959568431841</v>
      </c>
      <c r="M1777" s="232">
        <v>38909.839999999997</v>
      </c>
      <c r="N1777" s="35">
        <v>8.0871088726241052</v>
      </c>
      <c r="P1777" s="232">
        <v>-33.42</v>
      </c>
      <c r="Q1777" s="35">
        <v>1.5243727036634347E-2</v>
      </c>
      <c r="R1777" s="232">
        <v>1355.06</v>
      </c>
      <c r="S1777" s="35">
        <v>1.1236490898906162</v>
      </c>
      <c r="T1777" s="232">
        <v>25936.13</v>
      </c>
      <c r="U1777" s="35">
        <v>1.0631870842190789</v>
      </c>
      <c r="W1777" s="35">
        <f t="shared" si="169"/>
        <v>795.60635183171735</v>
      </c>
      <c r="X1777" s="35">
        <f t="shared" si="170"/>
        <v>54827.39449453081</v>
      </c>
      <c r="Y1777" s="35">
        <f t="shared" si="171"/>
        <v>27223.224210953947</v>
      </c>
      <c r="Z1777" s="35">
        <f t="shared" si="172"/>
        <v>0</v>
      </c>
      <c r="AA1777" s="35">
        <f t="shared" si="173"/>
        <v>1</v>
      </c>
      <c r="AB1777" s="35">
        <f t="shared" si="174"/>
        <v>0</v>
      </c>
    </row>
    <row r="1778" spans="1:28">
      <c r="A1778" s="35">
        <v>1767</v>
      </c>
      <c r="B1778" s="35">
        <v>4.6526835253501986E-4</v>
      </c>
      <c r="C1778" s="232">
        <v>84.71</v>
      </c>
      <c r="D1778" s="35">
        <v>5.0619308221384873</v>
      </c>
      <c r="E1778" s="232">
        <v>50.15</v>
      </c>
      <c r="F1778" s="35">
        <v>5.0510961939929988</v>
      </c>
      <c r="G1778" s="232">
        <v>14067.44</v>
      </c>
      <c r="H1778" s="35">
        <v>8.748878470222758</v>
      </c>
      <c r="I1778" s="232">
        <v>15578.31</v>
      </c>
      <c r="J1778" s="35">
        <v>8.3049500131390417</v>
      </c>
      <c r="K1778" s="232">
        <v>19956.68</v>
      </c>
      <c r="L1778" s="35">
        <v>8.6347043188659889</v>
      </c>
      <c r="M1778" s="232">
        <v>46342.5</v>
      </c>
      <c r="N1778" s="35">
        <v>7.5287561522865492</v>
      </c>
      <c r="P1778" s="232">
        <v>-34.56</v>
      </c>
      <c r="Q1778" s="35">
        <v>1.0834628145488523E-2</v>
      </c>
      <c r="R1778" s="232">
        <v>1510.87</v>
      </c>
      <c r="S1778" s="35">
        <v>0.44392845708371631</v>
      </c>
      <c r="T1778" s="232">
        <v>26385.82</v>
      </c>
      <c r="U1778" s="35">
        <v>1.1059481665794397</v>
      </c>
      <c r="W1778" s="35">
        <f t="shared" si="169"/>
        <v>576.29140727442609</v>
      </c>
      <c r="X1778" s="35">
        <f t="shared" si="170"/>
        <v>20685.552854185815</v>
      </c>
      <c r="Y1778" s="35">
        <f t="shared" si="171"/>
        <v>28911.588328971986</v>
      </c>
      <c r="Z1778" s="35">
        <f t="shared" si="172"/>
        <v>0</v>
      </c>
      <c r="AA1778" s="35">
        <f t="shared" si="173"/>
        <v>0</v>
      </c>
      <c r="AB1778" s="35">
        <f t="shared" si="174"/>
        <v>1</v>
      </c>
    </row>
    <row r="1779" spans="1:28">
      <c r="A1779" s="35">
        <v>1768</v>
      </c>
      <c r="B1779" s="35">
        <v>4.0084885613195074E-4</v>
      </c>
      <c r="C1779" s="232">
        <v>60.36</v>
      </c>
      <c r="D1779" s="35">
        <v>5.0586715411436787</v>
      </c>
      <c r="E1779" s="232">
        <v>37.340000000000003</v>
      </c>
      <c r="F1779" s="35">
        <v>5.0494997030325379</v>
      </c>
      <c r="G1779" s="232">
        <v>12015.98</v>
      </c>
      <c r="H1779" s="35">
        <v>8.6197607406113335</v>
      </c>
      <c r="I1779" s="232">
        <v>13025.19</v>
      </c>
      <c r="J1779" s="35">
        <v>7.0371998197793468</v>
      </c>
      <c r="K1779" s="232">
        <v>14935.39</v>
      </c>
      <c r="L1779" s="35">
        <v>8.7474562806485299</v>
      </c>
      <c r="M1779" s="232">
        <v>41011.32</v>
      </c>
      <c r="N1779" s="35">
        <v>7.7251112326678193</v>
      </c>
      <c r="P1779" s="232">
        <v>-23.02</v>
      </c>
      <c r="Q1779" s="35">
        <v>9.171838111140751E-3</v>
      </c>
      <c r="R1779" s="232">
        <v>1009.22</v>
      </c>
      <c r="S1779" s="35">
        <v>1.5825609208319866</v>
      </c>
      <c r="T1779" s="232">
        <v>26075.93</v>
      </c>
      <c r="U1779" s="35">
        <v>1.0223450479807106</v>
      </c>
      <c r="W1779" s="35">
        <f t="shared" si="169"/>
        <v>481.61190555703752</v>
      </c>
      <c r="X1779" s="35">
        <f t="shared" si="170"/>
        <v>78118.826041599328</v>
      </c>
      <c r="Y1779" s="35">
        <f t="shared" si="171"/>
        <v>25041.322399035525</v>
      </c>
      <c r="Z1779" s="35">
        <f t="shared" si="172"/>
        <v>0</v>
      </c>
      <c r="AA1779" s="35">
        <f t="shared" si="173"/>
        <v>1</v>
      </c>
      <c r="AB1779" s="35">
        <f t="shared" si="174"/>
        <v>0</v>
      </c>
    </row>
    <row r="1780" spans="1:28">
      <c r="A1780" s="35">
        <v>1769</v>
      </c>
      <c r="B1780" s="35">
        <v>4.5297513399888967E-4</v>
      </c>
      <c r="C1780" s="232">
        <v>76.459999999999994</v>
      </c>
      <c r="D1780" s="35">
        <v>5.0620713263890922</v>
      </c>
      <c r="E1780" s="232">
        <v>52.43</v>
      </c>
      <c r="F1780" s="35">
        <v>5.0533238384102868</v>
      </c>
      <c r="G1780" s="232">
        <v>12217.86</v>
      </c>
      <c r="H1780" s="35">
        <v>8.8051608973820219</v>
      </c>
      <c r="I1780" s="232">
        <v>11295.51</v>
      </c>
      <c r="J1780" s="35">
        <v>7.1160405472459249</v>
      </c>
      <c r="K1780" s="232">
        <v>17802.28</v>
      </c>
      <c r="L1780" s="35">
        <v>8.7014725097255532</v>
      </c>
      <c r="M1780" s="232">
        <v>43893.11</v>
      </c>
      <c r="N1780" s="35">
        <v>7.6585301918680777</v>
      </c>
      <c r="P1780" s="232">
        <v>-24.03</v>
      </c>
      <c r="Q1780" s="35">
        <v>8.7474879788054238E-3</v>
      </c>
      <c r="R1780" s="232">
        <v>-922.36</v>
      </c>
      <c r="S1780" s="35">
        <v>1.689120350136097</v>
      </c>
      <c r="T1780" s="232">
        <v>26090.83</v>
      </c>
      <c r="U1780" s="35">
        <v>1.0429423178574755</v>
      </c>
      <c r="W1780" s="35">
        <f t="shared" si="169"/>
        <v>461.40439894027122</v>
      </c>
      <c r="X1780" s="35">
        <f t="shared" si="170"/>
        <v>85378.377506804842</v>
      </c>
      <c r="Y1780" s="35">
        <f t="shared" si="171"/>
        <v>26056.28589287377</v>
      </c>
      <c r="Z1780" s="35">
        <f t="shared" si="172"/>
        <v>0</v>
      </c>
      <c r="AA1780" s="35">
        <f t="shared" si="173"/>
        <v>1</v>
      </c>
      <c r="AB1780" s="35">
        <f t="shared" si="174"/>
        <v>0</v>
      </c>
    </row>
    <row r="1781" spans="1:28">
      <c r="A1781" s="35">
        <v>1770</v>
      </c>
      <c r="B1781" s="35">
        <v>5.0875662635219143E-4</v>
      </c>
      <c r="C1781" s="232">
        <v>61.22</v>
      </c>
      <c r="D1781" s="35">
        <v>5.0676044569778966</v>
      </c>
      <c r="E1781" s="232">
        <v>43.54</v>
      </c>
      <c r="F1781" s="35">
        <v>5.0572528682415809</v>
      </c>
      <c r="G1781" s="232">
        <v>9069.18</v>
      </c>
      <c r="H1781" s="35">
        <v>9.4559776706812819</v>
      </c>
      <c r="I1781" s="232">
        <v>9770.36</v>
      </c>
      <c r="J1781" s="35">
        <v>7.4873693965230093</v>
      </c>
      <c r="K1781" s="232">
        <v>10137.32</v>
      </c>
      <c r="L1781" s="35">
        <v>8.8425486861214555</v>
      </c>
      <c r="M1781" s="232">
        <v>35995.83</v>
      </c>
      <c r="N1781" s="35">
        <v>7.8018386044639616</v>
      </c>
      <c r="P1781" s="232">
        <v>-17.690000000000001</v>
      </c>
      <c r="Q1781" s="35">
        <v>1.0351588736315698E-2</v>
      </c>
      <c r="R1781" s="232">
        <v>701.18</v>
      </c>
      <c r="S1781" s="35">
        <v>1.9686082741582727</v>
      </c>
      <c r="T1781" s="232">
        <v>25858.51</v>
      </c>
      <c r="U1781" s="35">
        <v>1.0407100816574939</v>
      </c>
      <c r="W1781" s="35">
        <f t="shared" si="169"/>
        <v>535.26943681578496</v>
      </c>
      <c r="X1781" s="35">
        <f t="shared" si="170"/>
        <v>97729.233707913634</v>
      </c>
      <c r="Y1781" s="35">
        <f t="shared" si="171"/>
        <v>26176.994082874695</v>
      </c>
      <c r="Z1781" s="35">
        <f t="shared" si="172"/>
        <v>0</v>
      </c>
      <c r="AA1781" s="35">
        <f t="shared" si="173"/>
        <v>1</v>
      </c>
      <c r="AB1781" s="35">
        <f t="shared" si="174"/>
        <v>0</v>
      </c>
    </row>
    <row r="1782" spans="1:28">
      <c r="A1782" s="35">
        <v>1771</v>
      </c>
      <c r="B1782" s="35">
        <v>4.1201811139161967E-4</v>
      </c>
      <c r="C1782" s="232">
        <v>66.16</v>
      </c>
      <c r="D1782" s="35">
        <v>5.059698852802387</v>
      </c>
      <c r="E1782" s="232">
        <v>39.549999999999997</v>
      </c>
      <c r="F1782" s="35">
        <v>5.049732440030426</v>
      </c>
      <c r="G1782" s="232">
        <v>12226.77</v>
      </c>
      <c r="H1782" s="35">
        <v>8.8798974636406065</v>
      </c>
      <c r="I1782" s="232">
        <v>12774.54</v>
      </c>
      <c r="J1782" s="35">
        <v>7.6682876191372698</v>
      </c>
      <c r="K1782" s="232">
        <v>16422.13</v>
      </c>
      <c r="L1782" s="35">
        <v>8.5302639009241048</v>
      </c>
      <c r="M1782" s="232">
        <v>42605.440000000002</v>
      </c>
      <c r="N1782" s="35">
        <v>7.3555228406471667</v>
      </c>
      <c r="P1782" s="232">
        <v>-26.62</v>
      </c>
      <c r="Q1782" s="35">
        <v>9.9664127719609752E-3</v>
      </c>
      <c r="R1782" s="232">
        <v>547.78</v>
      </c>
      <c r="S1782" s="35">
        <v>1.2116098445033368</v>
      </c>
      <c r="T1782" s="232">
        <v>26183.32</v>
      </c>
      <c r="U1782" s="35">
        <v>1.1747410602769381</v>
      </c>
      <c r="W1782" s="35">
        <f t="shared" si="169"/>
        <v>524.94063859804874</v>
      </c>
      <c r="X1782" s="35">
        <f t="shared" si="170"/>
        <v>60032.712225166841</v>
      </c>
      <c r="Y1782" s="35">
        <f t="shared" si="171"/>
        <v>32553.733013846904</v>
      </c>
      <c r="Z1782" s="35">
        <f t="shared" si="172"/>
        <v>0</v>
      </c>
      <c r="AA1782" s="35">
        <f t="shared" si="173"/>
        <v>1</v>
      </c>
      <c r="AB1782" s="35">
        <f t="shared" si="174"/>
        <v>0</v>
      </c>
    </row>
    <row r="1783" spans="1:28">
      <c r="A1783" s="35">
        <v>1772</v>
      </c>
      <c r="B1783" s="35">
        <v>4.3861810348050709E-4</v>
      </c>
      <c r="C1783" s="232">
        <v>65.55</v>
      </c>
      <c r="D1783" s="35">
        <v>5.0599366703916981</v>
      </c>
      <c r="E1783" s="232">
        <v>42.9</v>
      </c>
      <c r="F1783" s="35">
        <v>5.0510973748107926</v>
      </c>
      <c r="G1783" s="232">
        <v>11316.13</v>
      </c>
      <c r="H1783" s="35">
        <v>8.4214924613123401</v>
      </c>
      <c r="I1783" s="232">
        <v>13327.61</v>
      </c>
      <c r="J1783" s="35">
        <v>8.2296651100144036</v>
      </c>
      <c r="K1783" s="232">
        <v>15404.8</v>
      </c>
      <c r="L1783" s="35">
        <v>8.6544950748964862</v>
      </c>
      <c r="M1783" s="232">
        <v>41564.61</v>
      </c>
      <c r="N1783" s="35">
        <v>7.5543339690399911</v>
      </c>
      <c r="P1783" s="232">
        <v>-22.66</v>
      </c>
      <c r="Q1783" s="35">
        <v>8.8392955809055707E-3</v>
      </c>
      <c r="R1783" s="232">
        <v>2011.47</v>
      </c>
      <c r="S1783" s="35">
        <v>0.19182735129793649</v>
      </c>
      <c r="T1783" s="232">
        <v>26159.81</v>
      </c>
      <c r="U1783" s="35">
        <v>1.1001611058564951</v>
      </c>
      <c r="W1783" s="35">
        <f t="shared" si="169"/>
        <v>464.62477904527856</v>
      </c>
      <c r="X1783" s="35">
        <f t="shared" si="170"/>
        <v>7579.8975648968235</v>
      </c>
      <c r="Y1783" s="35">
        <f t="shared" si="171"/>
        <v>28848.245292824755</v>
      </c>
      <c r="Z1783" s="35">
        <f t="shared" si="172"/>
        <v>0</v>
      </c>
      <c r="AA1783" s="35">
        <f t="shared" si="173"/>
        <v>0</v>
      </c>
      <c r="AB1783" s="35">
        <f t="shared" si="174"/>
        <v>1</v>
      </c>
    </row>
    <row r="1784" spans="1:28">
      <c r="A1784" s="35">
        <v>1773</v>
      </c>
      <c r="B1784" s="35">
        <v>5.4971220865052128E-4</v>
      </c>
      <c r="C1784" s="232">
        <v>91.14</v>
      </c>
      <c r="D1784" s="35">
        <v>5.0688187483734835</v>
      </c>
      <c r="E1784" s="232">
        <v>54.77</v>
      </c>
      <c r="F1784" s="35">
        <v>5.0552445637634724</v>
      </c>
      <c r="G1784" s="232">
        <v>12200.78</v>
      </c>
      <c r="H1784" s="35">
        <v>9.0183103908446558</v>
      </c>
      <c r="I1784" s="232">
        <v>11102.08</v>
      </c>
      <c r="J1784" s="35">
        <v>7.1095789107140508</v>
      </c>
      <c r="K1784" s="232">
        <v>18208.38</v>
      </c>
      <c r="L1784" s="35">
        <v>9.1601952889913196</v>
      </c>
      <c r="M1784" s="232">
        <v>44362.64</v>
      </c>
      <c r="N1784" s="35">
        <v>8.0756424219845133</v>
      </c>
      <c r="P1784" s="232">
        <v>-36.369999999999997</v>
      </c>
      <c r="Q1784" s="35">
        <v>1.3574184610011031E-2</v>
      </c>
      <c r="R1784" s="232">
        <v>-1098.7</v>
      </c>
      <c r="S1784" s="35">
        <v>1.908731480130605</v>
      </c>
      <c r="T1784" s="232">
        <v>26154.26</v>
      </c>
      <c r="U1784" s="35">
        <v>1.0845528670068063</v>
      </c>
      <c r="W1784" s="35">
        <f t="shared" si="169"/>
        <v>715.07923050055149</v>
      </c>
      <c r="X1784" s="35">
        <f t="shared" si="170"/>
        <v>96535.27400653025</v>
      </c>
      <c r="Y1784" s="35">
        <f t="shared" si="171"/>
        <v>28073.383350340318</v>
      </c>
      <c r="Z1784" s="35">
        <f t="shared" si="172"/>
        <v>0</v>
      </c>
      <c r="AA1784" s="35">
        <f t="shared" si="173"/>
        <v>1</v>
      </c>
      <c r="AB1784" s="35">
        <f t="shared" si="174"/>
        <v>0</v>
      </c>
    </row>
    <row r="1785" spans="1:28">
      <c r="A1785" s="35">
        <v>1774</v>
      </c>
      <c r="B1785" s="35">
        <v>4.4158289526783094E-4</v>
      </c>
      <c r="C1785" s="232">
        <v>55.27</v>
      </c>
      <c r="D1785" s="35">
        <v>5.059963103866183</v>
      </c>
      <c r="E1785" s="232">
        <v>31.35</v>
      </c>
      <c r="F1785" s="35">
        <v>5.0489648159603577</v>
      </c>
      <c r="G1785" s="232">
        <v>9410.42</v>
      </c>
      <c r="H1785" s="35">
        <v>8.4973440447059048</v>
      </c>
      <c r="I1785" s="232">
        <v>10773.83</v>
      </c>
      <c r="J1785" s="35">
        <v>7.6439592921327675</v>
      </c>
      <c r="K1785" s="232">
        <v>12205.65</v>
      </c>
      <c r="L1785" s="35">
        <v>8.6138319767022473</v>
      </c>
      <c r="M1785" s="232">
        <v>38224.86</v>
      </c>
      <c r="N1785" s="35">
        <v>7.5452804308448806</v>
      </c>
      <c r="P1785" s="232">
        <v>-23.91</v>
      </c>
      <c r="Q1785" s="35">
        <v>1.0998287905825244E-2</v>
      </c>
      <c r="R1785" s="232">
        <v>1363.42</v>
      </c>
      <c r="S1785" s="35">
        <v>0.85338475257313728</v>
      </c>
      <c r="T1785" s="232">
        <v>26019.22</v>
      </c>
      <c r="U1785" s="35">
        <v>1.0685515458573667</v>
      </c>
      <c r="W1785" s="35">
        <f t="shared" si="169"/>
        <v>573.82439529126214</v>
      </c>
      <c r="X1785" s="35">
        <f t="shared" si="170"/>
        <v>41305.817628656863</v>
      </c>
      <c r="Y1785" s="35">
        <f t="shared" si="171"/>
        <v>27408.357292868335</v>
      </c>
      <c r="Z1785" s="35">
        <f t="shared" si="172"/>
        <v>0</v>
      </c>
      <c r="AA1785" s="35">
        <f t="shared" si="173"/>
        <v>1</v>
      </c>
      <c r="AB1785" s="35">
        <f t="shared" si="174"/>
        <v>0</v>
      </c>
    </row>
    <row r="1786" spans="1:28">
      <c r="A1786" s="35">
        <v>1775</v>
      </c>
      <c r="B1786" s="35">
        <v>4.2272741545264626E-4</v>
      </c>
      <c r="C1786" s="232">
        <v>76.010000000000005</v>
      </c>
      <c r="D1786" s="35">
        <v>5.0607705128786939</v>
      </c>
      <c r="E1786" s="232">
        <v>46.35</v>
      </c>
      <c r="F1786" s="35">
        <v>5.0507514281550261</v>
      </c>
      <c r="G1786" s="232">
        <v>13831.51</v>
      </c>
      <c r="H1786" s="35">
        <v>8.9055912775249144</v>
      </c>
      <c r="I1786" s="232">
        <v>16367.76</v>
      </c>
      <c r="J1786" s="35">
        <v>9.2293234433372202</v>
      </c>
      <c r="K1786" s="232">
        <v>16288.24</v>
      </c>
      <c r="L1786" s="35">
        <v>8.821145075365953</v>
      </c>
      <c r="M1786" s="232">
        <v>42516.05</v>
      </c>
      <c r="N1786" s="35">
        <v>7.6961317853064681</v>
      </c>
      <c r="P1786" s="232">
        <v>-29.67</v>
      </c>
      <c r="Q1786" s="35">
        <v>1.0019084723667859E-2</v>
      </c>
      <c r="R1786" s="232">
        <v>2536.2600000000002</v>
      </c>
      <c r="S1786" s="35">
        <v>-0.32373216581230579</v>
      </c>
      <c r="T1786" s="232">
        <v>26227.8</v>
      </c>
      <c r="U1786" s="35">
        <v>1.1250132900594849</v>
      </c>
      <c r="W1786" s="35">
        <f t="shared" si="169"/>
        <v>530.6242361833929</v>
      </c>
      <c r="X1786" s="35">
        <f t="shared" si="170"/>
        <v>-18722.86829061529</v>
      </c>
      <c r="Y1786" s="35">
        <f t="shared" si="171"/>
        <v>30022.864502974244</v>
      </c>
      <c r="Z1786" s="35">
        <f t="shared" si="172"/>
        <v>0</v>
      </c>
      <c r="AA1786" s="35">
        <f t="shared" si="173"/>
        <v>0</v>
      </c>
      <c r="AB1786" s="35">
        <f t="shared" si="174"/>
        <v>1</v>
      </c>
    </row>
    <row r="1787" spans="1:28">
      <c r="A1787" s="35">
        <v>1776</v>
      </c>
      <c r="B1787" s="35">
        <v>4.1630585363955618E-4</v>
      </c>
      <c r="C1787" s="232">
        <v>74.67</v>
      </c>
      <c r="D1787" s="35">
        <v>5.0586629703745931</v>
      </c>
      <c r="E1787" s="232">
        <v>46.15</v>
      </c>
      <c r="F1787" s="35">
        <v>5.049721997257838</v>
      </c>
      <c r="G1787" s="232">
        <v>13222.89</v>
      </c>
      <c r="H1787" s="35">
        <v>8.4221784703042264</v>
      </c>
      <c r="I1787" s="232">
        <v>12631.02</v>
      </c>
      <c r="J1787" s="35">
        <v>6.9832284882420019</v>
      </c>
      <c r="K1787" s="232">
        <v>20312.43</v>
      </c>
      <c r="L1787" s="35">
        <v>8.5009621721112651</v>
      </c>
      <c r="M1787" s="232">
        <v>46558.34</v>
      </c>
      <c r="N1787" s="35">
        <v>7.4148336790925073</v>
      </c>
      <c r="P1787" s="232">
        <v>-28.52</v>
      </c>
      <c r="Q1787" s="35">
        <v>8.9409731167551243E-3</v>
      </c>
      <c r="R1787" s="232">
        <v>-591.87</v>
      </c>
      <c r="S1787" s="35">
        <v>1.4389499820622245</v>
      </c>
      <c r="T1787" s="232">
        <v>26245.919999999998</v>
      </c>
      <c r="U1787" s="35">
        <v>1.0861284930187578</v>
      </c>
      <c r="W1787" s="35">
        <f t="shared" si="169"/>
        <v>475.56865583775618</v>
      </c>
      <c r="X1787" s="35">
        <f t="shared" si="170"/>
        <v>72539.369103111225</v>
      </c>
      <c r="Y1787" s="35">
        <f t="shared" si="171"/>
        <v>28060.504650937895</v>
      </c>
      <c r="Z1787" s="35">
        <f t="shared" si="172"/>
        <v>0</v>
      </c>
      <c r="AA1787" s="35">
        <f t="shared" si="173"/>
        <v>1</v>
      </c>
      <c r="AB1787" s="35">
        <f t="shared" si="174"/>
        <v>0</v>
      </c>
    </row>
    <row r="1788" spans="1:28">
      <c r="A1788" s="35">
        <v>1777</v>
      </c>
      <c r="B1788" s="35">
        <v>4.4833004127697862E-4</v>
      </c>
      <c r="C1788" s="232">
        <v>81.88</v>
      </c>
      <c r="D1788" s="35">
        <v>5.059032585555836</v>
      </c>
      <c r="E1788" s="232">
        <v>43.62</v>
      </c>
      <c r="F1788" s="35">
        <v>5.0482215108293467</v>
      </c>
      <c r="G1788" s="232">
        <v>13603.97</v>
      </c>
      <c r="H1788" s="35">
        <v>8.3636846630143502</v>
      </c>
      <c r="I1788" s="232">
        <v>12728.62</v>
      </c>
      <c r="J1788" s="35">
        <v>6.9915512047775783</v>
      </c>
      <c r="K1788" s="232">
        <v>20868.13</v>
      </c>
      <c r="L1788" s="35">
        <v>8.179608343690596</v>
      </c>
      <c r="M1788" s="232">
        <v>47254.03</v>
      </c>
      <c r="N1788" s="35">
        <v>7.0565644447896227</v>
      </c>
      <c r="P1788" s="232">
        <v>-38.26</v>
      </c>
      <c r="Q1788" s="35">
        <v>1.0811074726489345E-2</v>
      </c>
      <c r="R1788" s="232">
        <v>-875.35</v>
      </c>
      <c r="S1788" s="35">
        <v>1.3721334582367719</v>
      </c>
      <c r="T1788" s="232">
        <v>26385.89</v>
      </c>
      <c r="U1788" s="35">
        <v>1.1230438989009732</v>
      </c>
      <c r="W1788" s="35">
        <f t="shared" si="169"/>
        <v>578.81373632446719</v>
      </c>
      <c r="X1788" s="35">
        <f t="shared" si="170"/>
        <v>69482.022911838605</v>
      </c>
      <c r="Y1788" s="35">
        <f t="shared" si="171"/>
        <v>29766.304945048665</v>
      </c>
      <c r="Z1788" s="35">
        <f t="shared" si="172"/>
        <v>0</v>
      </c>
      <c r="AA1788" s="35">
        <f t="shared" si="173"/>
        <v>1</v>
      </c>
      <c r="AB1788" s="35">
        <f t="shared" si="174"/>
        <v>0</v>
      </c>
    </row>
    <row r="1789" spans="1:28">
      <c r="A1789" s="35">
        <v>1778</v>
      </c>
      <c r="B1789" s="35">
        <v>4.9648592149509341E-4</v>
      </c>
      <c r="C1789" s="232">
        <v>75.930000000000007</v>
      </c>
      <c r="D1789" s="35">
        <v>5.0649151984542486</v>
      </c>
      <c r="E1789" s="232">
        <v>47.28</v>
      </c>
      <c r="F1789" s="35">
        <v>5.0534278687326886</v>
      </c>
      <c r="G1789" s="232">
        <v>11843.17</v>
      </c>
      <c r="H1789" s="35">
        <v>9.0772674853263844</v>
      </c>
      <c r="I1789" s="232">
        <v>12780.71</v>
      </c>
      <c r="J1789" s="35">
        <v>7.8320490483988454</v>
      </c>
      <c r="K1789" s="232">
        <v>14575.42</v>
      </c>
      <c r="L1789" s="35">
        <v>8.6520400209511958</v>
      </c>
      <c r="M1789" s="232">
        <v>40624.68</v>
      </c>
      <c r="N1789" s="35">
        <v>7.6140931017342615</v>
      </c>
      <c r="P1789" s="232">
        <v>-28.65</v>
      </c>
      <c r="Q1789" s="35">
        <v>1.148732972156008E-2</v>
      </c>
      <c r="R1789" s="232">
        <v>937.54</v>
      </c>
      <c r="S1789" s="35">
        <v>1.245218436927539</v>
      </c>
      <c r="T1789" s="232">
        <v>26049.26</v>
      </c>
      <c r="U1789" s="35">
        <v>1.0379469192169344</v>
      </c>
      <c r="W1789" s="35">
        <f t="shared" si="169"/>
        <v>603.01648607800394</v>
      </c>
      <c r="X1789" s="35">
        <f t="shared" si="170"/>
        <v>61323.381846376949</v>
      </c>
      <c r="Y1789" s="35">
        <f t="shared" si="171"/>
        <v>25848.085960846718</v>
      </c>
      <c r="Z1789" s="35">
        <f t="shared" si="172"/>
        <v>0</v>
      </c>
      <c r="AA1789" s="35">
        <f t="shared" si="173"/>
        <v>1</v>
      </c>
      <c r="AB1789" s="35">
        <f t="shared" si="174"/>
        <v>0</v>
      </c>
    </row>
    <row r="1790" spans="1:28">
      <c r="A1790" s="35">
        <v>1779</v>
      </c>
      <c r="B1790" s="35">
        <v>4.8472942241850614E-4</v>
      </c>
      <c r="C1790" s="232">
        <v>79.38</v>
      </c>
      <c r="D1790" s="35">
        <v>5.0641179175779447</v>
      </c>
      <c r="E1790" s="232">
        <v>51.48</v>
      </c>
      <c r="F1790" s="35">
        <v>5.0537012622603257</v>
      </c>
      <c r="G1790" s="232">
        <v>12745.45</v>
      </c>
      <c r="H1790" s="35">
        <v>9.1011301963546494</v>
      </c>
      <c r="I1790" s="232">
        <v>14240.85</v>
      </c>
      <c r="J1790" s="35">
        <v>8.0913208423383249</v>
      </c>
      <c r="K1790" s="232">
        <v>13463.35</v>
      </c>
      <c r="L1790" s="35">
        <v>8.5586802912271907</v>
      </c>
      <c r="M1790" s="232">
        <v>39405.07</v>
      </c>
      <c r="N1790" s="35">
        <v>7.509960920864895</v>
      </c>
      <c r="P1790" s="232">
        <v>-27.9</v>
      </c>
      <c r="Q1790" s="35">
        <v>1.0416655317619039E-2</v>
      </c>
      <c r="R1790" s="232">
        <v>1495.4</v>
      </c>
      <c r="S1790" s="35">
        <v>1.0098093540163244</v>
      </c>
      <c r="T1790" s="232">
        <v>25941.72</v>
      </c>
      <c r="U1790" s="35">
        <v>1.0487193703622957</v>
      </c>
      <c r="W1790" s="35">
        <f t="shared" si="169"/>
        <v>548.73276588095189</v>
      </c>
      <c r="X1790" s="35">
        <f t="shared" si="170"/>
        <v>48995.067700816224</v>
      </c>
      <c r="Y1790" s="35">
        <f t="shared" si="171"/>
        <v>26494.248518114786</v>
      </c>
      <c r="Z1790" s="35">
        <f t="shared" si="172"/>
        <v>0</v>
      </c>
      <c r="AA1790" s="35">
        <f t="shared" si="173"/>
        <v>1</v>
      </c>
      <c r="AB1790" s="35">
        <f t="shared" si="174"/>
        <v>0</v>
      </c>
    </row>
    <row r="1791" spans="1:28">
      <c r="A1791" s="35">
        <v>1780</v>
      </c>
      <c r="B1791" s="35">
        <v>4.0887914866878904E-4</v>
      </c>
      <c r="C1791" s="232">
        <v>54.71</v>
      </c>
      <c r="D1791" s="35">
        <v>5.0581596957801214</v>
      </c>
      <c r="E1791" s="232">
        <v>35.44</v>
      </c>
      <c r="F1791" s="35">
        <v>5.0496755705499918</v>
      </c>
      <c r="G1791" s="232">
        <v>9723.7800000000007</v>
      </c>
      <c r="H1791" s="35">
        <v>8.1904421382013801</v>
      </c>
      <c r="I1791" s="232">
        <v>9942.58</v>
      </c>
      <c r="J1791" s="35">
        <v>6.2371723728037098</v>
      </c>
      <c r="K1791" s="232">
        <v>12601.88</v>
      </c>
      <c r="L1791" s="35">
        <v>8.7270184236649619</v>
      </c>
      <c r="M1791" s="232">
        <v>38632.089999999997</v>
      </c>
      <c r="N1791" s="35">
        <v>7.6423223165140604</v>
      </c>
      <c r="P1791" s="232">
        <v>-19.27</v>
      </c>
      <c r="Q1791" s="35">
        <v>8.4841252301295356E-3</v>
      </c>
      <c r="R1791" s="232">
        <v>218.81</v>
      </c>
      <c r="S1791" s="35">
        <v>1.9532697653976703</v>
      </c>
      <c r="T1791" s="232">
        <v>26030.21</v>
      </c>
      <c r="U1791" s="35">
        <v>1.0846961071509016</v>
      </c>
      <c r="W1791" s="35">
        <f t="shared" si="169"/>
        <v>443.47626150647676</v>
      </c>
      <c r="X1791" s="35">
        <f t="shared" si="170"/>
        <v>97444.678269883516</v>
      </c>
      <c r="Y1791" s="35">
        <f t="shared" si="171"/>
        <v>28204.595357545084</v>
      </c>
      <c r="Z1791" s="35">
        <f t="shared" si="172"/>
        <v>0</v>
      </c>
      <c r="AA1791" s="35">
        <f t="shared" si="173"/>
        <v>1</v>
      </c>
      <c r="AB1791" s="35">
        <f t="shared" si="174"/>
        <v>0</v>
      </c>
    </row>
    <row r="1792" spans="1:28">
      <c r="A1792" s="35">
        <v>1781</v>
      </c>
      <c r="B1792" s="35">
        <v>5.7968209892900191E-4</v>
      </c>
      <c r="C1792" s="232">
        <v>108.16</v>
      </c>
      <c r="D1792" s="35">
        <v>5.0684678317531411</v>
      </c>
      <c r="E1792" s="232">
        <v>75.27</v>
      </c>
      <c r="F1792" s="35">
        <v>5.0581433453742717</v>
      </c>
      <c r="G1792" s="232">
        <v>14322.89</v>
      </c>
      <c r="H1792" s="35">
        <v>8.653762045486312</v>
      </c>
      <c r="I1792" s="232">
        <v>15917.27</v>
      </c>
      <c r="J1792" s="35">
        <v>8.135749444236728</v>
      </c>
      <c r="K1792" s="232">
        <v>18787.39</v>
      </c>
      <c r="L1792" s="35">
        <v>8.6617146284539341</v>
      </c>
      <c r="M1792" s="232">
        <v>44900.94</v>
      </c>
      <c r="N1792" s="35">
        <v>7.6141275060109566</v>
      </c>
      <c r="P1792" s="232">
        <v>-32.89</v>
      </c>
      <c r="Q1792" s="35">
        <v>1.0324486378869402E-2</v>
      </c>
      <c r="R1792" s="232">
        <v>1594.38</v>
      </c>
      <c r="S1792" s="35">
        <v>0.51801260124958404</v>
      </c>
      <c r="T1792" s="232">
        <v>26113.55</v>
      </c>
      <c r="U1792" s="35">
        <v>1.0475871224429776</v>
      </c>
      <c r="W1792" s="35">
        <f t="shared" si="169"/>
        <v>549.11431894347004</v>
      </c>
      <c r="X1792" s="35">
        <f t="shared" si="170"/>
        <v>24306.250062479201</v>
      </c>
      <c r="Y1792" s="35">
        <f t="shared" si="171"/>
        <v>26265.806122148879</v>
      </c>
      <c r="Z1792" s="35">
        <f t="shared" si="172"/>
        <v>0</v>
      </c>
      <c r="AA1792" s="35">
        <f t="shared" si="173"/>
        <v>0</v>
      </c>
      <c r="AB1792" s="35">
        <f t="shared" si="174"/>
        <v>1</v>
      </c>
    </row>
    <row r="1793" spans="1:28">
      <c r="A1793" s="35">
        <v>1782</v>
      </c>
      <c r="B1793" s="35">
        <v>3.2889857512365068E-4</v>
      </c>
      <c r="C1793" s="232">
        <v>45.46</v>
      </c>
      <c r="D1793" s="35">
        <v>5.0547923621726607</v>
      </c>
      <c r="E1793" s="232">
        <v>32.700000000000003</v>
      </c>
      <c r="F1793" s="35">
        <v>5.0486961657612364</v>
      </c>
      <c r="G1793" s="232">
        <v>10875.86</v>
      </c>
      <c r="H1793" s="35">
        <v>8.6089947824685247</v>
      </c>
      <c r="I1793" s="232">
        <v>12536.73</v>
      </c>
      <c r="J1793" s="35">
        <v>7.8982233444072518</v>
      </c>
      <c r="K1793" s="232">
        <v>13824.71</v>
      </c>
      <c r="L1793" s="35">
        <v>8.4806738199389873</v>
      </c>
      <c r="M1793" s="232">
        <v>39839.339999999997</v>
      </c>
      <c r="N1793" s="35">
        <v>7.3460869509921514</v>
      </c>
      <c r="P1793" s="232">
        <v>-12.77</v>
      </c>
      <c r="Q1793" s="35">
        <v>6.0961964114243372E-3</v>
      </c>
      <c r="R1793" s="232">
        <v>1660.87</v>
      </c>
      <c r="S1793" s="35">
        <v>0.71077143806127285</v>
      </c>
      <c r="T1793" s="232">
        <v>26014.63</v>
      </c>
      <c r="U1793" s="35">
        <v>1.1345868689468359</v>
      </c>
      <c r="W1793" s="35">
        <f t="shared" si="169"/>
        <v>317.57982057121683</v>
      </c>
      <c r="X1793" s="35">
        <f t="shared" si="170"/>
        <v>33877.701903063637</v>
      </c>
      <c r="Y1793" s="35">
        <f t="shared" si="171"/>
        <v>30714.713447341794</v>
      </c>
      <c r="Z1793" s="35">
        <f t="shared" si="172"/>
        <v>0</v>
      </c>
      <c r="AA1793" s="35">
        <f t="shared" si="173"/>
        <v>1</v>
      </c>
      <c r="AB1793" s="35">
        <f t="shared" si="174"/>
        <v>0</v>
      </c>
    </row>
    <row r="1794" spans="1:28">
      <c r="A1794" s="35">
        <v>1783</v>
      </c>
      <c r="B1794" s="35">
        <v>4.3875348732064164E-4</v>
      </c>
      <c r="C1794" s="232">
        <v>76.2</v>
      </c>
      <c r="D1794" s="35">
        <v>5.0594854073487205</v>
      </c>
      <c r="E1794" s="232">
        <v>49.56</v>
      </c>
      <c r="F1794" s="35">
        <v>5.0509098605046212</v>
      </c>
      <c r="G1794" s="232">
        <v>12953.7</v>
      </c>
      <c r="H1794" s="35">
        <v>8.447683926439348</v>
      </c>
      <c r="I1794" s="232">
        <v>13963.03</v>
      </c>
      <c r="J1794" s="35">
        <v>7.7153668810893477</v>
      </c>
      <c r="K1794" s="232">
        <v>18151.009999999998</v>
      </c>
      <c r="L1794" s="35">
        <v>8.302333100983132</v>
      </c>
      <c r="M1794" s="232">
        <v>44347.24</v>
      </c>
      <c r="N1794" s="35">
        <v>7.2084949563164944</v>
      </c>
      <c r="P1794" s="232">
        <v>-26.64</v>
      </c>
      <c r="Q1794" s="35">
        <v>8.5755468440993354E-3</v>
      </c>
      <c r="R1794" s="232">
        <v>1009.33</v>
      </c>
      <c r="S1794" s="35">
        <v>0.73231704535000031</v>
      </c>
      <c r="T1794" s="232">
        <v>26196.23</v>
      </c>
      <c r="U1794" s="35">
        <v>1.0938381446666376</v>
      </c>
      <c r="W1794" s="35">
        <f t="shared" si="169"/>
        <v>455.41734220496676</v>
      </c>
      <c r="X1794" s="35">
        <f t="shared" si="170"/>
        <v>35606.522267500011</v>
      </c>
      <c r="Y1794" s="35">
        <f t="shared" si="171"/>
        <v>28495.677233331884</v>
      </c>
      <c r="Z1794" s="35">
        <f t="shared" si="172"/>
        <v>0</v>
      </c>
      <c r="AA1794" s="35">
        <f t="shared" si="173"/>
        <v>1</v>
      </c>
      <c r="AB1794" s="35">
        <f t="shared" si="174"/>
        <v>0</v>
      </c>
    </row>
    <row r="1795" spans="1:28">
      <c r="A1795" s="35">
        <v>1784</v>
      </c>
      <c r="B1795" s="35">
        <v>4.7849070836092356E-4</v>
      </c>
      <c r="C1795" s="232">
        <v>63.63</v>
      </c>
      <c r="D1795" s="35">
        <v>5.0608921140870509</v>
      </c>
      <c r="E1795" s="232">
        <v>39.42</v>
      </c>
      <c r="F1795" s="35">
        <v>5.0508296309708536</v>
      </c>
      <c r="G1795" s="232">
        <v>10236.85</v>
      </c>
      <c r="H1795" s="35">
        <v>8.3998656346197951</v>
      </c>
      <c r="I1795" s="232">
        <v>11069.59</v>
      </c>
      <c r="J1795" s="35">
        <v>7.214388059825561</v>
      </c>
      <c r="K1795" s="232">
        <v>14016.57</v>
      </c>
      <c r="L1795" s="35">
        <v>8.1317212132344157</v>
      </c>
      <c r="M1795" s="232">
        <v>40063.54</v>
      </c>
      <c r="N1795" s="35">
        <v>7.0219316181120046</v>
      </c>
      <c r="P1795" s="232">
        <v>-24.21</v>
      </c>
      <c r="Q1795" s="35">
        <v>1.0062483116197285E-2</v>
      </c>
      <c r="R1795" s="232">
        <v>832.74</v>
      </c>
      <c r="S1795" s="35">
        <v>1.1854775747942341</v>
      </c>
      <c r="T1795" s="232">
        <v>26046.97</v>
      </c>
      <c r="U1795" s="35">
        <v>1.109789595122411</v>
      </c>
      <c r="W1795" s="35">
        <f t="shared" si="169"/>
        <v>527.33415580986423</v>
      </c>
      <c r="X1795" s="35">
        <f t="shared" si="170"/>
        <v>58441.138739711707</v>
      </c>
      <c r="Y1795" s="35">
        <f t="shared" si="171"/>
        <v>29442.509756120548</v>
      </c>
      <c r="Z1795" s="35">
        <f t="shared" si="172"/>
        <v>0</v>
      </c>
      <c r="AA1795" s="35">
        <f t="shared" si="173"/>
        <v>1</v>
      </c>
      <c r="AB1795" s="35">
        <f t="shared" si="174"/>
        <v>0</v>
      </c>
    </row>
    <row r="1796" spans="1:28">
      <c r="A1796" s="35">
        <v>1785</v>
      </c>
      <c r="B1796" s="35">
        <v>4.3154435861216352E-4</v>
      </c>
      <c r="C1796" s="232">
        <v>74.569999999999993</v>
      </c>
      <c r="D1796" s="35">
        <v>5.0612468017663907</v>
      </c>
      <c r="E1796" s="232">
        <v>38.43</v>
      </c>
      <c r="F1796" s="35">
        <v>5.048795517351139</v>
      </c>
      <c r="G1796" s="232">
        <v>13455.79</v>
      </c>
      <c r="H1796" s="35">
        <v>8.7873697877249519</v>
      </c>
      <c r="I1796" s="232">
        <v>14459.56</v>
      </c>
      <c r="J1796" s="35">
        <v>7.7695456147052289</v>
      </c>
      <c r="K1796" s="232">
        <v>18297.900000000001</v>
      </c>
      <c r="L1796" s="35">
        <v>9.1221207860581881</v>
      </c>
      <c r="M1796" s="232">
        <v>44606.83</v>
      </c>
      <c r="N1796" s="35">
        <v>7.9849654642544721</v>
      </c>
      <c r="P1796" s="232">
        <v>-36.14</v>
      </c>
      <c r="Q1796" s="35">
        <v>1.2451284415251784E-2</v>
      </c>
      <c r="R1796" s="232">
        <v>1003.77</v>
      </c>
      <c r="S1796" s="35">
        <v>1.0178241730197231</v>
      </c>
      <c r="T1796" s="232">
        <v>26308.93</v>
      </c>
      <c r="U1796" s="35">
        <v>1.137155321803716</v>
      </c>
      <c r="W1796" s="35">
        <f t="shared" si="169"/>
        <v>658.70422076258922</v>
      </c>
      <c r="X1796" s="35">
        <f t="shared" si="170"/>
        <v>49887.438650986158</v>
      </c>
      <c r="Y1796" s="35">
        <f t="shared" si="171"/>
        <v>30548.836090185803</v>
      </c>
      <c r="Z1796" s="35">
        <f t="shared" si="172"/>
        <v>0</v>
      </c>
      <c r="AA1796" s="35">
        <f t="shared" si="173"/>
        <v>1</v>
      </c>
      <c r="AB1796" s="35">
        <f t="shared" si="174"/>
        <v>0</v>
      </c>
    </row>
    <row r="1797" spans="1:28">
      <c r="A1797" s="35">
        <v>1786</v>
      </c>
      <c r="B1797" s="35">
        <v>4.6617706387619418E-4</v>
      </c>
      <c r="C1797" s="232">
        <v>44.98</v>
      </c>
      <c r="D1797" s="35">
        <v>5.0616510258931937</v>
      </c>
      <c r="E1797" s="232">
        <v>28.3</v>
      </c>
      <c r="F1797" s="35">
        <v>5.0509219705420767</v>
      </c>
      <c r="G1797" s="232">
        <v>8239.33</v>
      </c>
      <c r="H1797" s="35">
        <v>8.5387269237455108</v>
      </c>
      <c r="I1797" s="232">
        <v>10707.69</v>
      </c>
      <c r="J1797" s="35">
        <v>7.1606821688185205</v>
      </c>
      <c r="K1797" s="232">
        <v>7209.81</v>
      </c>
      <c r="L1797" s="35">
        <v>8.7142871383008824</v>
      </c>
      <c r="M1797" s="232">
        <v>32885.97</v>
      </c>
      <c r="N1797" s="35">
        <v>7.6492095506603368</v>
      </c>
      <c r="P1797" s="232">
        <v>-16.670000000000002</v>
      </c>
      <c r="Q1797" s="35">
        <v>1.0729055351117012E-2</v>
      </c>
      <c r="R1797" s="232">
        <v>2468.35</v>
      </c>
      <c r="S1797" s="35">
        <v>1.3780447549269903</v>
      </c>
      <c r="T1797" s="232">
        <v>25676.17</v>
      </c>
      <c r="U1797" s="35">
        <v>1.0650775876405456</v>
      </c>
      <c r="W1797" s="35">
        <f t="shared" si="169"/>
        <v>553.1227675558506</v>
      </c>
      <c r="X1797" s="35">
        <f t="shared" si="170"/>
        <v>66433.887746349516</v>
      </c>
      <c r="Y1797" s="35">
        <f t="shared" si="171"/>
        <v>27577.709382027286</v>
      </c>
      <c r="Z1797" s="35">
        <f t="shared" si="172"/>
        <v>0</v>
      </c>
      <c r="AA1797" s="35">
        <f t="shared" si="173"/>
        <v>1</v>
      </c>
      <c r="AB1797" s="35">
        <f t="shared" si="174"/>
        <v>0</v>
      </c>
    </row>
    <row r="1798" spans="1:28">
      <c r="A1798" s="35">
        <v>1787</v>
      </c>
      <c r="B1798" s="35">
        <v>3.826715854829822E-4</v>
      </c>
      <c r="C1798" s="232">
        <v>57.18</v>
      </c>
      <c r="D1798" s="35">
        <v>5.0578544613569347</v>
      </c>
      <c r="E1798" s="232">
        <v>33.590000000000003</v>
      </c>
      <c r="F1798" s="35">
        <v>5.0483545244815407</v>
      </c>
      <c r="G1798" s="232">
        <v>11458.67</v>
      </c>
      <c r="H1798" s="35">
        <v>8.6435157063434485</v>
      </c>
      <c r="I1798" s="232">
        <v>12946.83</v>
      </c>
      <c r="J1798" s="35">
        <v>7.9831509652701005</v>
      </c>
      <c r="K1798" s="232">
        <v>15616.31</v>
      </c>
      <c r="L1798" s="35">
        <v>8.738202138441137</v>
      </c>
      <c r="M1798" s="232">
        <v>41770.050000000003</v>
      </c>
      <c r="N1798" s="35">
        <v>7.6257458344812985</v>
      </c>
      <c r="P1798" s="232">
        <v>-23.59</v>
      </c>
      <c r="Q1798" s="35">
        <v>9.4999368753940772E-3</v>
      </c>
      <c r="R1798" s="232">
        <v>1488.16</v>
      </c>
      <c r="S1798" s="35">
        <v>0.66036474107334797</v>
      </c>
      <c r="T1798" s="232">
        <v>26153.74</v>
      </c>
      <c r="U1798" s="35">
        <v>1.1124563039598385</v>
      </c>
      <c r="W1798" s="35">
        <f t="shared" si="169"/>
        <v>498.58684376970382</v>
      </c>
      <c r="X1798" s="35">
        <f t="shared" si="170"/>
        <v>31530.077053667399</v>
      </c>
      <c r="Y1798" s="35">
        <f t="shared" si="171"/>
        <v>29469.075197991926</v>
      </c>
      <c r="Z1798" s="35">
        <f t="shared" si="172"/>
        <v>0</v>
      </c>
      <c r="AA1798" s="35">
        <f t="shared" si="173"/>
        <v>1</v>
      </c>
      <c r="AB1798" s="35">
        <f t="shared" si="174"/>
        <v>0</v>
      </c>
    </row>
    <row r="1799" spans="1:28">
      <c r="A1799" s="35">
        <v>1788</v>
      </c>
      <c r="B1799" s="35">
        <v>5.2101214575672739E-4</v>
      </c>
      <c r="C1799" s="232">
        <v>69.81</v>
      </c>
      <c r="D1799" s="35">
        <v>5.0634889273286205</v>
      </c>
      <c r="E1799" s="232">
        <v>48.29</v>
      </c>
      <c r="F1799" s="35">
        <v>5.0542664180166561</v>
      </c>
      <c r="G1799" s="232">
        <v>9905.14</v>
      </c>
      <c r="H1799" s="35">
        <v>8.4365173868541845</v>
      </c>
      <c r="I1799" s="232">
        <v>10873.17</v>
      </c>
      <c r="J1799" s="35">
        <v>7.1305812606511498</v>
      </c>
      <c r="K1799" s="232">
        <v>11603.73</v>
      </c>
      <c r="L1799" s="35">
        <v>8.3895270741764367</v>
      </c>
      <c r="M1799" s="232">
        <v>37407.79</v>
      </c>
      <c r="N1799" s="35">
        <v>7.3632962500055115</v>
      </c>
      <c r="P1799" s="232">
        <v>-21.52</v>
      </c>
      <c r="Q1799" s="35">
        <v>9.2225093119644441E-3</v>
      </c>
      <c r="R1799" s="232">
        <v>968.02</v>
      </c>
      <c r="S1799" s="35">
        <v>1.3059361262030347</v>
      </c>
      <c r="T1799" s="232">
        <v>25804.06</v>
      </c>
      <c r="U1799" s="35">
        <v>1.0262308241709253</v>
      </c>
      <c r="W1799" s="35">
        <f t="shared" si="169"/>
        <v>482.64546559822219</v>
      </c>
      <c r="X1799" s="35">
        <f t="shared" si="170"/>
        <v>64328.786310151736</v>
      </c>
      <c r="Y1799" s="35">
        <f t="shared" si="171"/>
        <v>25507.481208546258</v>
      </c>
      <c r="Z1799" s="35">
        <f t="shared" si="172"/>
        <v>0</v>
      </c>
      <c r="AA1799" s="35">
        <f t="shared" si="173"/>
        <v>1</v>
      </c>
      <c r="AB1799" s="35">
        <f t="shared" si="174"/>
        <v>0</v>
      </c>
    </row>
    <row r="1800" spans="1:28">
      <c r="A1800" s="35">
        <v>1789</v>
      </c>
      <c r="B1800" s="35">
        <v>4.7140658965028059E-4</v>
      </c>
      <c r="C1800" s="232">
        <v>54.06</v>
      </c>
      <c r="D1800" s="35">
        <v>5.0615543902675544</v>
      </c>
      <c r="E1800" s="232">
        <v>33.99</v>
      </c>
      <c r="F1800" s="35">
        <v>5.0511789354505767</v>
      </c>
      <c r="G1800" s="232">
        <v>8954.34</v>
      </c>
      <c r="H1800" s="35">
        <v>8.3453619688096516</v>
      </c>
      <c r="I1800" s="232">
        <v>11048.38</v>
      </c>
      <c r="J1800" s="35">
        <v>7.798034686940615</v>
      </c>
      <c r="K1800" s="232">
        <v>8167.51</v>
      </c>
      <c r="L1800" s="35">
        <v>8.7826488232123054</v>
      </c>
      <c r="M1800" s="232">
        <v>33801.620000000003</v>
      </c>
      <c r="N1800" s="35">
        <v>7.6496345268877342</v>
      </c>
      <c r="P1800" s="232">
        <v>-20.07</v>
      </c>
      <c r="Q1800" s="35">
        <v>1.0375454816977658E-2</v>
      </c>
      <c r="R1800" s="232">
        <v>2094.04</v>
      </c>
      <c r="S1800" s="35">
        <v>0.54732728186903667</v>
      </c>
      <c r="T1800" s="232">
        <v>25634.11</v>
      </c>
      <c r="U1800" s="35">
        <v>1.1330142963245713</v>
      </c>
      <c r="W1800" s="35">
        <f t="shared" si="169"/>
        <v>538.84274084888295</v>
      </c>
      <c r="X1800" s="35">
        <f t="shared" si="170"/>
        <v>25272.324093451833</v>
      </c>
      <c r="Y1800" s="35">
        <f t="shared" si="171"/>
        <v>31016.604816228566</v>
      </c>
      <c r="Z1800" s="35">
        <f t="shared" si="172"/>
        <v>0</v>
      </c>
      <c r="AA1800" s="35">
        <f t="shared" si="173"/>
        <v>0</v>
      </c>
      <c r="AB1800" s="35">
        <f t="shared" si="174"/>
        <v>1</v>
      </c>
    </row>
    <row r="1801" spans="1:28">
      <c r="A1801" s="35">
        <v>1790</v>
      </c>
      <c r="B1801" s="35">
        <v>4.162220328722692E-4</v>
      </c>
      <c r="C1801" s="232">
        <v>63.27</v>
      </c>
      <c r="D1801" s="35">
        <v>5.0590703082761932</v>
      </c>
      <c r="E1801" s="232">
        <v>36.130000000000003</v>
      </c>
      <c r="F1801" s="35">
        <v>5.0487716254243598</v>
      </c>
      <c r="G1801" s="232">
        <v>11630.67</v>
      </c>
      <c r="H1801" s="35">
        <v>8.4986536099546264</v>
      </c>
      <c r="I1801" s="232">
        <v>12621.89</v>
      </c>
      <c r="J1801" s="35">
        <v>7.5308993279032883</v>
      </c>
      <c r="K1801" s="232">
        <v>16670.84</v>
      </c>
      <c r="L1801" s="35">
        <v>8.8348997669472809</v>
      </c>
      <c r="M1801" s="232">
        <v>42975.35</v>
      </c>
      <c r="N1801" s="35">
        <v>7.7363044516170607</v>
      </c>
      <c r="P1801" s="232">
        <v>-27.15</v>
      </c>
      <c r="Q1801" s="35">
        <v>1.0298682851833441E-2</v>
      </c>
      <c r="R1801" s="232">
        <v>991.22</v>
      </c>
      <c r="S1801" s="35">
        <v>0.96775428205133807</v>
      </c>
      <c r="T1801" s="232">
        <v>26304.51</v>
      </c>
      <c r="U1801" s="35">
        <v>1.0985953153302201</v>
      </c>
      <c r="W1801" s="35">
        <f t="shared" si="169"/>
        <v>542.08414259167205</v>
      </c>
      <c r="X1801" s="35">
        <f t="shared" si="170"/>
        <v>47396.494102566903</v>
      </c>
      <c r="Y1801" s="35">
        <f t="shared" si="171"/>
        <v>28625.255766511011</v>
      </c>
      <c r="Z1801" s="35">
        <f t="shared" si="172"/>
        <v>0</v>
      </c>
      <c r="AA1801" s="35">
        <f t="shared" si="173"/>
        <v>1</v>
      </c>
      <c r="AB1801" s="35">
        <f t="shared" si="174"/>
        <v>0</v>
      </c>
    </row>
    <row r="1802" spans="1:28">
      <c r="A1802" s="35">
        <v>1791</v>
      </c>
      <c r="B1802" s="35">
        <v>5.8007300015383567E-4</v>
      </c>
      <c r="C1802" s="232">
        <v>52.24</v>
      </c>
      <c r="D1802" s="35">
        <v>5.0645251801416666</v>
      </c>
      <c r="E1802" s="232">
        <v>34.619999999999997</v>
      </c>
      <c r="F1802" s="35">
        <v>5.0536850478167654</v>
      </c>
      <c r="G1802" s="232">
        <v>7524</v>
      </c>
      <c r="H1802" s="35">
        <v>8.0201665743989619</v>
      </c>
      <c r="I1802" s="232">
        <v>9848.1299999999992</v>
      </c>
      <c r="J1802" s="35">
        <v>6.7258909857251234</v>
      </c>
      <c r="K1802" s="232">
        <v>6848.3</v>
      </c>
      <c r="L1802" s="35">
        <v>8.3501731695314678</v>
      </c>
      <c r="M1802" s="232">
        <v>32650.48</v>
      </c>
      <c r="N1802" s="35">
        <v>7.2849415817242855</v>
      </c>
      <c r="P1802" s="232">
        <v>-17.62</v>
      </c>
      <c r="Q1802" s="35">
        <v>1.0840132324901219E-2</v>
      </c>
      <c r="R1802" s="232">
        <v>2324.12</v>
      </c>
      <c r="S1802" s="35">
        <v>1.2942755886738384</v>
      </c>
      <c r="T1802" s="232">
        <v>25802.18</v>
      </c>
      <c r="U1802" s="35">
        <v>1.0652315878071823</v>
      </c>
      <c r="W1802" s="35">
        <f t="shared" si="169"/>
        <v>559.62661624506097</v>
      </c>
      <c r="X1802" s="35">
        <f t="shared" si="170"/>
        <v>62389.659433691915</v>
      </c>
      <c r="Y1802" s="35">
        <f t="shared" si="171"/>
        <v>27459.399390359118</v>
      </c>
      <c r="Z1802" s="35">
        <f t="shared" si="172"/>
        <v>0</v>
      </c>
      <c r="AA1802" s="35">
        <f t="shared" si="173"/>
        <v>1</v>
      </c>
      <c r="AB1802" s="35">
        <f t="shared" si="174"/>
        <v>0</v>
      </c>
    </row>
    <row r="1803" spans="1:28">
      <c r="A1803" s="35">
        <v>1792</v>
      </c>
      <c r="B1803" s="35">
        <v>3.4785914316897999E-4</v>
      </c>
      <c r="C1803" s="232">
        <v>48.32</v>
      </c>
      <c r="D1803" s="35">
        <v>5.0565419170773218</v>
      </c>
      <c r="E1803" s="232">
        <v>31.7</v>
      </c>
      <c r="F1803" s="35">
        <v>5.0487271510834608</v>
      </c>
      <c r="G1803" s="232">
        <v>10365.11</v>
      </c>
      <c r="H1803" s="35">
        <v>8.9922250026423569</v>
      </c>
      <c r="I1803" s="232">
        <v>11045.03</v>
      </c>
      <c r="J1803" s="35">
        <v>7.8428319596670795</v>
      </c>
      <c r="K1803" s="232">
        <v>13734.4</v>
      </c>
      <c r="L1803" s="35">
        <v>8.4272669816365404</v>
      </c>
      <c r="M1803" s="232">
        <v>39715.89</v>
      </c>
      <c r="N1803" s="35">
        <v>7.2767686955280402</v>
      </c>
      <c r="P1803" s="232">
        <v>-16.62</v>
      </c>
      <c r="Q1803" s="35">
        <v>7.8147659938609948E-3</v>
      </c>
      <c r="R1803" s="232">
        <v>679.92</v>
      </c>
      <c r="S1803" s="35">
        <v>1.1493930429752774</v>
      </c>
      <c r="T1803" s="232">
        <v>25981.5</v>
      </c>
      <c r="U1803" s="35">
        <v>1.1504982861085002</v>
      </c>
      <c r="W1803" s="35">
        <f t="shared" si="169"/>
        <v>407.35829969304973</v>
      </c>
      <c r="X1803" s="35">
        <f t="shared" si="170"/>
        <v>56789.732148763876</v>
      </c>
      <c r="Y1803" s="35">
        <f t="shared" si="171"/>
        <v>31543.414305425009</v>
      </c>
      <c r="Z1803" s="35">
        <f t="shared" si="172"/>
        <v>0</v>
      </c>
      <c r="AA1803" s="35">
        <f t="shared" si="173"/>
        <v>1</v>
      </c>
      <c r="AB1803" s="35">
        <f t="shared" si="174"/>
        <v>0</v>
      </c>
    </row>
    <row r="1804" spans="1:28">
      <c r="A1804" s="35">
        <v>1793</v>
      </c>
      <c r="B1804" s="35">
        <v>3.5897954545131117E-4</v>
      </c>
      <c r="C1804" s="232">
        <v>56.41</v>
      </c>
      <c r="D1804" s="35">
        <v>5.0573090623825721</v>
      </c>
      <c r="E1804" s="232">
        <v>36.020000000000003</v>
      </c>
      <c r="F1804" s="35">
        <v>5.0490411180711794</v>
      </c>
      <c r="G1804" s="232">
        <v>11989.42</v>
      </c>
      <c r="H1804" s="35">
        <v>8.8740855760219297</v>
      </c>
      <c r="I1804" s="232">
        <v>12464.96</v>
      </c>
      <c r="J1804" s="35">
        <v>7.4947165502178592</v>
      </c>
      <c r="K1804" s="232">
        <v>16191.51</v>
      </c>
      <c r="L1804" s="35">
        <v>8.7827304478949131</v>
      </c>
      <c r="M1804" s="232">
        <v>42359.24</v>
      </c>
      <c r="N1804" s="35">
        <v>7.726553681419146</v>
      </c>
      <c r="P1804" s="232">
        <v>-20.39</v>
      </c>
      <c r="Q1804" s="35">
        <v>8.2679443113926609E-3</v>
      </c>
      <c r="R1804" s="232">
        <v>475.54</v>
      </c>
      <c r="S1804" s="35">
        <v>1.3793690258040705</v>
      </c>
      <c r="T1804" s="232">
        <v>26167.73</v>
      </c>
      <c r="U1804" s="35">
        <v>1.0561767664757671</v>
      </c>
      <c r="W1804" s="35">
        <f t="shared" ref="W1804:W1867" si="175">$X$2*Q1804-P1804</f>
        <v>433.78721556963302</v>
      </c>
      <c r="X1804" s="35">
        <f t="shared" ref="X1804:X1867" si="176">$X$2*S1804-R1804</f>
        <v>68492.911290203527</v>
      </c>
      <c r="Y1804" s="35">
        <f t="shared" ref="Y1804:Y1867" si="177">$X$2*U1804-T1804</f>
        <v>26641.108323788354</v>
      </c>
      <c r="Z1804" s="35">
        <f t="shared" ref="Z1804:Z1867" si="178">IF(W1804=MAX($W1804:$Y1804), 1, 0)</f>
        <v>0</v>
      </c>
      <c r="AA1804" s="35">
        <f t="shared" ref="AA1804:AA1867" si="179">IF(X1804=MAX($W1804:$Y1804), 1, 0)</f>
        <v>1</v>
      </c>
      <c r="AB1804" s="35">
        <f t="shared" ref="AB1804:AB1867" si="180">IF(Y1804=MAX($W1804:$Y1804), 1, 0)</f>
        <v>0</v>
      </c>
    </row>
    <row r="1805" spans="1:28">
      <c r="A1805" s="35">
        <v>1794</v>
      </c>
      <c r="B1805" s="35">
        <v>4.8667216572517713E-4</v>
      </c>
      <c r="C1805" s="232">
        <v>83.34</v>
      </c>
      <c r="D1805" s="35">
        <v>5.0636168963687203</v>
      </c>
      <c r="E1805" s="232">
        <v>50.24</v>
      </c>
      <c r="F1805" s="35">
        <v>5.0522815005801691</v>
      </c>
      <c r="G1805" s="232">
        <v>13025.94</v>
      </c>
      <c r="H1805" s="35">
        <v>8.8879493371895837</v>
      </c>
      <c r="I1805" s="232">
        <v>13013.02</v>
      </c>
      <c r="J1805" s="35">
        <v>7.4643886141577322</v>
      </c>
      <c r="K1805" s="232">
        <v>18007.23</v>
      </c>
      <c r="L1805" s="35">
        <v>8.5657523312054398</v>
      </c>
      <c r="M1805" s="232">
        <v>44504.85</v>
      </c>
      <c r="N1805" s="35">
        <v>7.3139050375408292</v>
      </c>
      <c r="P1805" s="232">
        <v>-33.1</v>
      </c>
      <c r="Q1805" s="35">
        <v>1.1335395788551139E-2</v>
      </c>
      <c r="R1805" s="232">
        <v>-12.92</v>
      </c>
      <c r="S1805" s="35">
        <v>1.4235607230318514</v>
      </c>
      <c r="T1805" s="232">
        <v>26497.61</v>
      </c>
      <c r="U1805" s="35">
        <v>1.2518472936646106</v>
      </c>
      <c r="W1805" s="35">
        <f t="shared" si="175"/>
        <v>599.86978942755695</v>
      </c>
      <c r="X1805" s="35">
        <f t="shared" si="176"/>
        <v>71190.956151592574</v>
      </c>
      <c r="Y1805" s="35">
        <f t="shared" si="177"/>
        <v>36094.754683230531</v>
      </c>
      <c r="Z1805" s="35">
        <f t="shared" si="178"/>
        <v>0</v>
      </c>
      <c r="AA1805" s="35">
        <f t="shared" si="179"/>
        <v>1</v>
      </c>
      <c r="AB1805" s="35">
        <f t="shared" si="180"/>
        <v>0</v>
      </c>
    </row>
    <row r="1806" spans="1:28">
      <c r="A1806" s="35">
        <v>1795</v>
      </c>
      <c r="B1806" s="35">
        <v>4.2823394633034712E-4</v>
      </c>
      <c r="C1806" s="232">
        <v>58.82</v>
      </c>
      <c r="D1806" s="35">
        <v>5.0606778674321298</v>
      </c>
      <c r="E1806" s="232">
        <v>40.21</v>
      </c>
      <c r="F1806" s="35">
        <v>5.052063015171055</v>
      </c>
      <c r="G1806" s="232">
        <v>11006.15</v>
      </c>
      <c r="H1806" s="35">
        <v>8.6884629542048</v>
      </c>
      <c r="I1806" s="232">
        <v>12762.23</v>
      </c>
      <c r="J1806" s="35">
        <v>7.7596959986142977</v>
      </c>
      <c r="K1806" s="232">
        <v>13106.31</v>
      </c>
      <c r="L1806" s="35">
        <v>8.8815091725711035</v>
      </c>
      <c r="M1806" s="232">
        <v>39145.08</v>
      </c>
      <c r="N1806" s="35">
        <v>7.9204079119512985</v>
      </c>
      <c r="P1806" s="232">
        <v>-18.600000000000001</v>
      </c>
      <c r="Q1806" s="35">
        <v>8.6148522610747236E-3</v>
      </c>
      <c r="R1806" s="232">
        <v>1756.08</v>
      </c>
      <c r="S1806" s="35">
        <v>0.92876695559050226</v>
      </c>
      <c r="T1806" s="232">
        <v>26038.77</v>
      </c>
      <c r="U1806" s="35">
        <v>0.96110126061980505</v>
      </c>
      <c r="W1806" s="35">
        <f t="shared" si="175"/>
        <v>449.34261305373622</v>
      </c>
      <c r="X1806" s="35">
        <f t="shared" si="176"/>
        <v>44682.267779525115</v>
      </c>
      <c r="Y1806" s="35">
        <f t="shared" si="177"/>
        <v>22016.293030990255</v>
      </c>
      <c r="Z1806" s="35">
        <f t="shared" si="178"/>
        <v>0</v>
      </c>
      <c r="AA1806" s="35">
        <f t="shared" si="179"/>
        <v>1</v>
      </c>
      <c r="AB1806" s="35">
        <f t="shared" si="180"/>
        <v>0</v>
      </c>
    </row>
    <row r="1807" spans="1:28">
      <c r="A1807" s="35">
        <v>1796</v>
      </c>
      <c r="B1807" s="35">
        <v>4.2733346907939177E-4</v>
      </c>
      <c r="C1807" s="232">
        <v>60.16</v>
      </c>
      <c r="D1807" s="35">
        <v>5.0600839593426867</v>
      </c>
      <c r="E1807" s="232">
        <v>36.97</v>
      </c>
      <c r="F1807" s="35">
        <v>5.0501888151711398</v>
      </c>
      <c r="G1807" s="232">
        <v>11373.53</v>
      </c>
      <c r="H1807" s="35">
        <v>8.8791641093204845</v>
      </c>
      <c r="I1807" s="232">
        <v>13123.47</v>
      </c>
      <c r="J1807" s="35">
        <v>7.7140550749785666</v>
      </c>
      <c r="K1807" s="232">
        <v>12011.58</v>
      </c>
      <c r="L1807" s="35">
        <v>8.3965201086324281</v>
      </c>
      <c r="M1807" s="232">
        <v>37915.17</v>
      </c>
      <c r="N1807" s="35">
        <v>7.3138551113354202</v>
      </c>
      <c r="P1807" s="232">
        <v>-23.2</v>
      </c>
      <c r="Q1807" s="35">
        <v>9.8951441715469102E-3</v>
      </c>
      <c r="R1807" s="232">
        <v>1749.94</v>
      </c>
      <c r="S1807" s="35">
        <v>1.1651090343419179</v>
      </c>
      <c r="T1807" s="232">
        <v>25903.599999999999</v>
      </c>
      <c r="U1807" s="35">
        <v>1.0826649972970079</v>
      </c>
      <c r="W1807" s="35">
        <f t="shared" si="175"/>
        <v>517.95720857734557</v>
      </c>
      <c r="X1807" s="35">
        <f t="shared" si="176"/>
        <v>56505.511717095891</v>
      </c>
      <c r="Y1807" s="35">
        <f t="shared" si="177"/>
        <v>28229.649864850398</v>
      </c>
      <c r="Z1807" s="35">
        <f t="shared" si="178"/>
        <v>0</v>
      </c>
      <c r="AA1807" s="35">
        <f t="shared" si="179"/>
        <v>1</v>
      </c>
      <c r="AB1807" s="35">
        <f t="shared" si="180"/>
        <v>0</v>
      </c>
    </row>
    <row r="1808" spans="1:28">
      <c r="A1808" s="35">
        <v>1797</v>
      </c>
      <c r="B1808" s="35">
        <v>5.0904332230083948E-4</v>
      </c>
      <c r="C1808" s="232">
        <v>92.91</v>
      </c>
      <c r="D1808" s="35">
        <v>5.0655917815691645</v>
      </c>
      <c r="E1808" s="232">
        <v>57.91</v>
      </c>
      <c r="F1808" s="35">
        <v>5.0540756779551259</v>
      </c>
      <c r="G1808" s="232">
        <v>13891.8</v>
      </c>
      <c r="H1808" s="35">
        <v>8.9209648355494</v>
      </c>
      <c r="I1808" s="232">
        <v>13673.75</v>
      </c>
      <c r="J1808" s="35">
        <v>7.5304451207126926</v>
      </c>
      <c r="K1808" s="232">
        <v>20960.53</v>
      </c>
      <c r="L1808" s="35">
        <v>8.7218395899744401</v>
      </c>
      <c r="M1808" s="232">
        <v>47462.31</v>
      </c>
      <c r="N1808" s="35">
        <v>7.5881772868392945</v>
      </c>
      <c r="P1808" s="232">
        <v>-35</v>
      </c>
      <c r="Q1808" s="35">
        <v>1.1516103614038542E-2</v>
      </c>
      <c r="R1808" s="232">
        <v>-218.05</v>
      </c>
      <c r="S1808" s="35">
        <v>1.3905197148367074</v>
      </c>
      <c r="T1808" s="232">
        <v>26501.77</v>
      </c>
      <c r="U1808" s="35">
        <v>1.1336623031351456</v>
      </c>
      <c r="W1808" s="35">
        <f t="shared" si="175"/>
        <v>610.80518070192716</v>
      </c>
      <c r="X1808" s="35">
        <f t="shared" si="176"/>
        <v>69744.035741835381</v>
      </c>
      <c r="Y1808" s="35">
        <f t="shared" si="177"/>
        <v>30181.345156757281</v>
      </c>
      <c r="Z1808" s="35">
        <f t="shared" si="178"/>
        <v>0</v>
      </c>
      <c r="AA1808" s="35">
        <f t="shared" si="179"/>
        <v>1</v>
      </c>
      <c r="AB1808" s="35">
        <f t="shared" si="180"/>
        <v>0</v>
      </c>
    </row>
    <row r="1809" spans="1:28">
      <c r="A1809" s="35">
        <v>1798</v>
      </c>
      <c r="B1809" s="35">
        <v>5.1937033176607805E-4</v>
      </c>
      <c r="C1809" s="232">
        <v>86.18</v>
      </c>
      <c r="D1809" s="35">
        <v>5.0677511576365886</v>
      </c>
      <c r="E1809" s="232">
        <v>51.18</v>
      </c>
      <c r="F1809" s="35">
        <v>5.0543669596255603</v>
      </c>
      <c r="G1809" s="232">
        <v>13153.43</v>
      </c>
      <c r="H1809" s="35">
        <v>9.2342782306248736</v>
      </c>
      <c r="I1809" s="232">
        <v>14149.45</v>
      </c>
      <c r="J1809" s="35">
        <v>7.8364015093810346</v>
      </c>
      <c r="K1809" s="232">
        <v>16310.21</v>
      </c>
      <c r="L1809" s="35">
        <v>9.1048811121837865</v>
      </c>
      <c r="M1809" s="232">
        <v>42575.77</v>
      </c>
      <c r="N1809" s="35">
        <v>8.0327783085577824</v>
      </c>
      <c r="P1809" s="232">
        <v>-35</v>
      </c>
      <c r="Q1809" s="35">
        <v>1.3384198011028303E-2</v>
      </c>
      <c r="R1809" s="232">
        <v>996.03</v>
      </c>
      <c r="S1809" s="35">
        <v>1.397876721243839</v>
      </c>
      <c r="T1809" s="232">
        <v>26265.55</v>
      </c>
      <c r="U1809" s="35">
        <v>1.0721028036260041</v>
      </c>
      <c r="W1809" s="35">
        <f t="shared" si="175"/>
        <v>704.2099005514151</v>
      </c>
      <c r="X1809" s="35">
        <f t="shared" si="176"/>
        <v>68897.806062191958</v>
      </c>
      <c r="Y1809" s="35">
        <f t="shared" si="177"/>
        <v>27339.590181300202</v>
      </c>
      <c r="Z1809" s="35">
        <f t="shared" si="178"/>
        <v>0</v>
      </c>
      <c r="AA1809" s="35">
        <f t="shared" si="179"/>
        <v>1</v>
      </c>
      <c r="AB1809" s="35">
        <f t="shared" si="180"/>
        <v>0</v>
      </c>
    </row>
    <row r="1810" spans="1:28">
      <c r="A1810" s="35">
        <v>1799</v>
      </c>
      <c r="B1810" s="35">
        <v>4.8003572201338329E-4</v>
      </c>
      <c r="C1810" s="232">
        <v>46.55</v>
      </c>
      <c r="D1810" s="35">
        <v>5.0645509396088446</v>
      </c>
      <c r="E1810" s="232">
        <v>30.53</v>
      </c>
      <c r="F1810" s="35">
        <v>5.0532942749473353</v>
      </c>
      <c r="G1810" s="232">
        <v>7671.92</v>
      </c>
      <c r="H1810" s="35">
        <v>9.0639599128167347</v>
      </c>
      <c r="I1810" s="232">
        <v>9219.27</v>
      </c>
      <c r="J1810" s="35">
        <v>7.4151885685296719</v>
      </c>
      <c r="K1810" s="232">
        <v>8568.2000000000007</v>
      </c>
      <c r="L1810" s="35">
        <v>8.9781474058001844</v>
      </c>
      <c r="M1810" s="232">
        <v>34379.71</v>
      </c>
      <c r="N1810" s="35">
        <v>8.0010888322628464</v>
      </c>
      <c r="P1810" s="232">
        <v>-16.010000000000002</v>
      </c>
      <c r="Q1810" s="35">
        <v>1.1256664661509319E-2</v>
      </c>
      <c r="R1810" s="232">
        <v>1547.35</v>
      </c>
      <c r="S1810" s="35">
        <v>1.6487713442870628</v>
      </c>
      <c r="T1810" s="232">
        <v>25811.51</v>
      </c>
      <c r="U1810" s="35">
        <v>0.97705857353733805</v>
      </c>
      <c r="W1810" s="35">
        <f t="shared" si="175"/>
        <v>578.84323307546595</v>
      </c>
      <c r="X1810" s="35">
        <f t="shared" si="176"/>
        <v>80891.217214353135</v>
      </c>
      <c r="Y1810" s="35">
        <f t="shared" si="177"/>
        <v>23041.418676866906</v>
      </c>
      <c r="Z1810" s="35">
        <f t="shared" si="178"/>
        <v>0</v>
      </c>
      <c r="AA1810" s="35">
        <f t="shared" si="179"/>
        <v>1</v>
      </c>
      <c r="AB1810" s="35">
        <f t="shared" si="180"/>
        <v>0</v>
      </c>
    </row>
    <row r="1811" spans="1:28">
      <c r="A1811" s="35">
        <v>1800</v>
      </c>
      <c r="B1811" s="35">
        <v>3.8232036801970419E-4</v>
      </c>
      <c r="C1811" s="232">
        <v>67.22</v>
      </c>
      <c r="D1811" s="35">
        <v>5.0576480708148033</v>
      </c>
      <c r="E1811" s="232">
        <v>44.98</v>
      </c>
      <c r="F1811" s="35">
        <v>5.0500465802320011</v>
      </c>
      <c r="G1811" s="232">
        <v>13071.49</v>
      </c>
      <c r="H1811" s="35">
        <v>8.7103098378628125</v>
      </c>
      <c r="I1811" s="232">
        <v>14415.04</v>
      </c>
      <c r="J1811" s="35">
        <v>8.2073251834007497</v>
      </c>
      <c r="K1811" s="232">
        <v>18738.88</v>
      </c>
      <c r="L1811" s="35">
        <v>8.4122890057427622</v>
      </c>
      <c r="M1811" s="232">
        <v>45080.17</v>
      </c>
      <c r="N1811" s="35">
        <v>7.2946661497353018</v>
      </c>
      <c r="P1811" s="232">
        <v>-22.24</v>
      </c>
      <c r="Q1811" s="35">
        <v>7.6014905828021284E-3</v>
      </c>
      <c r="R1811" s="232">
        <v>1343.55</v>
      </c>
      <c r="S1811" s="35">
        <v>0.50298465446206286</v>
      </c>
      <c r="T1811" s="232">
        <v>26341.3</v>
      </c>
      <c r="U1811" s="35">
        <v>1.1176228560074604</v>
      </c>
      <c r="W1811" s="35">
        <f t="shared" si="175"/>
        <v>402.3145291401064</v>
      </c>
      <c r="X1811" s="35">
        <f t="shared" si="176"/>
        <v>23805.682723103146</v>
      </c>
      <c r="Y1811" s="35">
        <f t="shared" si="177"/>
        <v>29539.842800373019</v>
      </c>
      <c r="Z1811" s="35">
        <f t="shared" si="178"/>
        <v>0</v>
      </c>
      <c r="AA1811" s="35">
        <f t="shared" si="179"/>
        <v>0</v>
      </c>
      <c r="AB1811" s="35">
        <f t="shared" si="180"/>
        <v>1</v>
      </c>
    </row>
    <row r="1812" spans="1:28">
      <c r="A1812" s="35">
        <v>1801</v>
      </c>
      <c r="B1812" s="35">
        <v>5.300586244831873E-4</v>
      </c>
      <c r="C1812" s="232">
        <v>77.290000000000006</v>
      </c>
      <c r="D1812" s="35">
        <v>5.0666731893455967</v>
      </c>
      <c r="E1812" s="232">
        <v>50.99</v>
      </c>
      <c r="F1812" s="35">
        <v>5.0555255096294367</v>
      </c>
      <c r="G1812" s="232">
        <v>11198.65</v>
      </c>
      <c r="H1812" s="35">
        <v>9.0610453980681704</v>
      </c>
      <c r="I1812" s="232">
        <v>12674.65</v>
      </c>
      <c r="J1812" s="35">
        <v>8.4556143937050656</v>
      </c>
      <c r="K1812" s="232">
        <v>15091.83</v>
      </c>
      <c r="L1812" s="35">
        <v>8.5205721444193721</v>
      </c>
      <c r="M1812" s="232">
        <v>41201.46</v>
      </c>
      <c r="N1812" s="35">
        <v>7.4216833447638653</v>
      </c>
      <c r="P1812" s="232">
        <v>-26.3</v>
      </c>
      <c r="Q1812" s="35">
        <v>1.1147679716160042E-2</v>
      </c>
      <c r="R1812" s="232">
        <v>1476</v>
      </c>
      <c r="S1812" s="35">
        <v>0.60543100436310482</v>
      </c>
      <c r="T1812" s="232">
        <v>26109.63</v>
      </c>
      <c r="U1812" s="35">
        <v>1.0988887996555068</v>
      </c>
      <c r="W1812" s="35">
        <f t="shared" si="175"/>
        <v>583.68398580800203</v>
      </c>
      <c r="X1812" s="35">
        <f t="shared" si="176"/>
        <v>28795.55021815524</v>
      </c>
      <c r="Y1812" s="35">
        <f t="shared" si="177"/>
        <v>28834.809982775336</v>
      </c>
      <c r="Z1812" s="35">
        <f t="shared" si="178"/>
        <v>0</v>
      </c>
      <c r="AA1812" s="35">
        <f t="shared" si="179"/>
        <v>0</v>
      </c>
      <c r="AB1812" s="35">
        <f t="shared" si="180"/>
        <v>1</v>
      </c>
    </row>
    <row r="1813" spans="1:28">
      <c r="A1813" s="35">
        <v>1802</v>
      </c>
      <c r="B1813" s="35">
        <v>5.2164775378638062E-4</v>
      </c>
      <c r="C1813" s="232">
        <v>72.92</v>
      </c>
      <c r="D1813" s="35">
        <v>5.0668568862088064</v>
      </c>
      <c r="E1813" s="232">
        <v>45.35</v>
      </c>
      <c r="F1813" s="35">
        <v>5.0544598124126123</v>
      </c>
      <c r="G1813" s="232">
        <v>11272.66</v>
      </c>
      <c r="H1813" s="35">
        <v>9.1021228362157487</v>
      </c>
      <c r="I1813" s="232">
        <v>12748.42</v>
      </c>
      <c r="J1813" s="35">
        <v>7.8905309577929748</v>
      </c>
      <c r="K1813" s="232">
        <v>13320.7</v>
      </c>
      <c r="L1813" s="35">
        <v>8.8800551770336931</v>
      </c>
      <c r="M1813" s="232">
        <v>39271.089999999997</v>
      </c>
      <c r="N1813" s="35">
        <v>7.7869648440748689</v>
      </c>
      <c r="P1813" s="232">
        <v>-27.58</v>
      </c>
      <c r="Q1813" s="35">
        <v>1.2397073796194036E-2</v>
      </c>
      <c r="R1813" s="232">
        <v>1475.76</v>
      </c>
      <c r="S1813" s="35">
        <v>1.2115918784227739</v>
      </c>
      <c r="T1813" s="232">
        <v>25950.39</v>
      </c>
      <c r="U1813" s="35">
        <v>1.0930903329588242</v>
      </c>
      <c r="W1813" s="35">
        <f t="shared" si="175"/>
        <v>647.43368980970183</v>
      </c>
      <c r="X1813" s="35">
        <f t="shared" si="176"/>
        <v>59103.833921138692</v>
      </c>
      <c r="Y1813" s="35">
        <f t="shared" si="177"/>
        <v>28704.126647941208</v>
      </c>
      <c r="Z1813" s="35">
        <f t="shared" si="178"/>
        <v>0</v>
      </c>
      <c r="AA1813" s="35">
        <f t="shared" si="179"/>
        <v>1</v>
      </c>
      <c r="AB1813" s="35">
        <f t="shared" si="180"/>
        <v>0</v>
      </c>
    </row>
    <row r="1814" spans="1:28">
      <c r="A1814" s="35">
        <v>1803</v>
      </c>
      <c r="B1814" s="35">
        <v>4.4136965648651906E-4</v>
      </c>
      <c r="C1814" s="232">
        <v>68.03</v>
      </c>
      <c r="D1814" s="35">
        <v>5.0625859315334552</v>
      </c>
      <c r="E1814" s="232">
        <v>42.82</v>
      </c>
      <c r="F1814" s="35">
        <v>5.0521175352678247</v>
      </c>
      <c r="G1814" s="232">
        <v>11710.48</v>
      </c>
      <c r="H1814" s="35">
        <v>9.1007029569712721</v>
      </c>
      <c r="I1814" s="232">
        <v>11951.85</v>
      </c>
      <c r="J1814" s="35">
        <v>7.6141529964008967</v>
      </c>
      <c r="K1814" s="232">
        <v>16099.5</v>
      </c>
      <c r="L1814" s="35">
        <v>8.8478666339500887</v>
      </c>
      <c r="M1814" s="232">
        <v>42226.559999999998</v>
      </c>
      <c r="N1814" s="35">
        <v>7.6799040219504358</v>
      </c>
      <c r="P1814" s="232">
        <v>-25.21</v>
      </c>
      <c r="Q1814" s="35">
        <v>1.0468396265630453E-2</v>
      </c>
      <c r="R1814" s="232">
        <v>241.36</v>
      </c>
      <c r="S1814" s="35">
        <v>1.4865499605703754</v>
      </c>
      <c r="T1814" s="232">
        <v>26127.06</v>
      </c>
      <c r="U1814" s="35">
        <v>1.1679626119996529</v>
      </c>
      <c r="W1814" s="35">
        <f t="shared" si="175"/>
        <v>548.62981328152273</v>
      </c>
      <c r="X1814" s="35">
        <f t="shared" si="176"/>
        <v>74086.138028518762</v>
      </c>
      <c r="Y1814" s="35">
        <f t="shared" si="177"/>
        <v>32271.070599982642</v>
      </c>
      <c r="Z1814" s="35">
        <f t="shared" si="178"/>
        <v>0</v>
      </c>
      <c r="AA1814" s="35">
        <f t="shared" si="179"/>
        <v>1</v>
      </c>
      <c r="AB1814" s="35">
        <f t="shared" si="180"/>
        <v>0</v>
      </c>
    </row>
    <row r="1815" spans="1:28">
      <c r="A1815" s="35">
        <v>1804</v>
      </c>
      <c r="B1815" s="35">
        <v>4.0667511129024986E-4</v>
      </c>
      <c r="C1815" s="232">
        <v>46.55</v>
      </c>
      <c r="D1815" s="35">
        <v>5.0581040699269755</v>
      </c>
      <c r="E1815" s="232">
        <v>30.91</v>
      </c>
      <c r="F1815" s="35">
        <v>5.0497370731763311</v>
      </c>
      <c r="G1815" s="232">
        <v>9210.93</v>
      </c>
      <c r="H1815" s="35">
        <v>8.3962241206897126</v>
      </c>
      <c r="I1815" s="232">
        <v>11119.25</v>
      </c>
      <c r="J1815" s="35">
        <v>7.390071078588722</v>
      </c>
      <c r="K1815" s="232">
        <v>9857.31</v>
      </c>
      <c r="L1815" s="35">
        <v>8.5565931528547008</v>
      </c>
      <c r="M1815" s="232">
        <v>35684.93</v>
      </c>
      <c r="N1815" s="35">
        <v>7.3792901687264605</v>
      </c>
      <c r="P1815" s="232">
        <v>-15.64</v>
      </c>
      <c r="Q1815" s="35">
        <v>8.3669967506443399E-3</v>
      </c>
      <c r="R1815" s="232">
        <v>1908.32</v>
      </c>
      <c r="S1815" s="35">
        <v>1.0061530421009905</v>
      </c>
      <c r="T1815" s="232">
        <v>25827.62</v>
      </c>
      <c r="U1815" s="35">
        <v>1.1773029841282403</v>
      </c>
      <c r="W1815" s="35">
        <f t="shared" si="175"/>
        <v>433.989837532217</v>
      </c>
      <c r="X1815" s="35">
        <f t="shared" si="176"/>
        <v>48399.332105049529</v>
      </c>
      <c r="Y1815" s="35">
        <f t="shared" si="177"/>
        <v>33037.529206412015</v>
      </c>
      <c r="Z1815" s="35">
        <f t="shared" si="178"/>
        <v>0</v>
      </c>
      <c r="AA1815" s="35">
        <f t="shared" si="179"/>
        <v>1</v>
      </c>
      <c r="AB1815" s="35">
        <f t="shared" si="180"/>
        <v>0</v>
      </c>
    </row>
    <row r="1816" spans="1:28">
      <c r="A1816" s="35">
        <v>1805</v>
      </c>
      <c r="B1816" s="35">
        <v>3.7744809914541899E-4</v>
      </c>
      <c r="C1816" s="232">
        <v>61.29</v>
      </c>
      <c r="D1816" s="35">
        <v>5.0573040720033573</v>
      </c>
      <c r="E1816" s="232">
        <v>38.31</v>
      </c>
      <c r="F1816" s="35">
        <v>5.0488795050836792</v>
      </c>
      <c r="G1816" s="232">
        <v>12498.35</v>
      </c>
      <c r="H1816" s="35">
        <v>8.7096431514060999</v>
      </c>
      <c r="I1816" s="232">
        <v>12913.21</v>
      </c>
      <c r="J1816" s="35">
        <v>7.3244011055806899</v>
      </c>
      <c r="K1816" s="232">
        <v>16470.55</v>
      </c>
      <c r="L1816" s="35">
        <v>8.6942317847713593</v>
      </c>
      <c r="M1816" s="232">
        <v>42517.51</v>
      </c>
      <c r="N1816" s="35">
        <v>7.7451129814523352</v>
      </c>
      <c r="P1816" s="232">
        <v>-22.98</v>
      </c>
      <c r="Q1816" s="35">
        <v>8.4245669196780781E-3</v>
      </c>
      <c r="R1816" s="232">
        <v>414.86</v>
      </c>
      <c r="S1816" s="35">
        <v>1.38524204582541</v>
      </c>
      <c r="T1816" s="232">
        <v>26046.959999999999</v>
      </c>
      <c r="U1816" s="35">
        <v>0.9491188033190241</v>
      </c>
      <c r="W1816" s="35">
        <f t="shared" si="175"/>
        <v>444.20834598390394</v>
      </c>
      <c r="X1816" s="35">
        <f t="shared" si="176"/>
        <v>68847.242291270493</v>
      </c>
      <c r="Y1816" s="35">
        <f t="shared" si="177"/>
        <v>21408.980165951209</v>
      </c>
      <c r="Z1816" s="35">
        <f t="shared" si="178"/>
        <v>0</v>
      </c>
      <c r="AA1816" s="35">
        <f t="shared" si="179"/>
        <v>1</v>
      </c>
      <c r="AB1816" s="35">
        <f t="shared" si="180"/>
        <v>0</v>
      </c>
    </row>
    <row r="1817" spans="1:28">
      <c r="A1817" s="35">
        <v>1806</v>
      </c>
      <c r="B1817" s="35">
        <v>2.9876469678281512E-4</v>
      </c>
      <c r="C1817" s="232">
        <v>41.57</v>
      </c>
      <c r="D1817" s="35">
        <v>5.052330943632275</v>
      </c>
      <c r="E1817" s="232">
        <v>25.16</v>
      </c>
      <c r="F1817" s="35">
        <v>5.0453743188533995</v>
      </c>
      <c r="G1817" s="232">
        <v>10959.08</v>
      </c>
      <c r="H1817" s="35">
        <v>8.2722955645696263</v>
      </c>
      <c r="I1817" s="232">
        <v>13087.78</v>
      </c>
      <c r="J1817" s="35">
        <v>8.169913209305653</v>
      </c>
      <c r="K1817" s="232">
        <v>14880.11</v>
      </c>
      <c r="L1817" s="35">
        <v>8.7349764790571438</v>
      </c>
      <c r="M1817" s="232">
        <v>41027.49</v>
      </c>
      <c r="N1817" s="35">
        <v>7.7510197308965552</v>
      </c>
      <c r="P1817" s="232">
        <v>-16.41</v>
      </c>
      <c r="Q1817" s="35">
        <v>6.9566247788754865E-3</v>
      </c>
      <c r="R1817" s="232">
        <v>2128.6999999999998</v>
      </c>
      <c r="S1817" s="35">
        <v>0.10238235526397332</v>
      </c>
      <c r="T1817" s="232">
        <v>26147.38</v>
      </c>
      <c r="U1817" s="35">
        <v>0.98395674816058865</v>
      </c>
      <c r="W1817" s="35">
        <f t="shared" si="175"/>
        <v>364.24123894377436</v>
      </c>
      <c r="X1817" s="35">
        <f t="shared" si="176"/>
        <v>2990.4177631986668</v>
      </c>
      <c r="Y1817" s="35">
        <f t="shared" si="177"/>
        <v>23050.45740802943</v>
      </c>
      <c r="Z1817" s="35">
        <f t="shared" si="178"/>
        <v>0</v>
      </c>
      <c r="AA1817" s="35">
        <f t="shared" si="179"/>
        <v>0</v>
      </c>
      <c r="AB1817" s="35">
        <f t="shared" si="180"/>
        <v>1</v>
      </c>
    </row>
    <row r="1818" spans="1:28">
      <c r="A1818" s="35">
        <v>1807</v>
      </c>
      <c r="B1818" s="35">
        <v>5.038236066488011E-4</v>
      </c>
      <c r="C1818" s="232">
        <v>63.86</v>
      </c>
      <c r="D1818" s="35">
        <v>5.0670265014085025</v>
      </c>
      <c r="E1818" s="232">
        <v>40.049999999999997</v>
      </c>
      <c r="F1818" s="35">
        <v>5.0545021088048641</v>
      </c>
      <c r="G1818" s="232">
        <v>10531.46</v>
      </c>
      <c r="H1818" s="35">
        <v>9.3476863570703745</v>
      </c>
      <c r="I1818" s="232">
        <v>12630.06</v>
      </c>
      <c r="J1818" s="35">
        <v>7.9447440749707692</v>
      </c>
      <c r="K1818" s="232">
        <v>10609.58</v>
      </c>
      <c r="L1818" s="35">
        <v>8.9184355851232997</v>
      </c>
      <c r="M1818" s="232">
        <v>36406.959999999999</v>
      </c>
      <c r="N1818" s="35">
        <v>7.787597083298075</v>
      </c>
      <c r="P1818" s="232">
        <v>-23.82</v>
      </c>
      <c r="Q1818" s="35">
        <v>1.2524392603638468E-2</v>
      </c>
      <c r="R1818" s="232">
        <v>2098.61</v>
      </c>
      <c r="S1818" s="35">
        <v>1.4029422820996054</v>
      </c>
      <c r="T1818" s="232">
        <v>25797.38</v>
      </c>
      <c r="U1818" s="35">
        <v>1.1308385018252247</v>
      </c>
      <c r="W1818" s="35">
        <f t="shared" si="175"/>
        <v>650.03963018192348</v>
      </c>
      <c r="X1818" s="35">
        <f t="shared" si="176"/>
        <v>68048.504104980268</v>
      </c>
      <c r="Y1818" s="35">
        <f t="shared" si="177"/>
        <v>30744.545091261232</v>
      </c>
      <c r="Z1818" s="35">
        <f t="shared" si="178"/>
        <v>0</v>
      </c>
      <c r="AA1818" s="35">
        <f t="shared" si="179"/>
        <v>1</v>
      </c>
      <c r="AB1818" s="35">
        <f t="shared" si="180"/>
        <v>0</v>
      </c>
    </row>
    <row r="1819" spans="1:28">
      <c r="A1819" s="35">
        <v>1808</v>
      </c>
      <c r="B1819" s="35">
        <v>5.0475267261573808E-4</v>
      </c>
      <c r="C1819" s="232">
        <v>99.24</v>
      </c>
      <c r="D1819" s="35">
        <v>5.0676690187977282</v>
      </c>
      <c r="E1819" s="232">
        <v>58.86</v>
      </c>
      <c r="F1819" s="35">
        <v>5.0544657276883589</v>
      </c>
      <c r="G1819" s="232">
        <v>14832.69</v>
      </c>
      <c r="H1819" s="35">
        <v>9.5676804439302252</v>
      </c>
      <c r="I1819" s="232">
        <v>16350.92</v>
      </c>
      <c r="J1819" s="35">
        <v>9.1364979121296965</v>
      </c>
      <c r="K1819" s="232">
        <v>18704.57</v>
      </c>
      <c r="L1819" s="35">
        <v>8.9355511059668853</v>
      </c>
      <c r="M1819" s="232">
        <v>44868.99</v>
      </c>
      <c r="N1819" s="35">
        <v>7.8531391196925533</v>
      </c>
      <c r="P1819" s="232">
        <v>-40.380000000000003</v>
      </c>
      <c r="Q1819" s="35">
        <v>1.3203291109369353E-2</v>
      </c>
      <c r="R1819" s="232">
        <v>1518.23</v>
      </c>
      <c r="S1819" s="35">
        <v>0.43118253180052868</v>
      </c>
      <c r="T1819" s="232">
        <v>26164.42</v>
      </c>
      <c r="U1819" s="35">
        <v>1.082411986274332</v>
      </c>
      <c r="W1819" s="35">
        <f t="shared" si="175"/>
        <v>700.54455546846759</v>
      </c>
      <c r="X1819" s="35">
        <f t="shared" si="176"/>
        <v>20040.896590026434</v>
      </c>
      <c r="Y1819" s="35">
        <f t="shared" si="177"/>
        <v>27956.179313716602</v>
      </c>
      <c r="Z1819" s="35">
        <f t="shared" si="178"/>
        <v>0</v>
      </c>
      <c r="AA1819" s="35">
        <f t="shared" si="179"/>
        <v>0</v>
      </c>
      <c r="AB1819" s="35">
        <f t="shared" si="180"/>
        <v>1</v>
      </c>
    </row>
    <row r="1820" spans="1:28">
      <c r="A1820" s="35">
        <v>1809</v>
      </c>
      <c r="B1820" s="35">
        <v>5.4106993191993524E-4</v>
      </c>
      <c r="C1820" s="232">
        <v>83.87</v>
      </c>
      <c r="D1820" s="35">
        <v>5.0641962703360663</v>
      </c>
      <c r="E1820" s="232">
        <v>56.1</v>
      </c>
      <c r="F1820" s="35">
        <v>5.054347475094481</v>
      </c>
      <c r="G1820" s="232">
        <v>10759.58</v>
      </c>
      <c r="H1820" s="35">
        <v>8.2451526383100351</v>
      </c>
      <c r="I1820" s="232">
        <v>10614.27</v>
      </c>
      <c r="J1820" s="35">
        <v>7.1021076667051322</v>
      </c>
      <c r="K1820" s="232">
        <v>17953.599999999999</v>
      </c>
      <c r="L1820" s="35">
        <v>8.4627318920396384</v>
      </c>
      <c r="M1820" s="232">
        <v>44368.24</v>
      </c>
      <c r="N1820" s="35">
        <v>7.3244433217524536</v>
      </c>
      <c r="P1820" s="232">
        <v>-27.77</v>
      </c>
      <c r="Q1820" s="35">
        <v>9.8487952415853286E-3</v>
      </c>
      <c r="R1820" s="232">
        <v>-145.31</v>
      </c>
      <c r="S1820" s="35">
        <v>1.1430449716049029</v>
      </c>
      <c r="T1820" s="232">
        <v>26414.639999999999</v>
      </c>
      <c r="U1820" s="35">
        <v>1.1382885702871848</v>
      </c>
      <c r="W1820" s="35">
        <f t="shared" si="175"/>
        <v>520.2097620792664</v>
      </c>
      <c r="X1820" s="35">
        <f t="shared" si="176"/>
        <v>57297.558580245146</v>
      </c>
      <c r="Y1820" s="35">
        <f t="shared" si="177"/>
        <v>30499.788514359243</v>
      </c>
      <c r="Z1820" s="35">
        <f t="shared" si="178"/>
        <v>0</v>
      </c>
      <c r="AA1820" s="35">
        <f t="shared" si="179"/>
        <v>1</v>
      </c>
      <c r="AB1820" s="35">
        <f t="shared" si="180"/>
        <v>0</v>
      </c>
    </row>
    <row r="1821" spans="1:28">
      <c r="A1821" s="35">
        <v>1810</v>
      </c>
      <c r="B1821" s="35">
        <v>4.7281310579505575E-4</v>
      </c>
      <c r="C1821" s="232">
        <v>74.489999999999995</v>
      </c>
      <c r="D1821" s="35">
        <v>5.0657122158091674</v>
      </c>
      <c r="E1821" s="232">
        <v>54.16</v>
      </c>
      <c r="F1821" s="35">
        <v>5.0567606712711122</v>
      </c>
      <c r="G1821" s="232">
        <v>12797.27</v>
      </c>
      <c r="H1821" s="35">
        <v>9.3529689917144427</v>
      </c>
      <c r="I1821" s="232">
        <v>14781.83</v>
      </c>
      <c r="J1821" s="35">
        <v>8.7290085500247763</v>
      </c>
      <c r="K1821" s="232">
        <v>14527.59</v>
      </c>
      <c r="L1821" s="35">
        <v>9.0658508861168059</v>
      </c>
      <c r="M1821" s="232">
        <v>40616.32</v>
      </c>
      <c r="N1821" s="35">
        <v>8.0452741862257771</v>
      </c>
      <c r="P1821" s="232">
        <v>-20.329999999999998</v>
      </c>
      <c r="Q1821" s="35">
        <v>8.951544538055245E-3</v>
      </c>
      <c r="R1821" s="232">
        <v>1984.56</v>
      </c>
      <c r="S1821" s="35">
        <v>0.62396044168966647</v>
      </c>
      <c r="T1821" s="232">
        <v>26088.73</v>
      </c>
      <c r="U1821" s="35">
        <v>1.0205766998910288</v>
      </c>
      <c r="W1821" s="35">
        <f t="shared" si="175"/>
        <v>467.90722690276226</v>
      </c>
      <c r="X1821" s="35">
        <f t="shared" si="176"/>
        <v>29213.462084483323</v>
      </c>
      <c r="Y1821" s="35">
        <f t="shared" si="177"/>
        <v>24940.104994551442</v>
      </c>
      <c r="Z1821" s="35">
        <f t="shared" si="178"/>
        <v>0</v>
      </c>
      <c r="AA1821" s="35">
        <f t="shared" si="179"/>
        <v>1</v>
      </c>
      <c r="AB1821" s="35">
        <f t="shared" si="180"/>
        <v>0</v>
      </c>
    </row>
    <row r="1822" spans="1:28">
      <c r="A1822" s="35">
        <v>1811</v>
      </c>
      <c r="B1822" s="35">
        <v>5.3168562893191051E-4</v>
      </c>
      <c r="C1822" s="232">
        <v>74.81</v>
      </c>
      <c r="D1822" s="35">
        <v>5.067488479237519</v>
      </c>
      <c r="E1822" s="232">
        <v>47.42</v>
      </c>
      <c r="F1822" s="35">
        <v>5.0552156999237354</v>
      </c>
      <c r="G1822" s="232">
        <v>10906.41</v>
      </c>
      <c r="H1822" s="35">
        <v>9.025573717392005</v>
      </c>
      <c r="I1822" s="232">
        <v>12696.5</v>
      </c>
      <c r="J1822" s="35">
        <v>8.5407439696583474</v>
      </c>
      <c r="K1822" s="232">
        <v>13956.23</v>
      </c>
      <c r="L1822" s="35">
        <v>9.0038917310565392</v>
      </c>
      <c r="M1822" s="232">
        <v>40044.699999999997</v>
      </c>
      <c r="N1822" s="35">
        <v>7.9004690192555103</v>
      </c>
      <c r="P1822" s="232">
        <v>-27.39</v>
      </c>
      <c r="Q1822" s="35">
        <v>1.2272779313783566E-2</v>
      </c>
      <c r="R1822" s="232">
        <v>1790.09</v>
      </c>
      <c r="S1822" s="35">
        <v>0.48482974773365761</v>
      </c>
      <c r="T1822" s="232">
        <v>26088.47</v>
      </c>
      <c r="U1822" s="35">
        <v>1.1034227118010289</v>
      </c>
      <c r="W1822" s="35">
        <f t="shared" si="175"/>
        <v>641.02896568917834</v>
      </c>
      <c r="X1822" s="35">
        <f t="shared" si="176"/>
        <v>22451.397386682882</v>
      </c>
      <c r="Y1822" s="35">
        <f t="shared" si="177"/>
        <v>29082.665590051445</v>
      </c>
      <c r="Z1822" s="35">
        <f t="shared" si="178"/>
        <v>0</v>
      </c>
      <c r="AA1822" s="35">
        <f t="shared" si="179"/>
        <v>0</v>
      </c>
      <c r="AB1822" s="35">
        <f t="shared" si="180"/>
        <v>1</v>
      </c>
    </row>
    <row r="1823" spans="1:28">
      <c r="A1823" s="35">
        <v>1812</v>
      </c>
      <c r="B1823" s="35">
        <v>4.1350522434460208E-4</v>
      </c>
      <c r="C1823" s="232">
        <v>70.930000000000007</v>
      </c>
      <c r="D1823" s="35">
        <v>5.0596302448182131</v>
      </c>
      <c r="E1823" s="232">
        <v>49.47</v>
      </c>
      <c r="F1823" s="35">
        <v>5.0519399217639318</v>
      </c>
      <c r="G1823" s="232">
        <v>14226.17</v>
      </c>
      <c r="H1823" s="35">
        <v>8.6246661577716104</v>
      </c>
      <c r="I1823" s="232">
        <v>16373.27</v>
      </c>
      <c r="J1823" s="35">
        <v>6.9414306283280451</v>
      </c>
      <c r="K1823" s="232">
        <v>14363.67</v>
      </c>
      <c r="L1823" s="35">
        <v>8.8231907131508525</v>
      </c>
      <c r="M1823" s="232">
        <v>40278.44</v>
      </c>
      <c r="N1823" s="35">
        <v>7.7622854582781864</v>
      </c>
      <c r="P1823" s="232">
        <v>-21.46</v>
      </c>
      <c r="Q1823" s="35">
        <v>7.6903230542813006E-3</v>
      </c>
      <c r="R1823" s="232">
        <v>2147.1</v>
      </c>
      <c r="S1823" s="35">
        <v>1.6832355294435652</v>
      </c>
      <c r="T1823" s="232">
        <v>25914.76</v>
      </c>
      <c r="U1823" s="35">
        <v>1.0609052548726661</v>
      </c>
      <c r="W1823" s="35">
        <f t="shared" si="175"/>
        <v>405.97615271406499</v>
      </c>
      <c r="X1823" s="35">
        <f t="shared" si="176"/>
        <v>82014.676472178253</v>
      </c>
      <c r="Y1823" s="35">
        <f t="shared" si="177"/>
        <v>27130.502743633308</v>
      </c>
      <c r="Z1823" s="35">
        <f t="shared" si="178"/>
        <v>0</v>
      </c>
      <c r="AA1823" s="35">
        <f t="shared" si="179"/>
        <v>1</v>
      </c>
      <c r="AB1823" s="35">
        <f t="shared" si="180"/>
        <v>0</v>
      </c>
    </row>
    <row r="1824" spans="1:28">
      <c r="A1824" s="35">
        <v>1813</v>
      </c>
      <c r="B1824" s="35">
        <v>4.4947948676765659E-4</v>
      </c>
      <c r="C1824" s="232">
        <v>73.180000000000007</v>
      </c>
      <c r="D1824" s="35">
        <v>5.0617744466818753</v>
      </c>
      <c r="E1824" s="232">
        <v>45.05</v>
      </c>
      <c r="F1824" s="35">
        <v>5.0514108764342875</v>
      </c>
      <c r="G1824" s="232">
        <v>11914.9</v>
      </c>
      <c r="H1824" s="35">
        <v>8.8356965789400412</v>
      </c>
      <c r="I1824" s="232">
        <v>11214.14</v>
      </c>
      <c r="J1824" s="35">
        <v>7.2604697149354509</v>
      </c>
      <c r="K1824" s="232">
        <v>17902.96</v>
      </c>
      <c r="L1824" s="35">
        <v>8.7559567263009743</v>
      </c>
      <c r="M1824" s="232">
        <v>44274.61</v>
      </c>
      <c r="N1824" s="35">
        <v>7.6447579281656717</v>
      </c>
      <c r="P1824" s="232">
        <v>-28.13</v>
      </c>
      <c r="Q1824" s="35">
        <v>1.0363570247587717E-2</v>
      </c>
      <c r="R1824" s="232">
        <v>-700.76</v>
      </c>
      <c r="S1824" s="35">
        <v>1.5752268640045903</v>
      </c>
      <c r="T1824" s="232">
        <v>26371.65</v>
      </c>
      <c r="U1824" s="35">
        <v>1.1111987981353026</v>
      </c>
      <c r="W1824" s="35">
        <f t="shared" si="175"/>
        <v>546.30851237938589</v>
      </c>
      <c r="X1824" s="35">
        <f t="shared" si="176"/>
        <v>79462.103200229511</v>
      </c>
      <c r="Y1824" s="35">
        <f t="shared" si="177"/>
        <v>29188.289906765131</v>
      </c>
      <c r="Z1824" s="35">
        <f t="shared" si="178"/>
        <v>0</v>
      </c>
      <c r="AA1824" s="35">
        <f t="shared" si="179"/>
        <v>1</v>
      </c>
      <c r="AB1824" s="35">
        <f t="shared" si="180"/>
        <v>0</v>
      </c>
    </row>
    <row r="1825" spans="1:28">
      <c r="A1825" s="35">
        <v>1814</v>
      </c>
      <c r="B1825" s="35">
        <v>5.482236568432608E-4</v>
      </c>
      <c r="C1825" s="232">
        <v>68.73</v>
      </c>
      <c r="D1825" s="35">
        <v>5.0646108604668498</v>
      </c>
      <c r="E1825" s="232">
        <v>41.4</v>
      </c>
      <c r="F1825" s="35">
        <v>5.0525732838357724</v>
      </c>
      <c r="G1825" s="232">
        <v>10387.56</v>
      </c>
      <c r="H1825" s="35">
        <v>8.6499109310504689</v>
      </c>
      <c r="I1825" s="232">
        <v>12466.11</v>
      </c>
      <c r="J1825" s="35">
        <v>7.9084146299098297</v>
      </c>
      <c r="K1825" s="232">
        <v>10773.14</v>
      </c>
      <c r="L1825" s="35">
        <v>8.0841419673499573</v>
      </c>
      <c r="M1825" s="232">
        <v>36675.980000000003</v>
      </c>
      <c r="N1825" s="35">
        <v>7.0316378785981497</v>
      </c>
      <c r="P1825" s="232">
        <v>-27.33</v>
      </c>
      <c r="Q1825" s="35">
        <v>1.2037576631077407E-2</v>
      </c>
      <c r="R1825" s="232">
        <v>2078.5500000000002</v>
      </c>
      <c r="S1825" s="35">
        <v>0.74149630114063925</v>
      </c>
      <c r="T1825" s="232">
        <v>25902.84</v>
      </c>
      <c r="U1825" s="35">
        <v>1.0525040887518076</v>
      </c>
      <c r="W1825" s="35">
        <f t="shared" si="175"/>
        <v>629.20883155387037</v>
      </c>
      <c r="X1825" s="35">
        <f t="shared" si="176"/>
        <v>34996.26505703196</v>
      </c>
      <c r="Y1825" s="35">
        <f t="shared" si="177"/>
        <v>26722.364437590379</v>
      </c>
      <c r="Z1825" s="35">
        <f t="shared" si="178"/>
        <v>0</v>
      </c>
      <c r="AA1825" s="35">
        <f t="shared" si="179"/>
        <v>1</v>
      </c>
      <c r="AB1825" s="35">
        <f t="shared" si="180"/>
        <v>0</v>
      </c>
    </row>
    <row r="1826" spans="1:28">
      <c r="A1826" s="35">
        <v>1815</v>
      </c>
      <c r="B1826" s="35">
        <v>4.3177437139467045E-4</v>
      </c>
      <c r="C1826" s="232">
        <v>59.84</v>
      </c>
      <c r="D1826" s="35">
        <v>5.0605943555936088</v>
      </c>
      <c r="E1826" s="232">
        <v>37.49</v>
      </c>
      <c r="F1826" s="35">
        <v>5.0507378499748841</v>
      </c>
      <c r="G1826" s="232">
        <v>10152.120000000001</v>
      </c>
      <c r="H1826" s="35">
        <v>8.6999628911492</v>
      </c>
      <c r="I1826" s="232">
        <v>10363.459999999999</v>
      </c>
      <c r="J1826" s="35">
        <v>7.0924543903914108</v>
      </c>
      <c r="K1826" s="232">
        <v>13584.07</v>
      </c>
      <c r="L1826" s="35">
        <v>8.8291151137455621</v>
      </c>
      <c r="M1826" s="232">
        <v>39627.300000000003</v>
      </c>
      <c r="N1826" s="35">
        <v>7.7904083404504645</v>
      </c>
      <c r="P1826" s="232">
        <v>-22.35</v>
      </c>
      <c r="Q1826" s="35">
        <v>9.8565056187247535E-3</v>
      </c>
      <c r="R1826" s="232">
        <v>211.34</v>
      </c>
      <c r="S1826" s="35">
        <v>1.6075085007577892</v>
      </c>
      <c r="T1826" s="232">
        <v>26043.23</v>
      </c>
      <c r="U1826" s="35">
        <v>1.0387067732950976</v>
      </c>
      <c r="W1826" s="35">
        <f t="shared" si="175"/>
        <v>515.17528093623764</v>
      </c>
      <c r="X1826" s="35">
        <f t="shared" si="176"/>
        <v>80164.085037889468</v>
      </c>
      <c r="Y1826" s="35">
        <f t="shared" si="177"/>
        <v>25892.108664754884</v>
      </c>
      <c r="Z1826" s="35">
        <f t="shared" si="178"/>
        <v>0</v>
      </c>
      <c r="AA1826" s="35">
        <f t="shared" si="179"/>
        <v>1</v>
      </c>
      <c r="AB1826" s="35">
        <f t="shared" si="180"/>
        <v>0</v>
      </c>
    </row>
    <row r="1827" spans="1:28">
      <c r="A1827" s="35">
        <v>1816</v>
      </c>
      <c r="B1827" s="35">
        <v>5.1208427931048739E-4</v>
      </c>
      <c r="C1827" s="232">
        <v>65.739999999999995</v>
      </c>
      <c r="D1827" s="35">
        <v>5.0635387460697867</v>
      </c>
      <c r="E1827" s="232">
        <v>39.36</v>
      </c>
      <c r="F1827" s="35">
        <v>5.0518299699048148</v>
      </c>
      <c r="G1827" s="232">
        <v>10235.219999999999</v>
      </c>
      <c r="H1827" s="35">
        <v>8.3924841757667874</v>
      </c>
      <c r="I1827" s="232">
        <v>11851.53</v>
      </c>
      <c r="J1827" s="35">
        <v>6.8519518932818855</v>
      </c>
      <c r="K1827" s="232">
        <v>11084.49</v>
      </c>
      <c r="L1827" s="35">
        <v>8.6285027828759393</v>
      </c>
      <c r="M1827" s="232">
        <v>37080.26</v>
      </c>
      <c r="N1827" s="35">
        <v>7.4363095845435883</v>
      </c>
      <c r="P1827" s="232">
        <v>-26.38</v>
      </c>
      <c r="Q1827" s="35">
        <v>1.1708776164971901E-2</v>
      </c>
      <c r="R1827" s="232">
        <v>1616.31</v>
      </c>
      <c r="S1827" s="35">
        <v>1.5405322824849019</v>
      </c>
      <c r="T1827" s="232">
        <v>25995.759999999998</v>
      </c>
      <c r="U1827" s="35">
        <v>1.192193198332351</v>
      </c>
      <c r="W1827" s="35">
        <f t="shared" si="175"/>
        <v>611.81880824859502</v>
      </c>
      <c r="X1827" s="35">
        <f t="shared" si="176"/>
        <v>75410.3041242451</v>
      </c>
      <c r="Y1827" s="35">
        <f t="shared" si="177"/>
        <v>33613.899916617549</v>
      </c>
      <c r="Z1827" s="35">
        <f t="shared" si="178"/>
        <v>0</v>
      </c>
      <c r="AA1827" s="35">
        <f t="shared" si="179"/>
        <v>1</v>
      </c>
      <c r="AB1827" s="35">
        <f t="shared" si="180"/>
        <v>0</v>
      </c>
    </row>
    <row r="1828" spans="1:28">
      <c r="A1828" s="35">
        <v>1817</v>
      </c>
      <c r="B1828" s="35">
        <v>4.7662174957441295E-4</v>
      </c>
      <c r="C1828" s="232">
        <v>75.63</v>
      </c>
      <c r="D1828" s="35">
        <v>5.061579294867661</v>
      </c>
      <c r="E1828" s="232">
        <v>51.97</v>
      </c>
      <c r="F1828" s="35">
        <v>5.0530311582144538</v>
      </c>
      <c r="G1828" s="232">
        <v>12072.69</v>
      </c>
      <c r="H1828" s="35">
        <v>8.3781199573616085</v>
      </c>
      <c r="I1828" s="232">
        <v>13800.69</v>
      </c>
      <c r="J1828" s="35">
        <v>8.0005372835967261</v>
      </c>
      <c r="K1828" s="232">
        <v>17319.490000000002</v>
      </c>
      <c r="L1828" s="35">
        <v>8.467472671511775</v>
      </c>
      <c r="M1828" s="232">
        <v>43506.43</v>
      </c>
      <c r="N1828" s="35">
        <v>7.329385674327817</v>
      </c>
      <c r="P1828" s="232">
        <v>-23.66</v>
      </c>
      <c r="Q1828" s="35">
        <v>8.5481366532071945E-3</v>
      </c>
      <c r="R1828" s="232">
        <v>1728</v>
      </c>
      <c r="S1828" s="35">
        <v>0.37758267376488241</v>
      </c>
      <c r="T1828" s="232">
        <v>26186.94</v>
      </c>
      <c r="U1828" s="35">
        <v>1.138086997183958</v>
      </c>
      <c r="W1828" s="35">
        <f t="shared" si="175"/>
        <v>451.06683266035975</v>
      </c>
      <c r="X1828" s="35">
        <f t="shared" si="176"/>
        <v>17151.133688244121</v>
      </c>
      <c r="Y1828" s="35">
        <f t="shared" si="177"/>
        <v>30717.409859197902</v>
      </c>
      <c r="Z1828" s="35">
        <f t="shared" si="178"/>
        <v>0</v>
      </c>
      <c r="AA1828" s="35">
        <f t="shared" si="179"/>
        <v>0</v>
      </c>
      <c r="AB1828" s="35">
        <f t="shared" si="180"/>
        <v>1</v>
      </c>
    </row>
    <row r="1829" spans="1:28">
      <c r="A1829" s="35">
        <v>1818</v>
      </c>
      <c r="B1829" s="35">
        <v>4.2585284127176579E-4</v>
      </c>
      <c r="C1829" s="232">
        <v>59.08</v>
      </c>
      <c r="D1829" s="35">
        <v>5.0606345107970014</v>
      </c>
      <c r="E1829" s="232">
        <v>32.590000000000003</v>
      </c>
      <c r="F1829" s="35">
        <v>5.0490441235868424</v>
      </c>
      <c r="G1829" s="232">
        <v>9871.2000000000007</v>
      </c>
      <c r="H1829" s="35">
        <v>8.6330496957161085</v>
      </c>
      <c r="I1829" s="232">
        <v>9788.33</v>
      </c>
      <c r="J1829" s="35">
        <v>7.1588034283353705</v>
      </c>
      <c r="K1829" s="232">
        <v>15489.81</v>
      </c>
      <c r="L1829" s="35">
        <v>9.1885168488329949</v>
      </c>
      <c r="M1829" s="232">
        <v>41645.29</v>
      </c>
      <c r="N1829" s="35">
        <v>8.1009815722461678</v>
      </c>
      <c r="P1829" s="232">
        <v>-26.49</v>
      </c>
      <c r="Q1829" s="35">
        <v>1.1590387210159037E-2</v>
      </c>
      <c r="R1829" s="232">
        <v>-82.87</v>
      </c>
      <c r="S1829" s="35">
        <v>1.4742462673807379</v>
      </c>
      <c r="T1829" s="232">
        <v>26155.48</v>
      </c>
      <c r="U1829" s="35">
        <v>1.0875352765868271</v>
      </c>
      <c r="W1829" s="35">
        <f t="shared" si="175"/>
        <v>606.0093605079519</v>
      </c>
      <c r="X1829" s="35">
        <f t="shared" si="176"/>
        <v>73795.183369036895</v>
      </c>
      <c r="Y1829" s="35">
        <f t="shared" si="177"/>
        <v>28221.283829341355</v>
      </c>
      <c r="Z1829" s="35">
        <f t="shared" si="178"/>
        <v>0</v>
      </c>
      <c r="AA1829" s="35">
        <f t="shared" si="179"/>
        <v>1</v>
      </c>
      <c r="AB1829" s="35">
        <f t="shared" si="180"/>
        <v>0</v>
      </c>
    </row>
    <row r="1830" spans="1:28">
      <c r="A1830" s="35">
        <v>1819</v>
      </c>
      <c r="B1830" s="35">
        <v>4.0808607255387306E-4</v>
      </c>
      <c r="C1830" s="232">
        <v>72.23</v>
      </c>
      <c r="D1830" s="35">
        <v>5.0566212315582364</v>
      </c>
      <c r="E1830" s="232">
        <v>41.33</v>
      </c>
      <c r="F1830" s="35">
        <v>5.0476734383652886</v>
      </c>
      <c r="G1830" s="232">
        <v>13371.47</v>
      </c>
      <c r="H1830" s="35">
        <v>7.86104975803251</v>
      </c>
      <c r="I1830" s="232">
        <v>14265.54</v>
      </c>
      <c r="J1830" s="35">
        <v>6.8773749593743769</v>
      </c>
      <c r="K1830" s="232">
        <v>18863.63</v>
      </c>
      <c r="L1830" s="35">
        <v>8.61643248839394</v>
      </c>
      <c r="M1830" s="232">
        <v>45330</v>
      </c>
      <c r="N1830" s="35">
        <v>7.445393005914962</v>
      </c>
      <c r="P1830" s="232">
        <v>-30.89</v>
      </c>
      <c r="Q1830" s="35">
        <v>8.9477931929478061E-3</v>
      </c>
      <c r="R1830" s="232">
        <v>894.07</v>
      </c>
      <c r="S1830" s="35">
        <v>0.98367479865813312</v>
      </c>
      <c r="T1830" s="232">
        <v>26466.38</v>
      </c>
      <c r="U1830" s="35">
        <v>1.171039482478978</v>
      </c>
      <c r="W1830" s="35">
        <f t="shared" si="175"/>
        <v>478.2796596473903</v>
      </c>
      <c r="X1830" s="35">
        <f t="shared" si="176"/>
        <v>48289.669932906654</v>
      </c>
      <c r="Y1830" s="35">
        <f t="shared" si="177"/>
        <v>32085.5941239489</v>
      </c>
      <c r="Z1830" s="35">
        <f t="shared" si="178"/>
        <v>0</v>
      </c>
      <c r="AA1830" s="35">
        <f t="shared" si="179"/>
        <v>1</v>
      </c>
      <c r="AB1830" s="35">
        <f t="shared" si="180"/>
        <v>0</v>
      </c>
    </row>
    <row r="1831" spans="1:28">
      <c r="A1831" s="35">
        <v>1820</v>
      </c>
      <c r="B1831" s="35">
        <v>4.7603390984429783E-4</v>
      </c>
      <c r="C1831" s="232">
        <v>99.63</v>
      </c>
      <c r="D1831" s="35">
        <v>5.0601676630764496</v>
      </c>
      <c r="E1831" s="232">
        <v>51.88</v>
      </c>
      <c r="F1831" s="35">
        <v>5.0486865263016441</v>
      </c>
      <c r="G1831" s="232">
        <v>15562.21</v>
      </c>
      <c r="H1831" s="35">
        <v>8.207316430504676</v>
      </c>
      <c r="I1831" s="232">
        <v>13396.65</v>
      </c>
      <c r="J1831" s="35">
        <v>6.5015554544289689</v>
      </c>
      <c r="K1831" s="232">
        <v>25295.35</v>
      </c>
      <c r="L1831" s="35">
        <v>8.3786174789225374</v>
      </c>
      <c r="M1831" s="232">
        <v>52010.36</v>
      </c>
      <c r="N1831" s="35">
        <v>7.294355653276444</v>
      </c>
      <c r="P1831" s="232">
        <v>-47.75</v>
      </c>
      <c r="Q1831" s="35">
        <v>1.1481136774805556E-2</v>
      </c>
      <c r="R1831" s="232">
        <v>-2165.5700000000002</v>
      </c>
      <c r="S1831" s="35">
        <v>1.7057609760757071</v>
      </c>
      <c r="T1831" s="232">
        <v>26715.01</v>
      </c>
      <c r="U1831" s="35">
        <v>1.0842618256460934</v>
      </c>
      <c r="W1831" s="35">
        <f t="shared" si="175"/>
        <v>621.80683874027784</v>
      </c>
      <c r="X1831" s="35">
        <f t="shared" si="176"/>
        <v>87453.618803785357</v>
      </c>
      <c r="Y1831" s="35">
        <f t="shared" si="177"/>
        <v>27498.081282304669</v>
      </c>
      <c r="Z1831" s="35">
        <f t="shared" si="178"/>
        <v>0</v>
      </c>
      <c r="AA1831" s="35">
        <f t="shared" si="179"/>
        <v>1</v>
      </c>
      <c r="AB1831" s="35">
        <f t="shared" si="180"/>
        <v>0</v>
      </c>
    </row>
    <row r="1832" spans="1:28">
      <c r="A1832" s="35">
        <v>1821</v>
      </c>
      <c r="B1832" s="35">
        <v>3.7023434040816427E-4</v>
      </c>
      <c r="C1832" s="232">
        <v>56.95</v>
      </c>
      <c r="D1832" s="35">
        <v>5.0569610371657099</v>
      </c>
      <c r="E1832" s="232">
        <v>34.409999999999997</v>
      </c>
      <c r="F1832" s="35">
        <v>5.0482024053058074</v>
      </c>
      <c r="G1832" s="232">
        <v>11880.28</v>
      </c>
      <c r="H1832" s="35">
        <v>8.6792436989857702</v>
      </c>
      <c r="I1832" s="232">
        <v>12285.91</v>
      </c>
      <c r="J1832" s="35">
        <v>7.0553236600290479</v>
      </c>
      <c r="K1832" s="232">
        <v>15074.91</v>
      </c>
      <c r="L1832" s="35">
        <v>8.7621831066380871</v>
      </c>
      <c r="M1832" s="232">
        <v>41090.82</v>
      </c>
      <c r="N1832" s="35">
        <v>7.714728776922307</v>
      </c>
      <c r="P1832" s="232">
        <v>-22.53</v>
      </c>
      <c r="Q1832" s="35">
        <v>8.7586318599024438E-3</v>
      </c>
      <c r="R1832" s="232">
        <v>405.63</v>
      </c>
      <c r="S1832" s="35">
        <v>1.6239200389567223</v>
      </c>
      <c r="T1832" s="232">
        <v>26015.9</v>
      </c>
      <c r="U1832" s="35">
        <v>1.0474543297157801</v>
      </c>
      <c r="W1832" s="35">
        <f t="shared" si="175"/>
        <v>460.46159299512215</v>
      </c>
      <c r="X1832" s="35">
        <f t="shared" si="176"/>
        <v>80790.371947836116</v>
      </c>
      <c r="Y1832" s="35">
        <f t="shared" si="177"/>
        <v>26356.816485789008</v>
      </c>
      <c r="Z1832" s="35">
        <f t="shared" si="178"/>
        <v>0</v>
      </c>
      <c r="AA1832" s="35">
        <f t="shared" si="179"/>
        <v>1</v>
      </c>
      <c r="AB1832" s="35">
        <f t="shared" si="180"/>
        <v>0</v>
      </c>
    </row>
    <row r="1833" spans="1:28">
      <c r="A1833" s="35">
        <v>1822</v>
      </c>
      <c r="B1833" s="35">
        <v>3.7585053744036191E-4</v>
      </c>
      <c r="C1833" s="232">
        <v>50.87</v>
      </c>
      <c r="D1833" s="35">
        <v>5.0575773028609019</v>
      </c>
      <c r="E1833" s="232">
        <v>31.24</v>
      </c>
      <c r="F1833" s="35">
        <v>5.0485774797787775</v>
      </c>
      <c r="G1833" s="232">
        <v>10205.17</v>
      </c>
      <c r="H1833" s="35">
        <v>8.770758896480281</v>
      </c>
      <c r="I1833" s="232">
        <v>11065.25</v>
      </c>
      <c r="J1833" s="35">
        <v>7.724222427953209</v>
      </c>
      <c r="K1833" s="232">
        <v>14703.69</v>
      </c>
      <c r="L1833" s="35">
        <v>8.5986177008680116</v>
      </c>
      <c r="M1833" s="232">
        <v>40855.980000000003</v>
      </c>
      <c r="N1833" s="35">
        <v>7.4851592950222026</v>
      </c>
      <c r="P1833" s="232">
        <v>-19.63</v>
      </c>
      <c r="Q1833" s="35">
        <v>8.9998230821244363E-3</v>
      </c>
      <c r="R1833" s="232">
        <v>860.08</v>
      </c>
      <c r="S1833" s="35">
        <v>1.0465364685270719</v>
      </c>
      <c r="T1833" s="232">
        <v>26152.29</v>
      </c>
      <c r="U1833" s="35">
        <v>1.113458405845809</v>
      </c>
      <c r="W1833" s="35">
        <f t="shared" si="175"/>
        <v>469.62115410622181</v>
      </c>
      <c r="X1833" s="35">
        <f t="shared" si="176"/>
        <v>51466.743426353598</v>
      </c>
      <c r="Y1833" s="35">
        <f t="shared" si="177"/>
        <v>29520.630292290451</v>
      </c>
      <c r="Z1833" s="35">
        <f t="shared" si="178"/>
        <v>0</v>
      </c>
      <c r="AA1833" s="35">
        <f t="shared" si="179"/>
        <v>1</v>
      </c>
      <c r="AB1833" s="35">
        <f t="shared" si="180"/>
        <v>0</v>
      </c>
    </row>
    <row r="1834" spans="1:28">
      <c r="A1834" s="35">
        <v>1823</v>
      </c>
      <c r="B1834" s="35">
        <v>3.015506964507104E-4</v>
      </c>
      <c r="C1834" s="232">
        <v>51.66</v>
      </c>
      <c r="D1834" s="35">
        <v>5.0529476942975791</v>
      </c>
      <c r="E1834" s="232">
        <v>34.090000000000003</v>
      </c>
      <c r="F1834" s="35">
        <v>5.0467705119674893</v>
      </c>
      <c r="G1834" s="232">
        <v>12738.43</v>
      </c>
      <c r="H1834" s="35">
        <v>8.3923273417686719</v>
      </c>
      <c r="I1834" s="232">
        <v>12389.45</v>
      </c>
      <c r="J1834" s="35">
        <v>6.6869668654696479</v>
      </c>
      <c r="K1834" s="232">
        <v>17642.79</v>
      </c>
      <c r="L1834" s="35">
        <v>8.5960629211368165</v>
      </c>
      <c r="M1834" s="232">
        <v>43951.57</v>
      </c>
      <c r="N1834" s="35">
        <v>7.4772062551496852</v>
      </c>
      <c r="P1834" s="232">
        <v>-17.579999999999998</v>
      </c>
      <c r="Q1834" s="35">
        <v>6.1771823300897921E-3</v>
      </c>
      <c r="R1834" s="232">
        <v>-348.98</v>
      </c>
      <c r="S1834" s="35">
        <v>1.705360476299024</v>
      </c>
      <c r="T1834" s="232">
        <v>26308.78</v>
      </c>
      <c r="U1834" s="35">
        <v>1.1188566659871313</v>
      </c>
      <c r="W1834" s="35">
        <f t="shared" si="175"/>
        <v>326.43911650448962</v>
      </c>
      <c r="X1834" s="35">
        <f t="shared" si="176"/>
        <v>85617.003814951197</v>
      </c>
      <c r="Y1834" s="35">
        <f t="shared" si="177"/>
        <v>29634.053299356565</v>
      </c>
      <c r="Z1834" s="35">
        <f t="shared" si="178"/>
        <v>0</v>
      </c>
      <c r="AA1834" s="35">
        <f t="shared" si="179"/>
        <v>1</v>
      </c>
      <c r="AB1834" s="35">
        <f t="shared" si="180"/>
        <v>0</v>
      </c>
    </row>
    <row r="1835" spans="1:28">
      <c r="A1835" s="35">
        <v>1824</v>
      </c>
      <c r="B1835" s="35">
        <v>4.3929065844263955E-4</v>
      </c>
      <c r="C1835" s="232">
        <v>77.760000000000005</v>
      </c>
      <c r="D1835" s="35">
        <v>5.0618113833212357</v>
      </c>
      <c r="E1835" s="232">
        <v>50.4</v>
      </c>
      <c r="F1835" s="35">
        <v>5.0522802354417031</v>
      </c>
      <c r="G1835" s="232">
        <v>14128.54</v>
      </c>
      <c r="H1835" s="35">
        <v>8.9379717618534631</v>
      </c>
      <c r="I1835" s="232">
        <v>15044.28</v>
      </c>
      <c r="J1835" s="35">
        <v>7.5092991891727188</v>
      </c>
      <c r="K1835" s="232">
        <v>17538.759999999998</v>
      </c>
      <c r="L1835" s="35">
        <v>8.7814307973070367</v>
      </c>
      <c r="M1835" s="232">
        <v>43591.199999999997</v>
      </c>
      <c r="N1835" s="35">
        <v>7.6951665402071221</v>
      </c>
      <c r="P1835" s="232">
        <v>-27.36</v>
      </c>
      <c r="Q1835" s="35">
        <v>9.5311478795325755E-3</v>
      </c>
      <c r="R1835" s="232">
        <v>915.74</v>
      </c>
      <c r="S1835" s="35">
        <v>1.4286725726807443</v>
      </c>
      <c r="T1835" s="232">
        <v>26052.44</v>
      </c>
      <c r="U1835" s="35">
        <v>1.0862642570999146</v>
      </c>
      <c r="W1835" s="35">
        <f t="shared" si="175"/>
        <v>503.91739397662877</v>
      </c>
      <c r="X1835" s="35">
        <f t="shared" si="176"/>
        <v>70517.888634037212</v>
      </c>
      <c r="Y1835" s="35">
        <f t="shared" si="177"/>
        <v>28260.772854995728</v>
      </c>
      <c r="Z1835" s="35">
        <f t="shared" si="178"/>
        <v>0</v>
      </c>
      <c r="AA1835" s="35">
        <f t="shared" si="179"/>
        <v>1</v>
      </c>
      <c r="AB1835" s="35">
        <f t="shared" si="180"/>
        <v>0</v>
      </c>
    </row>
    <row r="1836" spans="1:28">
      <c r="A1836" s="35">
        <v>1825</v>
      </c>
      <c r="B1836" s="35">
        <v>4.3007591854448622E-4</v>
      </c>
      <c r="C1836" s="232">
        <v>71.2</v>
      </c>
      <c r="D1836" s="35">
        <v>5.0592200338470716</v>
      </c>
      <c r="E1836" s="232">
        <v>40.159999999999997</v>
      </c>
      <c r="F1836" s="35">
        <v>5.0488389141003447</v>
      </c>
      <c r="G1836" s="232">
        <v>13204.22</v>
      </c>
      <c r="H1836" s="35">
        <v>8.5877861561940723</v>
      </c>
      <c r="I1836" s="232">
        <v>13930.35</v>
      </c>
      <c r="J1836" s="35">
        <v>7.3016934233305824</v>
      </c>
      <c r="K1836" s="232">
        <v>17141.86</v>
      </c>
      <c r="L1836" s="35">
        <v>8.3731451446967924</v>
      </c>
      <c r="M1836" s="232">
        <v>43272.89</v>
      </c>
      <c r="N1836" s="35">
        <v>7.2362921619520195</v>
      </c>
      <c r="P1836" s="232">
        <v>-31.04</v>
      </c>
      <c r="Q1836" s="35">
        <v>1.0381119746726952E-2</v>
      </c>
      <c r="R1836" s="232">
        <v>726.13</v>
      </c>
      <c r="S1836" s="35">
        <v>1.2860927328634899</v>
      </c>
      <c r="T1836" s="232">
        <v>26131.03</v>
      </c>
      <c r="U1836" s="35">
        <v>1.1368529827447729</v>
      </c>
      <c r="W1836" s="35">
        <f t="shared" si="175"/>
        <v>550.09598733634755</v>
      </c>
      <c r="X1836" s="35">
        <f t="shared" si="176"/>
        <v>63578.5066431745</v>
      </c>
      <c r="Y1836" s="35">
        <f t="shared" si="177"/>
        <v>30711.619137238646</v>
      </c>
      <c r="Z1836" s="35">
        <f t="shared" si="178"/>
        <v>0</v>
      </c>
      <c r="AA1836" s="35">
        <f t="shared" si="179"/>
        <v>1</v>
      </c>
      <c r="AB1836" s="35">
        <f t="shared" si="180"/>
        <v>0</v>
      </c>
    </row>
    <row r="1837" spans="1:28">
      <c r="A1837" s="35">
        <v>1826</v>
      </c>
      <c r="B1837" s="35">
        <v>4.9723402484946888E-4</v>
      </c>
      <c r="C1837" s="232">
        <v>59.24</v>
      </c>
      <c r="D1837" s="35">
        <v>5.0638962633152405</v>
      </c>
      <c r="E1837" s="232">
        <v>41.55</v>
      </c>
      <c r="F1837" s="35">
        <v>5.0545332475161882</v>
      </c>
      <c r="G1837" s="232">
        <v>9371.99</v>
      </c>
      <c r="H1837" s="35">
        <v>8.6905960785176681</v>
      </c>
      <c r="I1837" s="232">
        <v>10999.57</v>
      </c>
      <c r="J1837" s="35">
        <v>7.6976409679939151</v>
      </c>
      <c r="K1837" s="232">
        <v>11309.87</v>
      </c>
      <c r="L1837" s="35">
        <v>8.5927511340560123</v>
      </c>
      <c r="M1837" s="232">
        <v>37262.31</v>
      </c>
      <c r="N1837" s="35">
        <v>7.4795607614041755</v>
      </c>
      <c r="P1837" s="232">
        <v>-17.690000000000001</v>
      </c>
      <c r="Q1837" s="35">
        <v>9.3630157990522989E-3</v>
      </c>
      <c r="R1837" s="232">
        <v>1627.58</v>
      </c>
      <c r="S1837" s="35">
        <v>0.99295511052375307</v>
      </c>
      <c r="T1837" s="232">
        <v>25952.44</v>
      </c>
      <c r="U1837" s="35">
        <v>1.1131903726518368</v>
      </c>
      <c r="W1837" s="35">
        <f t="shared" si="175"/>
        <v>485.84078995261495</v>
      </c>
      <c r="X1837" s="35">
        <f t="shared" si="176"/>
        <v>48020.175526187653</v>
      </c>
      <c r="Y1837" s="35">
        <f t="shared" si="177"/>
        <v>29707.078632591842</v>
      </c>
      <c r="Z1837" s="35">
        <f t="shared" si="178"/>
        <v>0</v>
      </c>
      <c r="AA1837" s="35">
        <f t="shared" si="179"/>
        <v>1</v>
      </c>
      <c r="AB1837" s="35">
        <f t="shared" si="180"/>
        <v>0</v>
      </c>
    </row>
    <row r="1838" spans="1:28">
      <c r="A1838" s="35">
        <v>1827</v>
      </c>
      <c r="B1838" s="35">
        <v>5.0310867552405547E-4</v>
      </c>
      <c r="C1838" s="232">
        <v>63.16</v>
      </c>
      <c r="D1838" s="35">
        <v>5.0650225254118428</v>
      </c>
      <c r="E1838" s="232">
        <v>38.4</v>
      </c>
      <c r="F1838" s="35">
        <v>5.0528252217877032</v>
      </c>
      <c r="G1838" s="232">
        <v>9803.33</v>
      </c>
      <c r="H1838" s="35">
        <v>8.8444103272668286</v>
      </c>
      <c r="I1838" s="232">
        <v>10696.87</v>
      </c>
      <c r="J1838" s="35">
        <v>7.3896807887698746</v>
      </c>
      <c r="K1838" s="232">
        <v>13548.92</v>
      </c>
      <c r="L1838" s="35">
        <v>8.8343640175300475</v>
      </c>
      <c r="M1838" s="232">
        <v>39706.33</v>
      </c>
      <c r="N1838" s="35">
        <v>7.7266284242874601</v>
      </c>
      <c r="P1838" s="232">
        <v>-24.76</v>
      </c>
      <c r="Q1838" s="35">
        <v>1.2197303624139622E-2</v>
      </c>
      <c r="R1838" s="232">
        <v>893.54</v>
      </c>
      <c r="S1838" s="35">
        <v>1.4547295384969541</v>
      </c>
      <c r="T1838" s="232">
        <v>26157.41</v>
      </c>
      <c r="U1838" s="35">
        <v>1.1077355932425874</v>
      </c>
      <c r="W1838" s="35">
        <f t="shared" si="175"/>
        <v>634.6251812069811</v>
      </c>
      <c r="X1838" s="35">
        <f t="shared" si="176"/>
        <v>71842.936924847716</v>
      </c>
      <c r="Y1838" s="35">
        <f t="shared" si="177"/>
        <v>29229.369662129367</v>
      </c>
      <c r="Z1838" s="35">
        <f t="shared" si="178"/>
        <v>0</v>
      </c>
      <c r="AA1838" s="35">
        <f t="shared" si="179"/>
        <v>1</v>
      </c>
      <c r="AB1838" s="35">
        <f t="shared" si="180"/>
        <v>0</v>
      </c>
    </row>
    <row r="1839" spans="1:28">
      <c r="A1839" s="35">
        <v>1828</v>
      </c>
      <c r="B1839" s="35">
        <v>4.5306937254230295E-4</v>
      </c>
      <c r="C1839" s="232">
        <v>74.540000000000006</v>
      </c>
      <c r="D1839" s="35">
        <v>5.0609739072665549</v>
      </c>
      <c r="E1839" s="232">
        <v>42.29</v>
      </c>
      <c r="F1839" s="35">
        <v>5.0498678565792847</v>
      </c>
      <c r="G1839" s="232">
        <v>12658.64</v>
      </c>
      <c r="H1839" s="35">
        <v>8.6677868462146908</v>
      </c>
      <c r="I1839" s="232">
        <v>13728.38</v>
      </c>
      <c r="J1839" s="35">
        <v>7.3500884177228167</v>
      </c>
      <c r="K1839" s="232">
        <v>13970.27</v>
      </c>
      <c r="L1839" s="35">
        <v>8.5590744333349527</v>
      </c>
      <c r="M1839" s="232">
        <v>40037.47</v>
      </c>
      <c r="N1839" s="35">
        <v>7.4197162326840358</v>
      </c>
      <c r="P1839" s="232">
        <v>-32.24</v>
      </c>
      <c r="Q1839" s="35">
        <v>1.1106050687270219E-2</v>
      </c>
      <c r="R1839" s="232">
        <v>1069.74</v>
      </c>
      <c r="S1839" s="35">
        <v>1.317698428491874</v>
      </c>
      <c r="T1839" s="232">
        <v>26067.21</v>
      </c>
      <c r="U1839" s="35">
        <v>1.1393582006509169</v>
      </c>
      <c r="W1839" s="35">
        <f t="shared" si="175"/>
        <v>587.54253436351098</v>
      </c>
      <c r="X1839" s="35">
        <f t="shared" si="176"/>
        <v>64815.181424593706</v>
      </c>
      <c r="Y1839" s="35">
        <f t="shared" si="177"/>
        <v>30900.700032545843</v>
      </c>
      <c r="Z1839" s="35">
        <f t="shared" si="178"/>
        <v>0</v>
      </c>
      <c r="AA1839" s="35">
        <f t="shared" si="179"/>
        <v>1</v>
      </c>
      <c r="AB1839" s="35">
        <f t="shared" si="180"/>
        <v>0</v>
      </c>
    </row>
    <row r="1840" spans="1:28">
      <c r="A1840" s="35">
        <v>1829</v>
      </c>
      <c r="B1840" s="35">
        <v>3.558767709266272E-4</v>
      </c>
      <c r="C1840" s="232">
        <v>58.72</v>
      </c>
      <c r="D1840" s="35">
        <v>5.0563374709648459</v>
      </c>
      <c r="E1840" s="232">
        <v>37.26</v>
      </c>
      <c r="F1840" s="35">
        <v>5.0484574849000579</v>
      </c>
      <c r="G1840" s="232">
        <v>12583.53</v>
      </c>
      <c r="H1840" s="35">
        <v>8.570877629401604</v>
      </c>
      <c r="I1840" s="232">
        <v>13542.87</v>
      </c>
      <c r="J1840" s="35">
        <v>7.6024576254673084</v>
      </c>
      <c r="K1840" s="232">
        <v>17362.830000000002</v>
      </c>
      <c r="L1840" s="35">
        <v>8.9144927531128264</v>
      </c>
      <c r="M1840" s="232">
        <v>43583.65</v>
      </c>
      <c r="N1840" s="35">
        <v>7.8310550946844346</v>
      </c>
      <c r="P1840" s="232">
        <v>-21.46</v>
      </c>
      <c r="Q1840" s="35">
        <v>7.8799860647880138E-3</v>
      </c>
      <c r="R1840" s="232">
        <v>959.34</v>
      </c>
      <c r="S1840" s="35">
        <v>0.96842000393429561</v>
      </c>
      <c r="T1840" s="232">
        <v>26220.82</v>
      </c>
      <c r="U1840" s="35">
        <v>1.0834376584283918</v>
      </c>
      <c r="W1840" s="35">
        <f t="shared" si="175"/>
        <v>415.45930323940064</v>
      </c>
      <c r="X1840" s="35">
        <f t="shared" si="176"/>
        <v>47461.660196714787</v>
      </c>
      <c r="Y1840" s="35">
        <f t="shared" si="177"/>
        <v>27951.062921419587</v>
      </c>
      <c r="Z1840" s="35">
        <f t="shared" si="178"/>
        <v>0</v>
      </c>
      <c r="AA1840" s="35">
        <f t="shared" si="179"/>
        <v>1</v>
      </c>
      <c r="AB1840" s="35">
        <f t="shared" si="180"/>
        <v>0</v>
      </c>
    </row>
    <row r="1841" spans="1:28">
      <c r="A1841" s="35">
        <v>1830</v>
      </c>
      <c r="B1841" s="35">
        <v>3.8570415484947792E-4</v>
      </c>
      <c r="C1841" s="232">
        <v>59.16</v>
      </c>
      <c r="D1841" s="35">
        <v>5.0570473552828599</v>
      </c>
      <c r="E1841" s="232">
        <v>39.5</v>
      </c>
      <c r="F1841" s="35">
        <v>5.0495086820205408</v>
      </c>
      <c r="G1841" s="232">
        <v>11497.27</v>
      </c>
      <c r="H1841" s="35">
        <v>8.4859994327755857</v>
      </c>
      <c r="I1841" s="232">
        <v>11188.98</v>
      </c>
      <c r="J1841" s="35">
        <v>6.714889482279502</v>
      </c>
      <c r="K1841" s="232">
        <v>15790.83</v>
      </c>
      <c r="L1841" s="35">
        <v>8.4629479251131308</v>
      </c>
      <c r="M1841" s="232">
        <v>41837.82</v>
      </c>
      <c r="N1841" s="35">
        <v>7.4309603414930185</v>
      </c>
      <c r="P1841" s="232">
        <v>-19.66</v>
      </c>
      <c r="Q1841" s="35">
        <v>7.5386732623190511E-3</v>
      </c>
      <c r="R1841" s="232">
        <v>-308.27999999999997</v>
      </c>
      <c r="S1841" s="35">
        <v>1.7711099504960837</v>
      </c>
      <c r="T1841" s="232">
        <v>26046.99</v>
      </c>
      <c r="U1841" s="35">
        <v>1.0319875836201122</v>
      </c>
      <c r="W1841" s="35">
        <f t="shared" si="175"/>
        <v>396.59366311595255</v>
      </c>
      <c r="X1841" s="35">
        <f t="shared" si="176"/>
        <v>88863.777524804187</v>
      </c>
      <c r="Y1841" s="35">
        <f t="shared" si="177"/>
        <v>25552.389181005612</v>
      </c>
      <c r="Z1841" s="35">
        <f t="shared" si="178"/>
        <v>0</v>
      </c>
      <c r="AA1841" s="35">
        <f t="shared" si="179"/>
        <v>1</v>
      </c>
      <c r="AB1841" s="35">
        <f t="shared" si="180"/>
        <v>0</v>
      </c>
    </row>
    <row r="1842" spans="1:28">
      <c r="A1842" s="35">
        <v>1831</v>
      </c>
      <c r="B1842" s="35">
        <v>4.6497556728442024E-4</v>
      </c>
      <c r="C1842" s="232">
        <v>55.85</v>
      </c>
      <c r="D1842" s="35">
        <v>5.0635893877454032</v>
      </c>
      <c r="E1842" s="232">
        <v>38.14</v>
      </c>
      <c r="F1842" s="35">
        <v>5.053768466630693</v>
      </c>
      <c r="G1842" s="232">
        <v>9407.68</v>
      </c>
      <c r="H1842" s="35">
        <v>9.2505366015657344</v>
      </c>
      <c r="I1842" s="232">
        <v>10500.8</v>
      </c>
      <c r="J1842" s="35">
        <v>7.6491302097164624</v>
      </c>
      <c r="K1842" s="232">
        <v>11062.5</v>
      </c>
      <c r="L1842" s="35">
        <v>8.3635959689821675</v>
      </c>
      <c r="M1842" s="232">
        <v>37058.79</v>
      </c>
      <c r="N1842" s="35">
        <v>7.2558681623011738</v>
      </c>
      <c r="P1842" s="232">
        <v>-17.71</v>
      </c>
      <c r="Q1842" s="35">
        <v>9.8209211147102238E-3</v>
      </c>
      <c r="R1842" s="232">
        <v>1093.1199999999999</v>
      </c>
      <c r="S1842" s="35">
        <v>1.601406391849272</v>
      </c>
      <c r="T1842" s="232">
        <v>25996.28</v>
      </c>
      <c r="U1842" s="35">
        <v>1.1077278066809937</v>
      </c>
      <c r="W1842" s="35">
        <f t="shared" si="175"/>
        <v>508.75605573551115</v>
      </c>
      <c r="X1842" s="35">
        <f t="shared" si="176"/>
        <v>78977.199592463599</v>
      </c>
      <c r="Y1842" s="35">
        <f t="shared" si="177"/>
        <v>29390.110334049685</v>
      </c>
      <c r="Z1842" s="35">
        <f t="shared" si="178"/>
        <v>0</v>
      </c>
      <c r="AA1842" s="35">
        <f t="shared" si="179"/>
        <v>1</v>
      </c>
      <c r="AB1842" s="35">
        <f t="shared" si="180"/>
        <v>0</v>
      </c>
    </row>
    <row r="1843" spans="1:28">
      <c r="A1843" s="35">
        <v>1832</v>
      </c>
      <c r="B1843" s="35">
        <v>3.414421857021093E-4</v>
      </c>
      <c r="C1843" s="232">
        <v>47.08</v>
      </c>
      <c r="D1843" s="35">
        <v>5.0561525928822135</v>
      </c>
      <c r="E1843" s="232">
        <v>35.119999999999997</v>
      </c>
      <c r="F1843" s="35">
        <v>5.0501042814650035</v>
      </c>
      <c r="G1843" s="232">
        <v>10196.14</v>
      </c>
      <c r="H1843" s="35">
        <v>8.690854193247521</v>
      </c>
      <c r="I1843" s="232">
        <v>10533.04</v>
      </c>
      <c r="J1843" s="35">
        <v>6.9731391281220105</v>
      </c>
      <c r="K1843" s="232">
        <v>13544.66</v>
      </c>
      <c r="L1843" s="35">
        <v>8.7603894962424516</v>
      </c>
      <c r="M1843" s="232">
        <v>39598.25</v>
      </c>
      <c r="N1843" s="35">
        <v>7.6694755477361687</v>
      </c>
      <c r="P1843" s="232">
        <v>-11.96</v>
      </c>
      <c r="Q1843" s="35">
        <v>6.0483114172100727E-3</v>
      </c>
      <c r="R1843" s="232">
        <v>336.9</v>
      </c>
      <c r="S1843" s="35">
        <v>1.7177150651255104</v>
      </c>
      <c r="T1843" s="232">
        <v>26053.59</v>
      </c>
      <c r="U1843" s="35">
        <v>1.0909139485062829</v>
      </c>
      <c r="W1843" s="35">
        <f t="shared" si="175"/>
        <v>314.37557086050361</v>
      </c>
      <c r="X1843" s="35">
        <f t="shared" si="176"/>
        <v>85548.853256275528</v>
      </c>
      <c r="Y1843" s="35">
        <f t="shared" si="177"/>
        <v>28492.107425314145</v>
      </c>
      <c r="Z1843" s="35">
        <f t="shared" si="178"/>
        <v>0</v>
      </c>
      <c r="AA1843" s="35">
        <f t="shared" si="179"/>
        <v>1</v>
      </c>
      <c r="AB1843" s="35">
        <f t="shared" si="180"/>
        <v>0</v>
      </c>
    </row>
    <row r="1844" spans="1:28">
      <c r="A1844" s="35">
        <v>1833</v>
      </c>
      <c r="B1844" s="35">
        <v>3.9819691533493043E-4</v>
      </c>
      <c r="C1844" s="232">
        <v>63.13</v>
      </c>
      <c r="D1844" s="35">
        <v>5.0610948457746598</v>
      </c>
      <c r="E1844" s="232">
        <v>40.18</v>
      </c>
      <c r="F1844" s="35">
        <v>5.0513266954992693</v>
      </c>
      <c r="G1844" s="232">
        <v>12004.95</v>
      </c>
      <c r="H1844" s="35">
        <v>9.4599767321161465</v>
      </c>
      <c r="I1844" s="232">
        <v>12147.15</v>
      </c>
      <c r="J1844" s="35">
        <v>7.4713911954492067</v>
      </c>
      <c r="K1844" s="232">
        <v>13450.18</v>
      </c>
      <c r="L1844" s="35">
        <v>8.8659854658292545</v>
      </c>
      <c r="M1844" s="232">
        <v>39465.35</v>
      </c>
      <c r="N1844" s="35">
        <v>7.7964661856242428</v>
      </c>
      <c r="P1844" s="232">
        <v>-22.95</v>
      </c>
      <c r="Q1844" s="35">
        <v>9.7681502753905747E-3</v>
      </c>
      <c r="R1844" s="232">
        <v>142.19999999999999</v>
      </c>
      <c r="S1844" s="35">
        <v>1.9885855366669398</v>
      </c>
      <c r="T1844" s="232">
        <v>26015.18</v>
      </c>
      <c r="U1844" s="35">
        <v>1.0695192802050117</v>
      </c>
      <c r="W1844" s="35">
        <f t="shared" si="175"/>
        <v>511.35751376952874</v>
      </c>
      <c r="X1844" s="35">
        <f t="shared" si="176"/>
        <v>99287.07683334699</v>
      </c>
      <c r="Y1844" s="35">
        <f t="shared" si="177"/>
        <v>27460.784010250587</v>
      </c>
      <c r="Z1844" s="35">
        <f t="shared" si="178"/>
        <v>0</v>
      </c>
      <c r="AA1844" s="35">
        <f t="shared" si="179"/>
        <v>1</v>
      </c>
      <c r="AB1844" s="35">
        <f t="shared" si="180"/>
        <v>0</v>
      </c>
    </row>
    <row r="1845" spans="1:28">
      <c r="A1845" s="35">
        <v>1834</v>
      </c>
      <c r="B1845" s="35">
        <v>4.0477396599293059E-4</v>
      </c>
      <c r="C1845" s="232">
        <v>70.930000000000007</v>
      </c>
      <c r="D1845" s="35">
        <v>5.0614615718599882</v>
      </c>
      <c r="E1845" s="232">
        <v>49.22</v>
      </c>
      <c r="F1845" s="35">
        <v>5.0530425294490708</v>
      </c>
      <c r="G1845" s="232">
        <v>12932.34</v>
      </c>
      <c r="H1845" s="35">
        <v>9.3240055830459188</v>
      </c>
      <c r="I1845" s="232">
        <v>12653.25</v>
      </c>
      <c r="J1845" s="35">
        <v>7.9227173886439299</v>
      </c>
      <c r="K1845" s="232">
        <v>18087.75</v>
      </c>
      <c r="L1845" s="35">
        <v>9.0075616525341378</v>
      </c>
      <c r="M1845" s="232">
        <v>44306.58</v>
      </c>
      <c r="N1845" s="35">
        <v>7.927267713475894</v>
      </c>
      <c r="P1845" s="232">
        <v>-21.7</v>
      </c>
      <c r="Q1845" s="35">
        <v>8.4190424109173989E-3</v>
      </c>
      <c r="R1845" s="232">
        <v>-279.08999999999997</v>
      </c>
      <c r="S1845" s="35">
        <v>1.4012881944019888</v>
      </c>
      <c r="T1845" s="232">
        <v>26218.84</v>
      </c>
      <c r="U1845" s="35">
        <v>1.0802939390582438</v>
      </c>
      <c r="W1845" s="35">
        <f t="shared" si="175"/>
        <v>442.65212054586993</v>
      </c>
      <c r="X1845" s="35">
        <f t="shared" si="176"/>
        <v>70343.49972009944</v>
      </c>
      <c r="Y1845" s="35">
        <f t="shared" si="177"/>
        <v>27795.856952912192</v>
      </c>
      <c r="Z1845" s="35">
        <f t="shared" si="178"/>
        <v>0</v>
      </c>
      <c r="AA1845" s="35">
        <f t="shared" si="179"/>
        <v>1</v>
      </c>
      <c r="AB1845" s="35">
        <f t="shared" si="180"/>
        <v>0</v>
      </c>
    </row>
    <row r="1846" spans="1:28">
      <c r="A1846" s="35">
        <v>1835</v>
      </c>
      <c r="B1846" s="35">
        <v>3.5256419434605101E-4</v>
      </c>
      <c r="C1846" s="232">
        <v>61.99</v>
      </c>
      <c r="D1846" s="35">
        <v>5.05751266436374</v>
      </c>
      <c r="E1846" s="232">
        <v>34.67</v>
      </c>
      <c r="F1846" s="35">
        <v>5.0477202005391675</v>
      </c>
      <c r="G1846" s="232">
        <v>13492.16</v>
      </c>
      <c r="H1846" s="35">
        <v>9.163052248338154</v>
      </c>
      <c r="I1846" s="232">
        <v>14629.26</v>
      </c>
      <c r="J1846" s="35">
        <v>8.4010869217339366</v>
      </c>
      <c r="K1846" s="232">
        <v>17864.96</v>
      </c>
      <c r="L1846" s="35">
        <v>8.8851098849776449</v>
      </c>
      <c r="M1846" s="232">
        <v>44204.28</v>
      </c>
      <c r="N1846" s="35">
        <v>7.8465409206086782</v>
      </c>
      <c r="P1846" s="232">
        <v>-27.32</v>
      </c>
      <c r="Q1846" s="35">
        <v>9.7924638245725504E-3</v>
      </c>
      <c r="R1846" s="232">
        <v>1137.0999999999999</v>
      </c>
      <c r="S1846" s="35">
        <v>0.76196532660421745</v>
      </c>
      <c r="T1846" s="232">
        <v>26339.31</v>
      </c>
      <c r="U1846" s="35">
        <v>1.0385689643689666</v>
      </c>
      <c r="W1846" s="35">
        <f t="shared" si="175"/>
        <v>516.9431912286276</v>
      </c>
      <c r="X1846" s="35">
        <f t="shared" si="176"/>
        <v>36961.166330210872</v>
      </c>
      <c r="Y1846" s="35">
        <f t="shared" si="177"/>
        <v>25589.138218448326</v>
      </c>
      <c r="Z1846" s="35">
        <f t="shared" si="178"/>
        <v>0</v>
      </c>
      <c r="AA1846" s="35">
        <f t="shared" si="179"/>
        <v>1</v>
      </c>
      <c r="AB1846" s="35">
        <f t="shared" si="180"/>
        <v>0</v>
      </c>
    </row>
    <row r="1847" spans="1:28">
      <c r="A1847" s="35">
        <v>1836</v>
      </c>
      <c r="B1847" s="35">
        <v>4.186057465521974E-4</v>
      </c>
      <c r="C1847" s="232">
        <v>53.75</v>
      </c>
      <c r="D1847" s="35">
        <v>5.0572545947364214</v>
      </c>
      <c r="E1847" s="232">
        <v>31.14</v>
      </c>
      <c r="F1847" s="35">
        <v>5.0478051366696048</v>
      </c>
      <c r="G1847" s="232">
        <v>9221.6299999999992</v>
      </c>
      <c r="H1847" s="35">
        <v>7.9629481398412469</v>
      </c>
      <c r="I1847" s="232">
        <v>10810.62</v>
      </c>
      <c r="J1847" s="35">
        <v>7.5105382934270395</v>
      </c>
      <c r="K1847" s="232">
        <v>14385.18</v>
      </c>
      <c r="L1847" s="35">
        <v>8.6858172655681773</v>
      </c>
      <c r="M1847" s="232">
        <v>40445.279999999999</v>
      </c>
      <c r="N1847" s="35">
        <v>7.681760572799015</v>
      </c>
      <c r="P1847" s="232">
        <v>-22.61</v>
      </c>
      <c r="Q1847" s="35">
        <v>9.4494580668165185E-3</v>
      </c>
      <c r="R1847" s="232">
        <v>1588.99</v>
      </c>
      <c r="S1847" s="35">
        <v>0.45240984641420745</v>
      </c>
      <c r="T1847" s="232">
        <v>26060.1</v>
      </c>
      <c r="U1847" s="35">
        <v>1.0040566927691623</v>
      </c>
      <c r="W1847" s="35">
        <f t="shared" si="175"/>
        <v>495.08290334082596</v>
      </c>
      <c r="X1847" s="35">
        <f t="shared" si="176"/>
        <v>21031.50232071037</v>
      </c>
      <c r="Y1847" s="35">
        <f t="shared" si="177"/>
        <v>24142.734638458118</v>
      </c>
      <c r="Z1847" s="35">
        <f t="shared" si="178"/>
        <v>0</v>
      </c>
      <c r="AA1847" s="35">
        <f t="shared" si="179"/>
        <v>0</v>
      </c>
      <c r="AB1847" s="35">
        <f t="shared" si="180"/>
        <v>1</v>
      </c>
    </row>
    <row r="1848" spans="1:28">
      <c r="A1848" s="35">
        <v>1837</v>
      </c>
      <c r="B1848" s="35">
        <v>4.2228289860393536E-4</v>
      </c>
      <c r="C1848" s="232">
        <v>77.56</v>
      </c>
      <c r="D1848" s="35">
        <v>5.0601799338940507</v>
      </c>
      <c r="E1848" s="232">
        <v>57.27</v>
      </c>
      <c r="F1848" s="35">
        <v>5.053305876392705</v>
      </c>
      <c r="G1848" s="232">
        <v>14144.11</v>
      </c>
      <c r="H1848" s="35">
        <v>8.5928439427237659</v>
      </c>
      <c r="I1848" s="232">
        <v>15161.96</v>
      </c>
      <c r="J1848" s="35">
        <v>7.4537380849942165</v>
      </c>
      <c r="K1848" s="232">
        <v>18248.009999999998</v>
      </c>
      <c r="L1848" s="35">
        <v>8.6407310344442205</v>
      </c>
      <c r="M1848" s="232">
        <v>44512.82</v>
      </c>
      <c r="N1848" s="35">
        <v>7.5686908485295508</v>
      </c>
      <c r="P1848" s="232">
        <v>-20.29</v>
      </c>
      <c r="Q1848" s="35">
        <v>6.8740575013457317E-3</v>
      </c>
      <c r="R1848" s="232">
        <v>1017.85</v>
      </c>
      <c r="S1848" s="35">
        <v>1.1391058577295494</v>
      </c>
      <c r="T1848" s="232">
        <v>26264.81</v>
      </c>
      <c r="U1848" s="35">
        <v>1.0720401859146698</v>
      </c>
      <c r="W1848" s="35">
        <f t="shared" si="175"/>
        <v>363.9928750672866</v>
      </c>
      <c r="X1848" s="35">
        <f t="shared" si="176"/>
        <v>55937.442886477475</v>
      </c>
      <c r="Y1848" s="35">
        <f t="shared" si="177"/>
        <v>27337.199295733484</v>
      </c>
      <c r="Z1848" s="35">
        <f t="shared" si="178"/>
        <v>0</v>
      </c>
      <c r="AA1848" s="35">
        <f t="shared" si="179"/>
        <v>1</v>
      </c>
      <c r="AB1848" s="35">
        <f t="shared" si="180"/>
        <v>0</v>
      </c>
    </row>
    <row r="1849" spans="1:28">
      <c r="A1849" s="35">
        <v>1838</v>
      </c>
      <c r="B1849" s="35">
        <v>4.7824288174869167E-4</v>
      </c>
      <c r="C1849" s="232">
        <v>53.73</v>
      </c>
      <c r="D1849" s="35">
        <v>5.0624875414222297</v>
      </c>
      <c r="E1849" s="232">
        <v>32.07</v>
      </c>
      <c r="F1849" s="35">
        <v>5.0509074668714957</v>
      </c>
      <c r="G1849" s="232">
        <v>8367.5300000000007</v>
      </c>
      <c r="H1849" s="35">
        <v>8.618755637113825</v>
      </c>
      <c r="I1849" s="232">
        <v>9055.68</v>
      </c>
      <c r="J1849" s="35">
        <v>7.0900048423292139</v>
      </c>
      <c r="K1849" s="232">
        <v>11186.22</v>
      </c>
      <c r="L1849" s="35">
        <v>8.83621294510057</v>
      </c>
      <c r="M1849" s="232">
        <v>37005.35</v>
      </c>
      <c r="N1849" s="35">
        <v>7.7782216807659905</v>
      </c>
      <c r="P1849" s="232">
        <v>-21.67</v>
      </c>
      <c r="Q1849" s="35">
        <v>1.1580074550733954E-2</v>
      </c>
      <c r="R1849" s="232">
        <v>688.14</v>
      </c>
      <c r="S1849" s="35">
        <v>1.5287507947846111</v>
      </c>
      <c r="T1849" s="232">
        <v>25819.13</v>
      </c>
      <c r="U1849" s="35">
        <v>1.0579912643345795</v>
      </c>
      <c r="W1849" s="35">
        <f t="shared" si="175"/>
        <v>600.6737275366977</v>
      </c>
      <c r="X1849" s="35">
        <f t="shared" si="176"/>
        <v>75749.399739230561</v>
      </c>
      <c r="Y1849" s="35">
        <f t="shared" si="177"/>
        <v>27080.433216728972</v>
      </c>
      <c r="Z1849" s="35">
        <f t="shared" si="178"/>
        <v>0</v>
      </c>
      <c r="AA1849" s="35">
        <f t="shared" si="179"/>
        <v>1</v>
      </c>
      <c r="AB1849" s="35">
        <f t="shared" si="180"/>
        <v>0</v>
      </c>
    </row>
    <row r="1850" spans="1:28">
      <c r="A1850" s="35">
        <v>1839</v>
      </c>
      <c r="B1850" s="35">
        <v>5.920501524137034E-4</v>
      </c>
      <c r="C1850" s="232">
        <v>79.83</v>
      </c>
      <c r="D1850" s="35">
        <v>5.0688427021303424</v>
      </c>
      <c r="E1850" s="232">
        <v>44.14</v>
      </c>
      <c r="F1850" s="35">
        <v>5.0536000567936652</v>
      </c>
      <c r="G1850" s="232">
        <v>10659.43</v>
      </c>
      <c r="H1850" s="35">
        <v>8.7188675793547237</v>
      </c>
      <c r="I1850" s="232">
        <v>11858.89</v>
      </c>
      <c r="J1850" s="35">
        <v>7.5074661523282877</v>
      </c>
      <c r="K1850" s="232">
        <v>13603.25</v>
      </c>
      <c r="L1850" s="35">
        <v>8.864025911858521</v>
      </c>
      <c r="M1850" s="232">
        <v>39480.43</v>
      </c>
      <c r="N1850" s="35">
        <v>7.8628689125098319</v>
      </c>
      <c r="P1850" s="232">
        <v>-35.69</v>
      </c>
      <c r="Q1850" s="35">
        <v>1.5242645336677185E-2</v>
      </c>
      <c r="R1850" s="232">
        <v>1199.46</v>
      </c>
      <c r="S1850" s="35">
        <v>1.2114014270264359</v>
      </c>
      <c r="T1850" s="232">
        <v>25877.18</v>
      </c>
      <c r="U1850" s="35">
        <v>1.0011569993486891</v>
      </c>
      <c r="W1850" s="35">
        <f t="shared" si="175"/>
        <v>797.8222668338592</v>
      </c>
      <c r="X1850" s="35">
        <f t="shared" si="176"/>
        <v>59370.611351321801</v>
      </c>
      <c r="Y1850" s="35">
        <f t="shared" si="177"/>
        <v>24180.669967434456</v>
      </c>
      <c r="Z1850" s="35">
        <f t="shared" si="178"/>
        <v>0</v>
      </c>
      <c r="AA1850" s="35">
        <f t="shared" si="179"/>
        <v>1</v>
      </c>
      <c r="AB1850" s="35">
        <f t="shared" si="180"/>
        <v>0</v>
      </c>
    </row>
    <row r="1851" spans="1:28">
      <c r="A1851" s="35">
        <v>1840</v>
      </c>
      <c r="B1851" s="35">
        <v>5.0517677550721007E-4</v>
      </c>
      <c r="C1851" s="232">
        <v>84.85</v>
      </c>
      <c r="D1851" s="35">
        <v>5.063965321388471</v>
      </c>
      <c r="E1851" s="232">
        <v>44.49</v>
      </c>
      <c r="F1851" s="35">
        <v>5.0504517282655224</v>
      </c>
      <c r="G1851" s="232">
        <v>13166.69</v>
      </c>
      <c r="H1851" s="35">
        <v>8.8229410398828616</v>
      </c>
      <c r="I1851" s="232">
        <v>13735.5</v>
      </c>
      <c r="J1851" s="35">
        <v>7.6793880745328718</v>
      </c>
      <c r="K1851" s="232">
        <v>18406.939999999999</v>
      </c>
      <c r="L1851" s="35">
        <v>8.4781335918739753</v>
      </c>
      <c r="M1851" s="232">
        <v>44741.4</v>
      </c>
      <c r="N1851" s="35">
        <v>7.3492325608161018</v>
      </c>
      <c r="P1851" s="232">
        <v>-40.36</v>
      </c>
      <c r="Q1851" s="35">
        <v>1.3513593122948642E-2</v>
      </c>
      <c r="R1851" s="232">
        <v>568.80999999999995</v>
      </c>
      <c r="S1851" s="35">
        <v>1.1435529653499898</v>
      </c>
      <c r="T1851" s="232">
        <v>26334.45</v>
      </c>
      <c r="U1851" s="35">
        <v>1.1289010310578735</v>
      </c>
      <c r="W1851" s="35">
        <f t="shared" si="175"/>
        <v>716.03965614743208</v>
      </c>
      <c r="X1851" s="35">
        <f t="shared" si="176"/>
        <v>56608.838267499494</v>
      </c>
      <c r="Y1851" s="35">
        <f t="shared" si="177"/>
        <v>30110.601552893673</v>
      </c>
      <c r="Z1851" s="35">
        <f t="shared" si="178"/>
        <v>0</v>
      </c>
      <c r="AA1851" s="35">
        <f t="shared" si="179"/>
        <v>1</v>
      </c>
      <c r="AB1851" s="35">
        <f t="shared" si="180"/>
        <v>0</v>
      </c>
    </row>
    <row r="1852" spans="1:28">
      <c r="A1852" s="35">
        <v>1841</v>
      </c>
      <c r="B1852" s="35">
        <v>3.9242702724233603E-4</v>
      </c>
      <c r="C1852" s="232">
        <v>53.62</v>
      </c>
      <c r="D1852" s="35">
        <v>5.0591667208205422</v>
      </c>
      <c r="E1852" s="232">
        <v>36.590000000000003</v>
      </c>
      <c r="F1852" s="35">
        <v>5.0509682203196871</v>
      </c>
      <c r="G1852" s="232">
        <v>10397.02</v>
      </c>
      <c r="H1852" s="35">
        <v>8.8419838662483343</v>
      </c>
      <c r="I1852" s="232">
        <v>12172.4</v>
      </c>
      <c r="J1852" s="35">
        <v>8.3322646525497106</v>
      </c>
      <c r="K1852" s="232">
        <v>12869.52</v>
      </c>
      <c r="L1852" s="35">
        <v>9.0373500861097682</v>
      </c>
      <c r="M1852" s="232">
        <v>38758.910000000003</v>
      </c>
      <c r="N1852" s="35">
        <v>8.0316660458062632</v>
      </c>
      <c r="P1852" s="232">
        <v>-17.03</v>
      </c>
      <c r="Q1852" s="35">
        <v>8.1985005008551326E-3</v>
      </c>
      <c r="R1852" s="232">
        <v>1775.39</v>
      </c>
      <c r="S1852" s="35">
        <v>0.50971921369862372</v>
      </c>
      <c r="T1852" s="232">
        <v>25889.39</v>
      </c>
      <c r="U1852" s="35">
        <v>1.005684040303505</v>
      </c>
      <c r="W1852" s="35">
        <f t="shared" si="175"/>
        <v>426.95502504275657</v>
      </c>
      <c r="X1852" s="35">
        <f t="shared" si="176"/>
        <v>23710.570684931186</v>
      </c>
      <c r="Y1852" s="35">
        <f t="shared" si="177"/>
        <v>24394.812015175252</v>
      </c>
      <c r="Z1852" s="35">
        <f t="shared" si="178"/>
        <v>0</v>
      </c>
      <c r="AA1852" s="35">
        <f t="shared" si="179"/>
        <v>0</v>
      </c>
      <c r="AB1852" s="35">
        <f t="shared" si="180"/>
        <v>1</v>
      </c>
    </row>
    <row r="1853" spans="1:28">
      <c r="A1853" s="35">
        <v>1842</v>
      </c>
      <c r="B1853" s="35">
        <v>5.0470050181894432E-4</v>
      </c>
      <c r="C1853" s="232">
        <v>70.13</v>
      </c>
      <c r="D1853" s="35">
        <v>5.0645597896133259</v>
      </c>
      <c r="E1853" s="232">
        <v>42.68</v>
      </c>
      <c r="F1853" s="35">
        <v>5.0527419442276065</v>
      </c>
      <c r="G1853" s="232">
        <v>10855.94</v>
      </c>
      <c r="H1853" s="35">
        <v>8.7547541923845369</v>
      </c>
      <c r="I1853" s="232">
        <v>11638.95</v>
      </c>
      <c r="J1853" s="35">
        <v>7.1880870542335842</v>
      </c>
      <c r="K1853" s="232">
        <v>14204.5</v>
      </c>
      <c r="L1853" s="35">
        <v>8.6637110988706834</v>
      </c>
      <c r="M1853" s="232">
        <v>40324.589999999997</v>
      </c>
      <c r="N1853" s="35">
        <v>7.4958171133260061</v>
      </c>
      <c r="P1853" s="232">
        <v>-27.45</v>
      </c>
      <c r="Q1853" s="35">
        <v>1.1817845385719394E-2</v>
      </c>
      <c r="R1853" s="232">
        <v>783</v>
      </c>
      <c r="S1853" s="35">
        <v>1.5666671381509527</v>
      </c>
      <c r="T1853" s="232">
        <v>26120.1</v>
      </c>
      <c r="U1853" s="35">
        <v>1.1678939855446773</v>
      </c>
      <c r="W1853" s="35">
        <f t="shared" si="175"/>
        <v>618.34226928596979</v>
      </c>
      <c r="X1853" s="35">
        <f t="shared" si="176"/>
        <v>77550.356907547641</v>
      </c>
      <c r="Y1853" s="35">
        <f t="shared" si="177"/>
        <v>32274.599277233865</v>
      </c>
      <c r="Z1853" s="35">
        <f t="shared" si="178"/>
        <v>0</v>
      </c>
      <c r="AA1853" s="35">
        <f t="shared" si="179"/>
        <v>1</v>
      </c>
      <c r="AB1853" s="35">
        <f t="shared" si="180"/>
        <v>0</v>
      </c>
    </row>
    <row r="1854" spans="1:28">
      <c r="A1854" s="35">
        <v>1843</v>
      </c>
      <c r="B1854" s="35">
        <v>4.2696749675380079E-4</v>
      </c>
      <c r="C1854" s="232">
        <v>47.44</v>
      </c>
      <c r="D1854" s="35">
        <v>5.060653362739318</v>
      </c>
      <c r="E1854" s="232">
        <v>28.91</v>
      </c>
      <c r="F1854" s="35">
        <v>5.0500204824943147</v>
      </c>
      <c r="G1854" s="232">
        <v>9073.9599999999991</v>
      </c>
      <c r="H1854" s="35">
        <v>9.0853380101382637</v>
      </c>
      <c r="I1854" s="232">
        <v>11274.9</v>
      </c>
      <c r="J1854" s="35">
        <v>8.8817663368131985</v>
      </c>
      <c r="K1854" s="232">
        <v>8719.89</v>
      </c>
      <c r="L1854" s="35">
        <v>8.5065119828599602</v>
      </c>
      <c r="M1854" s="232">
        <v>34518.42</v>
      </c>
      <c r="N1854" s="35">
        <v>7.4424469559747379</v>
      </c>
      <c r="P1854" s="232">
        <v>-18.53</v>
      </c>
      <c r="Q1854" s="35">
        <v>1.0632880245003307E-2</v>
      </c>
      <c r="R1854" s="232">
        <v>2200.94</v>
      </c>
      <c r="S1854" s="35">
        <v>0.20357167332506521</v>
      </c>
      <c r="T1854" s="232">
        <v>25798.53</v>
      </c>
      <c r="U1854" s="35">
        <v>1.0640650268852223</v>
      </c>
      <c r="W1854" s="35">
        <f t="shared" si="175"/>
        <v>550.17401225016533</v>
      </c>
      <c r="X1854" s="35">
        <f t="shared" si="176"/>
        <v>7977.6436662532597</v>
      </c>
      <c r="Y1854" s="35">
        <f t="shared" si="177"/>
        <v>27404.721344261117</v>
      </c>
      <c r="Z1854" s="35">
        <f t="shared" si="178"/>
        <v>0</v>
      </c>
      <c r="AA1854" s="35">
        <f t="shared" si="179"/>
        <v>0</v>
      </c>
      <c r="AB1854" s="35">
        <f t="shared" si="180"/>
        <v>1</v>
      </c>
    </row>
    <row r="1855" spans="1:28">
      <c r="A1855" s="35">
        <v>1844</v>
      </c>
      <c r="B1855" s="35">
        <v>3.5547888509596039E-4</v>
      </c>
      <c r="C1855" s="232">
        <v>44.46</v>
      </c>
      <c r="D1855" s="35">
        <v>5.0556767277193266</v>
      </c>
      <c r="E1855" s="232">
        <v>30.74</v>
      </c>
      <c r="F1855" s="35">
        <v>5.0487371107473988</v>
      </c>
      <c r="G1855" s="232">
        <v>9173.3700000000008</v>
      </c>
      <c r="H1855" s="35">
        <v>8.3825984666450655</v>
      </c>
      <c r="I1855" s="232">
        <v>11323.73</v>
      </c>
      <c r="J1855" s="35">
        <v>8.3205806568873495</v>
      </c>
      <c r="K1855" s="232">
        <v>13477.54</v>
      </c>
      <c r="L1855" s="35">
        <v>8.651619472483441</v>
      </c>
      <c r="M1855" s="232">
        <v>39465.089999999997</v>
      </c>
      <c r="N1855" s="35">
        <v>7.608915285728858</v>
      </c>
      <c r="P1855" s="232">
        <v>-13.72</v>
      </c>
      <c r="Q1855" s="35">
        <v>6.9396169719277978E-3</v>
      </c>
      <c r="R1855" s="232">
        <v>2150.37</v>
      </c>
      <c r="S1855" s="35">
        <v>6.201780975771598E-2</v>
      </c>
      <c r="T1855" s="232">
        <v>25987.55</v>
      </c>
      <c r="U1855" s="35">
        <v>1.042704186754583</v>
      </c>
      <c r="W1855" s="35">
        <f t="shared" si="175"/>
        <v>360.7008485963899</v>
      </c>
      <c r="X1855" s="35">
        <f t="shared" si="176"/>
        <v>950.52048788579896</v>
      </c>
      <c r="Y1855" s="35">
        <f t="shared" si="177"/>
        <v>26147.659337729147</v>
      </c>
      <c r="Z1855" s="35">
        <f t="shared" si="178"/>
        <v>0</v>
      </c>
      <c r="AA1855" s="35">
        <f t="shared" si="179"/>
        <v>0</v>
      </c>
      <c r="AB1855" s="35">
        <f t="shared" si="180"/>
        <v>1</v>
      </c>
    </row>
    <row r="1856" spans="1:28">
      <c r="A1856" s="35">
        <v>1845</v>
      </c>
      <c r="B1856" s="35">
        <v>5.0818887903514298E-4</v>
      </c>
      <c r="C1856" s="232">
        <v>74.2</v>
      </c>
      <c r="D1856" s="35">
        <v>5.0641625313592504</v>
      </c>
      <c r="E1856" s="232">
        <v>40.619999999999997</v>
      </c>
      <c r="F1856" s="35">
        <v>5.0509888163339793</v>
      </c>
      <c r="G1856" s="232">
        <v>11782.04</v>
      </c>
      <c r="H1856" s="35">
        <v>8.7425408926752333</v>
      </c>
      <c r="I1856" s="232">
        <v>13471.52</v>
      </c>
      <c r="J1856" s="35">
        <v>7.7227794208333407</v>
      </c>
      <c r="K1856" s="232">
        <v>13023.87</v>
      </c>
      <c r="L1856" s="35">
        <v>8.6647012917206077</v>
      </c>
      <c r="M1856" s="232">
        <v>39039.58</v>
      </c>
      <c r="N1856" s="35">
        <v>7.563464202032014</v>
      </c>
      <c r="P1856" s="232">
        <v>-33.590000000000003</v>
      </c>
      <c r="Q1856" s="35">
        <v>1.3173715025271093E-2</v>
      </c>
      <c r="R1856" s="232">
        <v>1689.48</v>
      </c>
      <c r="S1856" s="35">
        <v>1.0197614718418926</v>
      </c>
      <c r="T1856" s="232">
        <v>26015.7</v>
      </c>
      <c r="U1856" s="35">
        <v>1.1012370896885937</v>
      </c>
      <c r="W1856" s="35">
        <f t="shared" si="175"/>
        <v>692.27575126355475</v>
      </c>
      <c r="X1856" s="35">
        <f t="shared" si="176"/>
        <v>49298.593592094629</v>
      </c>
      <c r="Y1856" s="35">
        <f t="shared" si="177"/>
        <v>29046.154484429684</v>
      </c>
      <c r="Z1856" s="35">
        <f t="shared" si="178"/>
        <v>0</v>
      </c>
      <c r="AA1856" s="35">
        <f t="shared" si="179"/>
        <v>1</v>
      </c>
      <c r="AB1856" s="35">
        <f t="shared" si="180"/>
        <v>0</v>
      </c>
    </row>
    <row r="1857" spans="1:28">
      <c r="A1857" s="35">
        <v>1846</v>
      </c>
      <c r="B1857" s="35">
        <v>4.8462872657806244E-4</v>
      </c>
      <c r="C1857" s="232">
        <v>49.41</v>
      </c>
      <c r="D1857" s="35">
        <v>5.0609691587077181</v>
      </c>
      <c r="E1857" s="232">
        <v>33.69</v>
      </c>
      <c r="F1857" s="35">
        <v>5.0519315629896999</v>
      </c>
      <c r="G1857" s="232">
        <v>7877.67</v>
      </c>
      <c r="H1857" s="35">
        <v>8.1756632858405567</v>
      </c>
      <c r="I1857" s="232">
        <v>9822.02</v>
      </c>
      <c r="J1857" s="35">
        <v>7.2460338553144341</v>
      </c>
      <c r="K1857" s="232">
        <v>7756.62</v>
      </c>
      <c r="L1857" s="35">
        <v>8.5143437609427313</v>
      </c>
      <c r="M1857" s="232">
        <v>33502.620000000003</v>
      </c>
      <c r="N1857" s="35">
        <v>7.5711353741470866</v>
      </c>
      <c r="P1857" s="232">
        <v>-15.71</v>
      </c>
      <c r="Q1857" s="35">
        <v>9.0375957180182098E-3</v>
      </c>
      <c r="R1857" s="232">
        <v>1944.35</v>
      </c>
      <c r="S1857" s="35">
        <v>0.92962943052612257</v>
      </c>
      <c r="T1857" s="232">
        <v>25746</v>
      </c>
      <c r="U1857" s="35">
        <v>0.94320838679564467</v>
      </c>
      <c r="W1857" s="35">
        <f t="shared" si="175"/>
        <v>467.5897859009105</v>
      </c>
      <c r="X1857" s="35">
        <f t="shared" si="176"/>
        <v>44537.121526306131</v>
      </c>
      <c r="Y1857" s="35">
        <f t="shared" si="177"/>
        <v>21414.419339782231</v>
      </c>
      <c r="Z1857" s="35">
        <f t="shared" si="178"/>
        <v>0</v>
      </c>
      <c r="AA1857" s="35">
        <f t="shared" si="179"/>
        <v>1</v>
      </c>
      <c r="AB1857" s="35">
        <f t="shared" si="180"/>
        <v>0</v>
      </c>
    </row>
    <row r="1858" spans="1:28">
      <c r="A1858" s="35">
        <v>1847</v>
      </c>
      <c r="B1858" s="35">
        <v>6.2430701027338387E-4</v>
      </c>
      <c r="C1858" s="232">
        <v>109.39</v>
      </c>
      <c r="D1858" s="35">
        <v>5.0683489871087204</v>
      </c>
      <c r="E1858" s="232">
        <v>71.53</v>
      </c>
      <c r="F1858" s="35">
        <v>5.0567982765117332</v>
      </c>
      <c r="G1858" s="232">
        <v>12412.76</v>
      </c>
      <c r="H1858" s="35">
        <v>8.3787672993344611</v>
      </c>
      <c r="I1858" s="232">
        <v>12984.83</v>
      </c>
      <c r="J1858" s="35">
        <v>7.5897769824693633</v>
      </c>
      <c r="K1858" s="232">
        <v>18404.36</v>
      </c>
      <c r="L1858" s="35">
        <v>8.3380482383095131</v>
      </c>
      <c r="M1858" s="232">
        <v>44726.62</v>
      </c>
      <c r="N1858" s="35">
        <v>7.2460705837858939</v>
      </c>
      <c r="P1858" s="232">
        <v>-37.86</v>
      </c>
      <c r="Q1858" s="35">
        <v>1.1550710596987201E-2</v>
      </c>
      <c r="R1858" s="232">
        <v>572.07000000000005</v>
      </c>
      <c r="S1858" s="35">
        <v>0.7889903168650978</v>
      </c>
      <c r="T1858" s="232">
        <v>26322.25</v>
      </c>
      <c r="U1858" s="35">
        <v>1.0919776545236193</v>
      </c>
      <c r="W1858" s="35">
        <f t="shared" si="175"/>
        <v>615.39552984936006</v>
      </c>
      <c r="X1858" s="35">
        <f t="shared" si="176"/>
        <v>38877.445843254893</v>
      </c>
      <c r="Y1858" s="35">
        <f t="shared" si="177"/>
        <v>28276.632726180964</v>
      </c>
      <c r="Z1858" s="35">
        <f t="shared" si="178"/>
        <v>0</v>
      </c>
      <c r="AA1858" s="35">
        <f t="shared" si="179"/>
        <v>1</v>
      </c>
      <c r="AB1858" s="35">
        <f t="shared" si="180"/>
        <v>0</v>
      </c>
    </row>
    <row r="1859" spans="1:28">
      <c r="A1859" s="35">
        <v>1848</v>
      </c>
      <c r="B1859" s="35">
        <v>3.630774036095541E-4</v>
      </c>
      <c r="C1859" s="232">
        <v>42.69</v>
      </c>
      <c r="D1859" s="35">
        <v>5.0574431992075075</v>
      </c>
      <c r="E1859" s="232">
        <v>28.13</v>
      </c>
      <c r="F1859" s="35">
        <v>5.0491099665785173</v>
      </c>
      <c r="G1859" s="232">
        <v>9264.1200000000008</v>
      </c>
      <c r="H1859" s="35">
        <v>8.786520957987328</v>
      </c>
      <c r="I1859" s="232">
        <v>10877.6</v>
      </c>
      <c r="J1859" s="35">
        <v>7.8684668017796842</v>
      </c>
      <c r="K1859" s="232">
        <v>11812.69</v>
      </c>
      <c r="L1859" s="35">
        <v>8.864378780910501</v>
      </c>
      <c r="M1859" s="232">
        <v>37742.94</v>
      </c>
      <c r="N1859" s="35">
        <v>7.7529237723531343</v>
      </c>
      <c r="P1859" s="232">
        <v>-14.56</v>
      </c>
      <c r="Q1859" s="35">
        <v>8.333232628990217E-3</v>
      </c>
      <c r="R1859" s="232">
        <v>1613.49</v>
      </c>
      <c r="S1859" s="35">
        <v>0.91805415620764386</v>
      </c>
      <c r="T1859" s="232">
        <v>25930.25</v>
      </c>
      <c r="U1859" s="35">
        <v>1.1114550085573667</v>
      </c>
      <c r="W1859" s="35">
        <f t="shared" si="175"/>
        <v>431.22163144951088</v>
      </c>
      <c r="X1859" s="35">
        <f t="shared" si="176"/>
        <v>44289.217810382193</v>
      </c>
      <c r="Y1859" s="35">
        <f t="shared" si="177"/>
        <v>29642.500427868334</v>
      </c>
      <c r="Z1859" s="35">
        <f t="shared" si="178"/>
        <v>0</v>
      </c>
      <c r="AA1859" s="35">
        <f t="shared" si="179"/>
        <v>1</v>
      </c>
      <c r="AB1859" s="35">
        <f t="shared" si="180"/>
        <v>0</v>
      </c>
    </row>
    <row r="1860" spans="1:28">
      <c r="A1860" s="35">
        <v>1849</v>
      </c>
      <c r="B1860" s="35">
        <v>4.9329664643116278E-4</v>
      </c>
      <c r="C1860" s="232">
        <v>89.08</v>
      </c>
      <c r="D1860" s="35">
        <v>5.0633335928136045</v>
      </c>
      <c r="E1860" s="232">
        <v>53.23</v>
      </c>
      <c r="F1860" s="35">
        <v>5.0520588353573794</v>
      </c>
      <c r="G1860" s="232">
        <v>13737.16</v>
      </c>
      <c r="H1860" s="35">
        <v>8.6717383532497969</v>
      </c>
      <c r="I1860" s="232">
        <v>14035.5</v>
      </c>
      <c r="J1860" s="35">
        <v>7.5066431377075826</v>
      </c>
      <c r="K1860" s="232">
        <v>19917.86</v>
      </c>
      <c r="L1860" s="35">
        <v>8.5975712056474372</v>
      </c>
      <c r="M1860" s="232">
        <v>46377.54</v>
      </c>
      <c r="N1860" s="35">
        <v>7.48045239777076</v>
      </c>
      <c r="P1860" s="232">
        <v>-35.86</v>
      </c>
      <c r="Q1860" s="35">
        <v>1.1274757456225082E-2</v>
      </c>
      <c r="R1860" s="232">
        <v>298.33999999999997</v>
      </c>
      <c r="S1860" s="35">
        <v>1.1650952155422143</v>
      </c>
      <c r="T1860" s="232">
        <v>26459.68</v>
      </c>
      <c r="U1860" s="35">
        <v>1.1171188078766772</v>
      </c>
      <c r="W1860" s="35">
        <f t="shared" si="175"/>
        <v>599.59787281125409</v>
      </c>
      <c r="X1860" s="35">
        <f t="shared" si="176"/>
        <v>57956.420777110718</v>
      </c>
      <c r="Y1860" s="35">
        <f t="shared" si="177"/>
        <v>29396.260393833858</v>
      </c>
      <c r="Z1860" s="35">
        <f t="shared" si="178"/>
        <v>0</v>
      </c>
      <c r="AA1860" s="35">
        <f t="shared" si="179"/>
        <v>1</v>
      </c>
      <c r="AB1860" s="35">
        <f t="shared" si="180"/>
        <v>0</v>
      </c>
    </row>
    <row r="1861" spans="1:28">
      <c r="A1861" s="35">
        <v>1850</v>
      </c>
      <c r="B1861" s="35">
        <v>3.8012447219903651E-4</v>
      </c>
      <c r="C1861" s="232">
        <v>45.09</v>
      </c>
      <c r="D1861" s="35">
        <v>5.0585250216487951</v>
      </c>
      <c r="E1861" s="232">
        <v>26.97</v>
      </c>
      <c r="F1861" s="35">
        <v>5.0485743001425032</v>
      </c>
      <c r="G1861" s="232">
        <v>9301.36</v>
      </c>
      <c r="H1861" s="35">
        <v>8.9118369494817493</v>
      </c>
      <c r="I1861" s="232">
        <v>10392.02</v>
      </c>
      <c r="J1861" s="35">
        <v>7.4683109357065893</v>
      </c>
      <c r="K1861" s="232">
        <v>11838.26</v>
      </c>
      <c r="L1861" s="35">
        <v>8.9044089794712367</v>
      </c>
      <c r="M1861" s="232">
        <v>37683.879999999997</v>
      </c>
      <c r="N1861" s="35">
        <v>7.7770247480797616</v>
      </c>
      <c r="P1861" s="232">
        <v>-18.12</v>
      </c>
      <c r="Q1861" s="35">
        <v>9.9507215062919485E-3</v>
      </c>
      <c r="R1861" s="232">
        <v>1090.6600000000001</v>
      </c>
      <c r="S1861" s="35">
        <v>1.44352601377516</v>
      </c>
      <c r="T1861" s="232">
        <v>25845.62</v>
      </c>
      <c r="U1861" s="35">
        <v>1.127384231391475</v>
      </c>
      <c r="W1861" s="35">
        <f t="shared" si="175"/>
        <v>515.65607531459739</v>
      </c>
      <c r="X1861" s="35">
        <f t="shared" si="176"/>
        <v>71085.640688757994</v>
      </c>
      <c r="Y1861" s="35">
        <f t="shared" si="177"/>
        <v>30523.591569573753</v>
      </c>
      <c r="Z1861" s="35">
        <f t="shared" si="178"/>
        <v>0</v>
      </c>
      <c r="AA1861" s="35">
        <f t="shared" si="179"/>
        <v>1</v>
      </c>
      <c r="AB1861" s="35">
        <f t="shared" si="180"/>
        <v>0</v>
      </c>
    </row>
    <row r="1862" spans="1:28">
      <c r="A1862" s="35">
        <v>1851</v>
      </c>
      <c r="B1862" s="35">
        <v>4.7498427395631371E-4</v>
      </c>
      <c r="C1862" s="232">
        <v>76.44</v>
      </c>
      <c r="D1862" s="35">
        <v>5.0644898803228413</v>
      </c>
      <c r="E1862" s="232">
        <v>45.86</v>
      </c>
      <c r="F1862" s="35">
        <v>5.0525865637869813</v>
      </c>
      <c r="G1862" s="232">
        <v>12436.24</v>
      </c>
      <c r="H1862" s="35">
        <v>9.323489358318751</v>
      </c>
      <c r="I1862" s="232">
        <v>12480.12</v>
      </c>
      <c r="J1862" s="35">
        <v>7.6878875128682616</v>
      </c>
      <c r="K1862" s="232">
        <v>16120.26</v>
      </c>
      <c r="L1862" s="35">
        <v>8.5197529078138885</v>
      </c>
      <c r="M1862" s="232">
        <v>42347.18</v>
      </c>
      <c r="N1862" s="35">
        <v>7.3842488760633564</v>
      </c>
      <c r="P1862" s="232">
        <v>-30.58</v>
      </c>
      <c r="Q1862" s="35">
        <v>1.1903316535859965E-2</v>
      </c>
      <c r="R1862" s="232">
        <v>43.88</v>
      </c>
      <c r="S1862" s="35">
        <v>1.6356018454504895</v>
      </c>
      <c r="T1862" s="232">
        <v>26226.92</v>
      </c>
      <c r="U1862" s="35">
        <v>1.1355040317505321</v>
      </c>
      <c r="W1862" s="35">
        <f t="shared" si="175"/>
        <v>625.74582679299829</v>
      </c>
      <c r="X1862" s="35">
        <f t="shared" si="176"/>
        <v>81736.21227252447</v>
      </c>
      <c r="Y1862" s="35">
        <f t="shared" si="177"/>
        <v>30548.281587526602</v>
      </c>
      <c r="Z1862" s="35">
        <f t="shared" si="178"/>
        <v>0</v>
      </c>
      <c r="AA1862" s="35">
        <f t="shared" si="179"/>
        <v>1</v>
      </c>
      <c r="AB1862" s="35">
        <f t="shared" si="180"/>
        <v>0</v>
      </c>
    </row>
    <row r="1863" spans="1:28">
      <c r="A1863" s="35">
        <v>1852</v>
      </c>
      <c r="B1863" s="35">
        <v>4.4470047671891399E-4</v>
      </c>
      <c r="C1863" s="232">
        <v>57.86</v>
      </c>
      <c r="D1863" s="35">
        <v>5.0609566743293115</v>
      </c>
      <c r="E1863" s="232">
        <v>34.26</v>
      </c>
      <c r="F1863" s="35">
        <v>5.0501053070380379</v>
      </c>
      <c r="G1863" s="232">
        <v>10025.41</v>
      </c>
      <c r="H1863" s="35">
        <v>8.7065297345412258</v>
      </c>
      <c r="I1863" s="232">
        <v>10002.68</v>
      </c>
      <c r="J1863" s="35">
        <v>6.9089574855668916</v>
      </c>
      <c r="K1863" s="232">
        <v>14580.59</v>
      </c>
      <c r="L1863" s="35">
        <v>8.6799789438669546</v>
      </c>
      <c r="M1863" s="232">
        <v>40548.14</v>
      </c>
      <c r="N1863" s="35">
        <v>7.5146191868091829</v>
      </c>
      <c r="P1863" s="232">
        <v>-23.59</v>
      </c>
      <c r="Q1863" s="35">
        <v>1.0851367291273561E-2</v>
      </c>
      <c r="R1863" s="232">
        <v>-22.74</v>
      </c>
      <c r="S1863" s="35">
        <v>1.7975722489743342</v>
      </c>
      <c r="T1863" s="232">
        <v>25967.56</v>
      </c>
      <c r="U1863" s="35">
        <v>1.1653597570577716</v>
      </c>
      <c r="W1863" s="35">
        <f t="shared" si="175"/>
        <v>566.15836456367811</v>
      </c>
      <c r="X1863" s="35">
        <f t="shared" si="176"/>
        <v>89901.352448716716</v>
      </c>
      <c r="Y1863" s="35">
        <f t="shared" si="177"/>
        <v>32300.427852888581</v>
      </c>
      <c r="Z1863" s="35">
        <f t="shared" si="178"/>
        <v>0</v>
      </c>
      <c r="AA1863" s="35">
        <f t="shared" si="179"/>
        <v>1</v>
      </c>
      <c r="AB1863" s="35">
        <f t="shared" si="180"/>
        <v>0</v>
      </c>
    </row>
    <row r="1864" spans="1:28">
      <c r="A1864" s="35">
        <v>1853</v>
      </c>
      <c r="B1864" s="35">
        <v>3.8418577308025465E-4</v>
      </c>
      <c r="C1864" s="232">
        <v>60.65</v>
      </c>
      <c r="D1864" s="35">
        <v>5.0573337665895979</v>
      </c>
      <c r="E1864" s="232">
        <v>43.34</v>
      </c>
      <c r="F1864" s="35">
        <v>5.0506213092424348</v>
      </c>
      <c r="G1864" s="232">
        <v>11667.47</v>
      </c>
      <c r="H1864" s="35">
        <v>8.4671064263266178</v>
      </c>
      <c r="I1864" s="232">
        <v>11752.17</v>
      </c>
      <c r="J1864" s="35">
        <v>6.6534447341858973</v>
      </c>
      <c r="K1864" s="232">
        <v>14598.79</v>
      </c>
      <c r="L1864" s="35">
        <v>8.5821853026546844</v>
      </c>
      <c r="M1864" s="232">
        <v>40586.78</v>
      </c>
      <c r="N1864" s="35">
        <v>7.5056396385851469</v>
      </c>
      <c r="P1864" s="232">
        <v>-17.309999999999999</v>
      </c>
      <c r="Q1864" s="35">
        <v>6.7124573471630811E-3</v>
      </c>
      <c r="R1864" s="232">
        <v>84.7</v>
      </c>
      <c r="S1864" s="35">
        <v>1.8136616921407205</v>
      </c>
      <c r="T1864" s="232">
        <v>25987.99</v>
      </c>
      <c r="U1864" s="35">
        <v>1.0765456640695374</v>
      </c>
      <c r="W1864" s="35">
        <f t="shared" si="175"/>
        <v>352.93286735815406</v>
      </c>
      <c r="X1864" s="35">
        <f t="shared" si="176"/>
        <v>90598.384607036031</v>
      </c>
      <c r="Y1864" s="35">
        <f t="shared" si="177"/>
        <v>27839.293203476871</v>
      </c>
      <c r="Z1864" s="35">
        <f t="shared" si="178"/>
        <v>0</v>
      </c>
      <c r="AA1864" s="35">
        <f t="shared" si="179"/>
        <v>1</v>
      </c>
      <c r="AB1864" s="35">
        <f t="shared" si="180"/>
        <v>0</v>
      </c>
    </row>
    <row r="1865" spans="1:28">
      <c r="A1865" s="35">
        <v>1854</v>
      </c>
      <c r="B1865" s="35">
        <v>4.4731576640799631E-4</v>
      </c>
      <c r="C1865" s="232">
        <v>72.09</v>
      </c>
      <c r="D1865" s="35">
        <v>5.0606384178636752</v>
      </c>
      <c r="E1865" s="232">
        <v>44.7</v>
      </c>
      <c r="F1865" s="35">
        <v>5.0508529199580279</v>
      </c>
      <c r="G1865" s="232">
        <v>12167.26</v>
      </c>
      <c r="H1865" s="35">
        <v>8.5027263585718345</v>
      </c>
      <c r="I1865" s="232">
        <v>12821.97</v>
      </c>
      <c r="J1865" s="35">
        <v>7.4133807984372497</v>
      </c>
      <c r="K1865" s="232">
        <v>17389.88</v>
      </c>
      <c r="L1865" s="35">
        <v>8.5172761660498306</v>
      </c>
      <c r="M1865" s="232">
        <v>43640.26</v>
      </c>
      <c r="N1865" s="35">
        <v>7.3410808380090335</v>
      </c>
      <c r="P1865" s="232">
        <v>-27.39</v>
      </c>
      <c r="Q1865" s="35">
        <v>9.7854979056473113E-3</v>
      </c>
      <c r="R1865" s="232">
        <v>654.71</v>
      </c>
      <c r="S1865" s="35">
        <v>1.0893455601345847</v>
      </c>
      <c r="T1865" s="232">
        <v>26250.38</v>
      </c>
      <c r="U1865" s="35">
        <v>1.1761953280407971</v>
      </c>
      <c r="W1865" s="35">
        <f t="shared" si="175"/>
        <v>516.66489528236559</v>
      </c>
      <c r="X1865" s="35">
        <f t="shared" si="176"/>
        <v>53812.568006729234</v>
      </c>
      <c r="Y1865" s="35">
        <f t="shared" si="177"/>
        <v>32559.386402039851</v>
      </c>
      <c r="Z1865" s="35">
        <f t="shared" si="178"/>
        <v>0</v>
      </c>
      <c r="AA1865" s="35">
        <f t="shared" si="179"/>
        <v>1</v>
      </c>
      <c r="AB1865" s="35">
        <f t="shared" si="180"/>
        <v>0</v>
      </c>
    </row>
    <row r="1866" spans="1:28">
      <c r="A1866" s="35">
        <v>1855</v>
      </c>
      <c r="B1866" s="35">
        <v>5.0365126044327191E-4</v>
      </c>
      <c r="C1866" s="232">
        <v>66.75</v>
      </c>
      <c r="D1866" s="35">
        <v>5.0641746573264355</v>
      </c>
      <c r="E1866" s="232">
        <v>38.14</v>
      </c>
      <c r="F1866" s="35">
        <v>5.0514808421473889</v>
      </c>
      <c r="G1866" s="232">
        <v>10451.959999999999</v>
      </c>
      <c r="H1866" s="35">
        <v>8.6098307536482128</v>
      </c>
      <c r="I1866" s="232">
        <v>11489.96</v>
      </c>
      <c r="J1866" s="35">
        <v>7.266577156731314</v>
      </c>
      <c r="K1866" s="232">
        <v>14239.86</v>
      </c>
      <c r="L1866" s="35">
        <v>9.0566767090765996</v>
      </c>
      <c r="M1866" s="232">
        <v>40394.620000000003</v>
      </c>
      <c r="N1866" s="35">
        <v>7.9753171674773746</v>
      </c>
      <c r="P1866" s="232">
        <v>-28.61</v>
      </c>
      <c r="Q1866" s="35">
        <v>1.2693815179046553E-2</v>
      </c>
      <c r="R1866" s="232">
        <v>1038</v>
      </c>
      <c r="S1866" s="35">
        <v>1.3432535969168988</v>
      </c>
      <c r="T1866" s="232">
        <v>26154.76</v>
      </c>
      <c r="U1866" s="35">
        <v>1.081359541599225</v>
      </c>
      <c r="W1866" s="35">
        <f t="shared" si="175"/>
        <v>663.30075895232767</v>
      </c>
      <c r="X1866" s="35">
        <f t="shared" si="176"/>
        <v>66124.679845844948</v>
      </c>
      <c r="Y1866" s="35">
        <f t="shared" si="177"/>
        <v>27913.217079961254</v>
      </c>
      <c r="Z1866" s="35">
        <f t="shared" si="178"/>
        <v>0</v>
      </c>
      <c r="AA1866" s="35">
        <f t="shared" si="179"/>
        <v>1</v>
      </c>
      <c r="AB1866" s="35">
        <f t="shared" si="180"/>
        <v>0</v>
      </c>
    </row>
    <row r="1867" spans="1:28">
      <c r="A1867" s="35">
        <v>1856</v>
      </c>
      <c r="B1867" s="35">
        <v>3.9820129178581956E-4</v>
      </c>
      <c r="C1867" s="232">
        <v>62.98</v>
      </c>
      <c r="D1867" s="35">
        <v>5.0600372261551945</v>
      </c>
      <c r="E1867" s="232">
        <v>42.2</v>
      </c>
      <c r="F1867" s="35">
        <v>5.0514554266907403</v>
      </c>
      <c r="G1867" s="232">
        <v>12209.09</v>
      </c>
      <c r="H1867" s="35">
        <v>8.9936298278203139</v>
      </c>
      <c r="I1867" s="232">
        <v>12847.08</v>
      </c>
      <c r="J1867" s="35">
        <v>7.6939581861608728</v>
      </c>
      <c r="K1867" s="232">
        <v>16963.82</v>
      </c>
      <c r="L1867" s="35">
        <v>9.0346344594360062</v>
      </c>
      <c r="M1867" s="232">
        <v>43195</v>
      </c>
      <c r="N1867" s="35">
        <v>8.001348292614809</v>
      </c>
      <c r="P1867" s="232">
        <v>-20.78</v>
      </c>
      <c r="Q1867" s="35">
        <v>8.5817994644541429E-3</v>
      </c>
      <c r="R1867" s="232">
        <v>637.99</v>
      </c>
      <c r="S1867" s="35">
        <v>1.2996716416594412</v>
      </c>
      <c r="T1867" s="232">
        <v>26231.19</v>
      </c>
      <c r="U1867" s="35">
        <v>1.0332861668211972</v>
      </c>
      <c r="W1867" s="35">
        <f t="shared" si="175"/>
        <v>449.86997322270713</v>
      </c>
      <c r="X1867" s="35">
        <f t="shared" si="176"/>
        <v>64345.592082972064</v>
      </c>
      <c r="Y1867" s="35">
        <f t="shared" si="177"/>
        <v>25433.118341059864</v>
      </c>
      <c r="Z1867" s="35">
        <f t="shared" si="178"/>
        <v>0</v>
      </c>
      <c r="AA1867" s="35">
        <f t="shared" si="179"/>
        <v>1</v>
      </c>
      <c r="AB1867" s="35">
        <f t="shared" si="180"/>
        <v>0</v>
      </c>
    </row>
    <row r="1868" spans="1:28">
      <c r="A1868" s="35">
        <v>1857</v>
      </c>
      <c r="B1868" s="35">
        <v>4.0544068254728553E-4</v>
      </c>
      <c r="C1868" s="232">
        <v>59.5</v>
      </c>
      <c r="D1868" s="35">
        <v>5.0585765953857633</v>
      </c>
      <c r="E1868" s="232">
        <v>36.32</v>
      </c>
      <c r="F1868" s="35">
        <v>5.04925724235299</v>
      </c>
      <c r="G1868" s="232">
        <v>11806.82</v>
      </c>
      <c r="H1868" s="35">
        <v>8.6885222999809955</v>
      </c>
      <c r="I1868" s="232">
        <v>13099.02</v>
      </c>
      <c r="J1868" s="35">
        <v>6.9473849349840995</v>
      </c>
      <c r="K1868" s="232">
        <v>13121.16</v>
      </c>
      <c r="L1868" s="35">
        <v>8.4785379053229857</v>
      </c>
      <c r="M1868" s="232">
        <v>39123.9</v>
      </c>
      <c r="N1868" s="35">
        <v>7.3905427536214106</v>
      </c>
      <c r="P1868" s="232">
        <v>-23.18</v>
      </c>
      <c r="Q1868" s="35">
        <v>9.3193530327733143E-3</v>
      </c>
      <c r="R1868" s="232">
        <v>1292.19</v>
      </c>
      <c r="S1868" s="35">
        <v>1.741137364996896</v>
      </c>
      <c r="T1868" s="232">
        <v>26002.74</v>
      </c>
      <c r="U1868" s="35">
        <v>1.0879951517015751</v>
      </c>
      <c r="W1868" s="35">
        <f t="shared" ref="W1868:W1931" si="181">$X$2*Q1868-P1868</f>
        <v>489.14765163866571</v>
      </c>
      <c r="X1868" s="35">
        <f t="shared" ref="X1868:X1931" si="182">$X$2*S1868-R1868</f>
        <v>85764.678249844801</v>
      </c>
      <c r="Y1868" s="35">
        <f t="shared" ref="Y1868:Y1931" si="183">$X$2*U1868-T1868</f>
        <v>28397.017585078753</v>
      </c>
      <c r="Z1868" s="35">
        <f t="shared" ref="Z1868:Z1931" si="184">IF(W1868=MAX($W1868:$Y1868), 1, 0)</f>
        <v>0</v>
      </c>
      <c r="AA1868" s="35">
        <f t="shared" ref="AA1868:AA1931" si="185">IF(X1868=MAX($W1868:$Y1868), 1, 0)</f>
        <v>1</v>
      </c>
      <c r="AB1868" s="35">
        <f t="shared" ref="AB1868:AB1931" si="186">IF(Y1868=MAX($W1868:$Y1868), 1, 0)</f>
        <v>0</v>
      </c>
    </row>
    <row r="1869" spans="1:28">
      <c r="A1869" s="35">
        <v>1858</v>
      </c>
      <c r="B1869" s="35">
        <v>5.0354409711406145E-4</v>
      </c>
      <c r="C1869" s="232">
        <v>64.86</v>
      </c>
      <c r="D1869" s="35">
        <v>5.0628535625133706</v>
      </c>
      <c r="E1869" s="232">
        <v>40.130000000000003</v>
      </c>
      <c r="F1869" s="35">
        <v>5.0519381115926789</v>
      </c>
      <c r="G1869" s="232">
        <v>9709.0300000000007</v>
      </c>
      <c r="H1869" s="35">
        <v>8.496137013219542</v>
      </c>
      <c r="I1869" s="232">
        <v>10509.82</v>
      </c>
      <c r="J1869" s="35">
        <v>7.310885098054337</v>
      </c>
      <c r="K1869" s="232">
        <v>13689.06</v>
      </c>
      <c r="L1869" s="35">
        <v>8.3686519650512654</v>
      </c>
      <c r="M1869" s="232">
        <v>39853.9</v>
      </c>
      <c r="N1869" s="35">
        <v>7.2135653692445798</v>
      </c>
      <c r="P1869" s="232">
        <v>-24.73</v>
      </c>
      <c r="Q1869" s="35">
        <v>1.0915450920691683E-2</v>
      </c>
      <c r="R1869" s="232">
        <v>800.79</v>
      </c>
      <c r="S1869" s="35">
        <v>1.185251915165205</v>
      </c>
      <c r="T1869" s="232">
        <v>26164.84</v>
      </c>
      <c r="U1869" s="35">
        <v>1.1550865958066856</v>
      </c>
      <c r="W1869" s="35">
        <f t="shared" si="181"/>
        <v>570.50254603458416</v>
      </c>
      <c r="X1869" s="35">
        <f t="shared" si="182"/>
        <v>58461.805758260249</v>
      </c>
      <c r="Y1869" s="35">
        <f t="shared" si="183"/>
        <v>31589.489790334283</v>
      </c>
      <c r="Z1869" s="35">
        <f t="shared" si="184"/>
        <v>0</v>
      </c>
      <c r="AA1869" s="35">
        <f t="shared" si="185"/>
        <v>1</v>
      </c>
      <c r="AB1869" s="35">
        <f t="shared" si="186"/>
        <v>0</v>
      </c>
    </row>
    <row r="1870" spans="1:28">
      <c r="A1870" s="35">
        <v>1859</v>
      </c>
      <c r="B1870" s="35">
        <v>3.8388272047456515E-4</v>
      </c>
      <c r="C1870" s="232">
        <v>68.760000000000005</v>
      </c>
      <c r="D1870" s="35">
        <v>5.0572890531723456</v>
      </c>
      <c r="E1870" s="232">
        <v>44.85</v>
      </c>
      <c r="F1870" s="35">
        <v>5.0495222800768857</v>
      </c>
      <c r="G1870" s="232">
        <v>13060.41</v>
      </c>
      <c r="H1870" s="35">
        <v>8.3115593810057788</v>
      </c>
      <c r="I1870" s="232">
        <v>14539.61</v>
      </c>
      <c r="J1870" s="35">
        <v>7.8655499033771115</v>
      </c>
      <c r="K1870" s="232">
        <v>19693.46</v>
      </c>
      <c r="L1870" s="35">
        <v>8.7596068111784042</v>
      </c>
      <c r="M1870" s="232">
        <v>46220.49</v>
      </c>
      <c r="N1870" s="35">
        <v>7.574010503585205</v>
      </c>
      <c r="P1870" s="232">
        <v>-23.91</v>
      </c>
      <c r="Q1870" s="35">
        <v>7.7667730954598113E-3</v>
      </c>
      <c r="R1870" s="232">
        <v>1479.2</v>
      </c>
      <c r="S1870" s="35">
        <v>0.44600947762866738</v>
      </c>
      <c r="T1870" s="232">
        <v>26527.03</v>
      </c>
      <c r="U1870" s="35">
        <v>1.1855963075931992</v>
      </c>
      <c r="W1870" s="35">
        <f t="shared" si="181"/>
        <v>412.24865477299062</v>
      </c>
      <c r="X1870" s="35">
        <f t="shared" si="182"/>
        <v>20821.273881433368</v>
      </c>
      <c r="Y1870" s="35">
        <f t="shared" si="183"/>
        <v>32752.785379659959</v>
      </c>
      <c r="Z1870" s="35">
        <f t="shared" si="184"/>
        <v>0</v>
      </c>
      <c r="AA1870" s="35">
        <f t="shared" si="185"/>
        <v>0</v>
      </c>
      <c r="AB1870" s="35">
        <f t="shared" si="186"/>
        <v>1</v>
      </c>
    </row>
    <row r="1871" spans="1:28">
      <c r="A1871" s="35">
        <v>1860</v>
      </c>
      <c r="B1871" s="35">
        <v>4.4589938325834133E-4</v>
      </c>
      <c r="C1871" s="232">
        <v>54.74</v>
      </c>
      <c r="D1871" s="35">
        <v>5.0608043707727814</v>
      </c>
      <c r="E1871" s="232">
        <v>39.520000000000003</v>
      </c>
      <c r="F1871" s="35">
        <v>5.0529121321399408</v>
      </c>
      <c r="G1871" s="232">
        <v>10335.790000000001</v>
      </c>
      <c r="H1871" s="35">
        <v>8.6766552620062463</v>
      </c>
      <c r="I1871" s="232">
        <v>12743.86</v>
      </c>
      <c r="J1871" s="35">
        <v>8.194015785961799</v>
      </c>
      <c r="K1871" s="232">
        <v>8498.6</v>
      </c>
      <c r="L1871" s="35">
        <v>8.4059123963140259</v>
      </c>
      <c r="M1871" s="232">
        <v>34276.85</v>
      </c>
      <c r="N1871" s="35">
        <v>7.3328866951475566</v>
      </c>
      <c r="P1871" s="232">
        <v>-15.22</v>
      </c>
      <c r="Q1871" s="35">
        <v>7.8922386328406091E-3</v>
      </c>
      <c r="R1871" s="232">
        <v>2408.0700000000002</v>
      </c>
      <c r="S1871" s="35">
        <v>0.48263947604444724</v>
      </c>
      <c r="T1871" s="232">
        <v>25778.26</v>
      </c>
      <c r="U1871" s="35">
        <v>1.0730257011664692</v>
      </c>
      <c r="W1871" s="35">
        <f t="shared" si="181"/>
        <v>409.8319316420305</v>
      </c>
      <c r="X1871" s="35">
        <f t="shared" si="182"/>
        <v>21723.903802222361</v>
      </c>
      <c r="Y1871" s="35">
        <f t="shared" si="183"/>
        <v>27873.025058323463</v>
      </c>
      <c r="Z1871" s="35">
        <f t="shared" si="184"/>
        <v>0</v>
      </c>
      <c r="AA1871" s="35">
        <f t="shared" si="185"/>
        <v>0</v>
      </c>
      <c r="AB1871" s="35">
        <f t="shared" si="186"/>
        <v>1</v>
      </c>
    </row>
    <row r="1872" spans="1:28">
      <c r="A1872" s="35">
        <v>1861</v>
      </c>
      <c r="B1872" s="35">
        <v>4.7920435980108866E-4</v>
      </c>
      <c r="C1872" s="232">
        <v>96.25</v>
      </c>
      <c r="D1872" s="35">
        <v>5.0621996477160458</v>
      </c>
      <c r="E1872" s="232">
        <v>52.91</v>
      </c>
      <c r="F1872" s="35">
        <v>5.0503437294582341</v>
      </c>
      <c r="G1872" s="232">
        <v>15339.69</v>
      </c>
      <c r="H1872" s="35">
        <v>8.7189064240370993</v>
      </c>
      <c r="I1872" s="232">
        <v>15782.79</v>
      </c>
      <c r="J1872" s="35">
        <v>7.8084117033433218</v>
      </c>
      <c r="K1872" s="232">
        <v>22082.69</v>
      </c>
      <c r="L1872" s="35">
        <v>8.4326626727589602</v>
      </c>
      <c r="M1872" s="232">
        <v>48659.06</v>
      </c>
      <c r="N1872" s="35">
        <v>7.3516202336819525</v>
      </c>
      <c r="P1872" s="232">
        <v>-43.33</v>
      </c>
      <c r="Q1872" s="35">
        <v>1.1855918257811737E-2</v>
      </c>
      <c r="R1872" s="232">
        <v>443.1</v>
      </c>
      <c r="S1872" s="35">
        <v>0.91049472069377746</v>
      </c>
      <c r="T1872" s="232">
        <v>26576.37</v>
      </c>
      <c r="U1872" s="35">
        <v>1.0810424390770077</v>
      </c>
      <c r="W1872" s="35">
        <f t="shared" si="181"/>
        <v>636.12591289058685</v>
      </c>
      <c r="X1872" s="35">
        <f t="shared" si="182"/>
        <v>45081.636034688876</v>
      </c>
      <c r="Y1872" s="35">
        <f t="shared" si="183"/>
        <v>27475.751953850388</v>
      </c>
      <c r="Z1872" s="35">
        <f t="shared" si="184"/>
        <v>0</v>
      </c>
      <c r="AA1872" s="35">
        <f t="shared" si="185"/>
        <v>1</v>
      </c>
      <c r="AB1872" s="35">
        <f t="shared" si="186"/>
        <v>0</v>
      </c>
    </row>
    <row r="1873" spans="1:28">
      <c r="A1873" s="35">
        <v>1862</v>
      </c>
      <c r="B1873" s="35">
        <v>5.5094642050013132E-4</v>
      </c>
      <c r="C1873" s="232">
        <v>87.61</v>
      </c>
      <c r="D1873" s="35">
        <v>5.0654040443117063</v>
      </c>
      <c r="E1873" s="232">
        <v>46.53</v>
      </c>
      <c r="F1873" s="35">
        <v>5.0513660003131946</v>
      </c>
      <c r="G1873" s="232">
        <v>12395.1</v>
      </c>
      <c r="H1873" s="35">
        <v>8.6848951139299544</v>
      </c>
      <c r="I1873" s="232">
        <v>13045.91</v>
      </c>
      <c r="J1873" s="35">
        <v>7.3606187650958876</v>
      </c>
      <c r="K1873" s="232">
        <v>15493.06</v>
      </c>
      <c r="L1873" s="35">
        <v>8.4895952547515137</v>
      </c>
      <c r="M1873" s="232">
        <v>41535.019999999997</v>
      </c>
      <c r="N1873" s="35">
        <v>7.4291090156303632</v>
      </c>
      <c r="P1873" s="232">
        <v>-41.08</v>
      </c>
      <c r="Q1873" s="35">
        <v>1.4038043998511718E-2</v>
      </c>
      <c r="R1873" s="232">
        <v>650.80999999999995</v>
      </c>
      <c r="S1873" s="35">
        <v>1.3242763488340668</v>
      </c>
      <c r="T1873" s="232">
        <v>26041.95</v>
      </c>
      <c r="U1873" s="35">
        <v>1.0604862391211505</v>
      </c>
      <c r="W1873" s="35">
        <f t="shared" si="181"/>
        <v>742.98219992558597</v>
      </c>
      <c r="X1873" s="35">
        <f t="shared" si="182"/>
        <v>65563.007441703347</v>
      </c>
      <c r="Y1873" s="35">
        <f t="shared" si="183"/>
        <v>26982.361956057521</v>
      </c>
      <c r="Z1873" s="35">
        <f t="shared" si="184"/>
        <v>0</v>
      </c>
      <c r="AA1873" s="35">
        <f t="shared" si="185"/>
        <v>1</v>
      </c>
      <c r="AB1873" s="35">
        <f t="shared" si="186"/>
        <v>0</v>
      </c>
    </row>
    <row r="1874" spans="1:28">
      <c r="A1874" s="35">
        <v>1863</v>
      </c>
      <c r="B1874" s="35">
        <v>5.8877043842209265E-4</v>
      </c>
      <c r="C1874" s="232">
        <v>95.11</v>
      </c>
      <c r="D1874" s="35">
        <v>5.0678279738009566</v>
      </c>
      <c r="E1874" s="232">
        <v>58.83</v>
      </c>
      <c r="F1874" s="35">
        <v>5.0552670127858805</v>
      </c>
      <c r="G1874" s="232">
        <v>11943.56</v>
      </c>
      <c r="H1874" s="35">
        <v>8.2585904699347807</v>
      </c>
      <c r="I1874" s="232">
        <v>11859.04</v>
      </c>
      <c r="J1874" s="35">
        <v>6.4266803406715542</v>
      </c>
      <c r="K1874" s="232">
        <v>16715.5</v>
      </c>
      <c r="L1874" s="35">
        <v>9.1220280300289112</v>
      </c>
      <c r="M1874" s="232">
        <v>42919.21</v>
      </c>
      <c r="N1874" s="35">
        <v>8.0954482371987542</v>
      </c>
      <c r="P1874" s="232">
        <v>-36.28</v>
      </c>
      <c r="Q1874" s="35">
        <v>1.2560961015076089E-2</v>
      </c>
      <c r="R1874" s="232">
        <v>-84.51</v>
      </c>
      <c r="S1874" s="35">
        <v>1.8319101292632265</v>
      </c>
      <c r="T1874" s="232">
        <v>26203.71</v>
      </c>
      <c r="U1874" s="35">
        <v>1.026579792830157</v>
      </c>
      <c r="W1874" s="35">
        <f t="shared" si="181"/>
        <v>664.3280507538044</v>
      </c>
      <c r="X1874" s="35">
        <f t="shared" si="182"/>
        <v>91680.016463161315</v>
      </c>
      <c r="Y1874" s="35">
        <f t="shared" si="183"/>
        <v>25125.279641507848</v>
      </c>
      <c r="Z1874" s="35">
        <f t="shared" si="184"/>
        <v>0</v>
      </c>
      <c r="AA1874" s="35">
        <f t="shared" si="185"/>
        <v>1</v>
      </c>
      <c r="AB1874" s="35">
        <f t="shared" si="186"/>
        <v>0</v>
      </c>
    </row>
    <row r="1875" spans="1:28">
      <c r="A1875" s="35">
        <v>1864</v>
      </c>
      <c r="B1875" s="35">
        <v>5.4913714274529291E-4</v>
      </c>
      <c r="C1875" s="232">
        <v>68.31</v>
      </c>
      <c r="D1875" s="35">
        <v>5.0659283411815492</v>
      </c>
      <c r="E1875" s="232">
        <v>42.89</v>
      </c>
      <c r="F1875" s="35">
        <v>5.0540047745769261</v>
      </c>
      <c r="G1875" s="232">
        <v>9776.75</v>
      </c>
      <c r="H1875" s="35">
        <v>8.6469439465442299</v>
      </c>
      <c r="I1875" s="232">
        <v>11173.71</v>
      </c>
      <c r="J1875" s="35">
        <v>7.0880106388385276</v>
      </c>
      <c r="K1875" s="232">
        <v>10852.67</v>
      </c>
      <c r="L1875" s="35">
        <v>8.5317417748242512</v>
      </c>
      <c r="M1875" s="232">
        <v>36800.57</v>
      </c>
      <c r="N1875" s="35">
        <v>7.4623839780006946</v>
      </c>
      <c r="P1875" s="232">
        <v>-25.42</v>
      </c>
      <c r="Q1875" s="35">
        <v>1.1923566604623126E-2</v>
      </c>
      <c r="R1875" s="232">
        <v>1396.96</v>
      </c>
      <c r="S1875" s="35">
        <v>1.5589333077057024</v>
      </c>
      <c r="T1875" s="232">
        <v>25947.9</v>
      </c>
      <c r="U1875" s="35">
        <v>1.0693577968235566</v>
      </c>
      <c r="W1875" s="35">
        <f t="shared" si="181"/>
        <v>621.5983302311563</v>
      </c>
      <c r="X1875" s="35">
        <f t="shared" si="182"/>
        <v>76549.70538528511</v>
      </c>
      <c r="Y1875" s="35">
        <f t="shared" si="183"/>
        <v>27519.989841177827</v>
      </c>
      <c r="Z1875" s="35">
        <f t="shared" si="184"/>
        <v>0</v>
      </c>
      <c r="AA1875" s="35">
        <f t="shared" si="185"/>
        <v>1</v>
      </c>
      <c r="AB1875" s="35">
        <f t="shared" si="186"/>
        <v>0</v>
      </c>
    </row>
    <row r="1876" spans="1:28">
      <c r="A1876" s="35">
        <v>1865</v>
      </c>
      <c r="B1876" s="35">
        <v>3.2713557411799413E-4</v>
      </c>
      <c r="C1876" s="232">
        <v>42.93</v>
      </c>
      <c r="D1876" s="35">
        <v>5.0541067056078708</v>
      </c>
      <c r="E1876" s="232">
        <v>27.59</v>
      </c>
      <c r="F1876" s="35">
        <v>5.0469450862183765</v>
      </c>
      <c r="G1876" s="232">
        <v>10045.23</v>
      </c>
      <c r="H1876" s="35">
        <v>8.291238333163351</v>
      </c>
      <c r="I1876" s="232">
        <v>11057.67</v>
      </c>
      <c r="J1876" s="35">
        <v>7.1196348901254414</v>
      </c>
      <c r="K1876" s="232">
        <v>14355.35</v>
      </c>
      <c r="L1876" s="35">
        <v>8.5824013660997558</v>
      </c>
      <c r="M1876" s="232">
        <v>40427.97</v>
      </c>
      <c r="N1876" s="35">
        <v>7.3878097828562579</v>
      </c>
      <c r="P1876" s="232">
        <v>-15.33</v>
      </c>
      <c r="Q1876" s="35">
        <v>7.1616193894943336E-3</v>
      </c>
      <c r="R1876" s="232">
        <v>1012.44</v>
      </c>
      <c r="S1876" s="35">
        <v>1.1716034430379096</v>
      </c>
      <c r="T1876" s="232">
        <v>26072.62</v>
      </c>
      <c r="U1876" s="35">
        <v>1.1945915832434979</v>
      </c>
      <c r="W1876" s="35">
        <f t="shared" si="181"/>
        <v>373.41096947471664</v>
      </c>
      <c r="X1876" s="35">
        <f t="shared" si="182"/>
        <v>57567.732151895478</v>
      </c>
      <c r="Y1876" s="35">
        <f t="shared" si="183"/>
        <v>33656.959162174899</v>
      </c>
      <c r="Z1876" s="35">
        <f t="shared" si="184"/>
        <v>0</v>
      </c>
      <c r="AA1876" s="35">
        <f t="shared" si="185"/>
        <v>1</v>
      </c>
      <c r="AB1876" s="35">
        <f t="shared" si="186"/>
        <v>0</v>
      </c>
    </row>
    <row r="1877" spans="1:28">
      <c r="A1877" s="35">
        <v>1866</v>
      </c>
      <c r="B1877" s="35">
        <v>4.0229801262544029E-4</v>
      </c>
      <c r="C1877" s="232">
        <v>56.67</v>
      </c>
      <c r="D1877" s="35">
        <v>5.0587289452332165</v>
      </c>
      <c r="E1877" s="232">
        <v>36.74</v>
      </c>
      <c r="F1877" s="35">
        <v>5.0500671948835638</v>
      </c>
      <c r="G1877" s="232">
        <v>10585.63</v>
      </c>
      <c r="H1877" s="35">
        <v>8.5605895889270975</v>
      </c>
      <c r="I1877" s="232">
        <v>11134.87</v>
      </c>
      <c r="J1877" s="35">
        <v>7.1215197429942263</v>
      </c>
      <c r="K1877" s="232">
        <v>14431.94</v>
      </c>
      <c r="L1877" s="35">
        <v>8.8156924569956434</v>
      </c>
      <c r="M1877" s="232">
        <v>40463.57</v>
      </c>
      <c r="N1877" s="35">
        <v>7.7420484183218568</v>
      </c>
      <c r="P1877" s="232">
        <v>-19.93</v>
      </c>
      <c r="Q1877" s="35">
        <v>8.6617503496526638E-3</v>
      </c>
      <c r="R1877" s="232">
        <v>549.24</v>
      </c>
      <c r="S1877" s="35">
        <v>1.4390698459328712</v>
      </c>
      <c r="T1877" s="232">
        <v>26031.63</v>
      </c>
      <c r="U1877" s="35">
        <v>1.0736440386737867</v>
      </c>
      <c r="W1877" s="35">
        <f t="shared" si="181"/>
        <v>453.0175174826332</v>
      </c>
      <c r="X1877" s="35">
        <f t="shared" si="182"/>
        <v>71404.25229664355</v>
      </c>
      <c r="Y1877" s="35">
        <f t="shared" si="183"/>
        <v>27650.571933689334</v>
      </c>
      <c r="Z1877" s="35">
        <f t="shared" si="184"/>
        <v>0</v>
      </c>
      <c r="AA1877" s="35">
        <f t="shared" si="185"/>
        <v>1</v>
      </c>
      <c r="AB1877" s="35">
        <f t="shared" si="186"/>
        <v>0</v>
      </c>
    </row>
    <row r="1878" spans="1:28">
      <c r="A1878" s="35">
        <v>1867</v>
      </c>
      <c r="B1878" s="35">
        <v>4.3697668251574493E-4</v>
      </c>
      <c r="C1878" s="232">
        <v>77.81</v>
      </c>
      <c r="D1878" s="35">
        <v>5.0602361573210537</v>
      </c>
      <c r="E1878" s="232">
        <v>41.38</v>
      </c>
      <c r="F1878" s="35">
        <v>5.0487376797494763</v>
      </c>
      <c r="G1878" s="232">
        <v>13926.84</v>
      </c>
      <c r="H1878" s="35">
        <v>8.6799062894154062</v>
      </c>
      <c r="I1878" s="232">
        <v>14244.65</v>
      </c>
      <c r="J1878" s="35">
        <v>7.261528679492935</v>
      </c>
      <c r="K1878" s="232">
        <v>18325.14</v>
      </c>
      <c r="L1878" s="35">
        <v>8.7253408418905121</v>
      </c>
      <c r="M1878" s="232">
        <v>44498.59</v>
      </c>
      <c r="N1878" s="35">
        <v>7.6812278451908407</v>
      </c>
      <c r="P1878" s="232">
        <v>-36.43</v>
      </c>
      <c r="Q1878" s="35">
        <v>1.1498477571577403E-2</v>
      </c>
      <c r="R1878" s="232">
        <v>317.82</v>
      </c>
      <c r="S1878" s="35">
        <v>1.4183776099224712</v>
      </c>
      <c r="T1878" s="232">
        <v>26173.46</v>
      </c>
      <c r="U1878" s="35">
        <v>1.0441129966996714</v>
      </c>
      <c r="W1878" s="35">
        <f t="shared" si="181"/>
        <v>611.35387857887008</v>
      </c>
      <c r="X1878" s="35">
        <f t="shared" si="182"/>
        <v>70601.060496123551</v>
      </c>
      <c r="Y1878" s="35">
        <f t="shared" si="183"/>
        <v>26032.189834983568</v>
      </c>
      <c r="Z1878" s="35">
        <f t="shared" si="184"/>
        <v>0</v>
      </c>
      <c r="AA1878" s="35">
        <f t="shared" si="185"/>
        <v>1</v>
      </c>
      <c r="AB1878" s="35">
        <f t="shared" si="186"/>
        <v>0</v>
      </c>
    </row>
    <row r="1879" spans="1:28">
      <c r="A1879" s="35">
        <v>1868</v>
      </c>
      <c r="B1879" s="35">
        <v>3.1354388254968915E-4</v>
      </c>
      <c r="C1879" s="232">
        <v>31.08</v>
      </c>
      <c r="D1879" s="35">
        <v>5.0549750432213854</v>
      </c>
      <c r="E1879" s="232">
        <v>20.36</v>
      </c>
      <c r="F1879" s="35">
        <v>5.0470864636207393</v>
      </c>
      <c r="G1879" s="232">
        <v>7693.02</v>
      </c>
      <c r="H1879" s="35">
        <v>8.6953398821154959</v>
      </c>
      <c r="I1879" s="232">
        <v>9504.81</v>
      </c>
      <c r="J1879" s="35">
        <v>7.7256726613097984</v>
      </c>
      <c r="K1879" s="232">
        <v>8513.58</v>
      </c>
      <c r="L1879" s="35">
        <v>9.0657176507227177</v>
      </c>
      <c r="M1879" s="232">
        <v>34112.92</v>
      </c>
      <c r="N1879" s="35">
        <v>7.8651180627581656</v>
      </c>
      <c r="P1879" s="232">
        <v>-10.72</v>
      </c>
      <c r="Q1879" s="35">
        <v>7.8885796006460396E-3</v>
      </c>
      <c r="R1879" s="232">
        <v>1811.79</v>
      </c>
      <c r="S1879" s="35">
        <v>0.96966722080569756</v>
      </c>
      <c r="T1879" s="232">
        <v>25599.34</v>
      </c>
      <c r="U1879" s="35">
        <v>1.2005995879645521</v>
      </c>
      <c r="W1879" s="35">
        <f t="shared" si="181"/>
        <v>405.14898003230201</v>
      </c>
      <c r="X1879" s="35">
        <f t="shared" si="182"/>
        <v>46671.571040284878</v>
      </c>
      <c r="Y1879" s="35">
        <f t="shared" si="183"/>
        <v>34430.639398227606</v>
      </c>
      <c r="Z1879" s="35">
        <f t="shared" si="184"/>
        <v>0</v>
      </c>
      <c r="AA1879" s="35">
        <f t="shared" si="185"/>
        <v>1</v>
      </c>
      <c r="AB1879" s="35">
        <f t="shared" si="186"/>
        <v>0</v>
      </c>
    </row>
    <row r="1880" spans="1:28">
      <c r="A1880" s="35">
        <v>1869</v>
      </c>
      <c r="B1880" s="35">
        <v>4.2624209144989411E-4</v>
      </c>
      <c r="C1880" s="232">
        <v>74.650000000000006</v>
      </c>
      <c r="D1880" s="35">
        <v>5.0590020439403789</v>
      </c>
      <c r="E1880" s="232">
        <v>42.5</v>
      </c>
      <c r="F1880" s="35">
        <v>5.0488898604826131</v>
      </c>
      <c r="G1880" s="232">
        <v>13851.8</v>
      </c>
      <c r="H1880" s="35">
        <v>8.528887037981276</v>
      </c>
      <c r="I1880" s="232">
        <v>15979.22</v>
      </c>
      <c r="J1880" s="35">
        <v>8.4280802922180857</v>
      </c>
      <c r="K1880" s="232">
        <v>17020.93</v>
      </c>
      <c r="L1880" s="35">
        <v>8.4054405463720681</v>
      </c>
      <c r="M1880" s="232">
        <v>43107.94</v>
      </c>
      <c r="N1880" s="35">
        <v>7.4108905093965269</v>
      </c>
      <c r="P1880" s="232">
        <v>-32.14</v>
      </c>
      <c r="Q1880" s="35">
        <v>1.0112183457765767E-2</v>
      </c>
      <c r="R1880" s="232">
        <v>2127.42</v>
      </c>
      <c r="S1880" s="35">
        <v>0.10080674576319026</v>
      </c>
      <c r="T1880" s="232">
        <v>26087</v>
      </c>
      <c r="U1880" s="35">
        <v>0.99455003697554112</v>
      </c>
      <c r="W1880" s="35">
        <f t="shared" si="181"/>
        <v>537.74917288828829</v>
      </c>
      <c r="X1880" s="35">
        <f t="shared" si="182"/>
        <v>2912.9172881595132</v>
      </c>
      <c r="Y1880" s="35">
        <f t="shared" si="183"/>
        <v>23640.501848777058</v>
      </c>
      <c r="Z1880" s="35">
        <f t="shared" si="184"/>
        <v>0</v>
      </c>
      <c r="AA1880" s="35">
        <f t="shared" si="185"/>
        <v>0</v>
      </c>
      <c r="AB1880" s="35">
        <f t="shared" si="186"/>
        <v>1</v>
      </c>
    </row>
    <row r="1881" spans="1:28">
      <c r="A1881" s="35">
        <v>1870</v>
      </c>
      <c r="B1881" s="35">
        <v>4.2240931874094895E-4</v>
      </c>
      <c r="C1881" s="232">
        <v>55.97</v>
      </c>
      <c r="D1881" s="35">
        <v>5.0596594268571362</v>
      </c>
      <c r="E1881" s="232">
        <v>32.75</v>
      </c>
      <c r="F1881" s="35">
        <v>5.0492175122829064</v>
      </c>
      <c r="G1881" s="232">
        <v>10249.719999999999</v>
      </c>
      <c r="H1881" s="35">
        <v>8.7186217750051949</v>
      </c>
      <c r="I1881" s="232">
        <v>11757.23</v>
      </c>
      <c r="J1881" s="35">
        <v>7.8745890875435478</v>
      </c>
      <c r="K1881" s="232">
        <v>12356.9</v>
      </c>
      <c r="L1881" s="35">
        <v>8.6667780642404129</v>
      </c>
      <c r="M1881" s="232">
        <v>38347.120000000003</v>
      </c>
      <c r="N1881" s="35">
        <v>7.5942809395160404</v>
      </c>
      <c r="P1881" s="232">
        <v>-23.22</v>
      </c>
      <c r="Q1881" s="35">
        <v>1.0441914574229827E-2</v>
      </c>
      <c r="R1881" s="232">
        <v>1507.5</v>
      </c>
      <c r="S1881" s="35">
        <v>0.84403268746164706</v>
      </c>
      <c r="T1881" s="232">
        <v>25990.22</v>
      </c>
      <c r="U1881" s="35">
        <v>1.0724971247243724</v>
      </c>
      <c r="W1881" s="35">
        <f t="shared" si="181"/>
        <v>545.31572871149137</v>
      </c>
      <c r="X1881" s="35">
        <f t="shared" si="182"/>
        <v>40694.13437308235</v>
      </c>
      <c r="Y1881" s="35">
        <f t="shared" si="183"/>
        <v>27634.636236218619</v>
      </c>
      <c r="Z1881" s="35">
        <f t="shared" si="184"/>
        <v>0</v>
      </c>
      <c r="AA1881" s="35">
        <f t="shared" si="185"/>
        <v>1</v>
      </c>
      <c r="AB1881" s="35">
        <f t="shared" si="186"/>
        <v>0</v>
      </c>
    </row>
    <row r="1882" spans="1:28">
      <c r="A1882" s="35">
        <v>1871</v>
      </c>
      <c r="B1882" s="35">
        <v>4.9070162020958819E-4</v>
      </c>
      <c r="C1882" s="232">
        <v>72.55</v>
      </c>
      <c r="D1882" s="35">
        <v>5.0649907084524948</v>
      </c>
      <c r="E1882" s="232">
        <v>40.49</v>
      </c>
      <c r="F1882" s="35">
        <v>5.0516612156809906</v>
      </c>
      <c r="G1882" s="232">
        <v>11553</v>
      </c>
      <c r="H1882" s="35">
        <v>9.1008104228952664</v>
      </c>
      <c r="I1882" s="232">
        <v>12188.23</v>
      </c>
      <c r="J1882" s="35">
        <v>7.5567260647869841</v>
      </c>
      <c r="K1882" s="232">
        <v>14316.97</v>
      </c>
      <c r="L1882" s="35">
        <v>8.9401576312603908</v>
      </c>
      <c r="M1882" s="232">
        <v>40232.86</v>
      </c>
      <c r="N1882" s="35">
        <v>7.8130443611645202</v>
      </c>
      <c r="P1882" s="232">
        <v>-32.06</v>
      </c>
      <c r="Q1882" s="35">
        <v>1.3329492771504192E-2</v>
      </c>
      <c r="R1882" s="232">
        <v>635.23</v>
      </c>
      <c r="S1882" s="35">
        <v>1.5440843581082824</v>
      </c>
      <c r="T1882" s="232">
        <v>25915.88</v>
      </c>
      <c r="U1882" s="35">
        <v>1.1271132700958706</v>
      </c>
      <c r="W1882" s="35">
        <f t="shared" si="181"/>
        <v>698.53463857520956</v>
      </c>
      <c r="X1882" s="35">
        <f t="shared" si="182"/>
        <v>76568.98790541412</v>
      </c>
      <c r="Y1882" s="35">
        <f t="shared" si="183"/>
        <v>30439.783504793526</v>
      </c>
      <c r="Z1882" s="35">
        <f t="shared" si="184"/>
        <v>0</v>
      </c>
      <c r="AA1882" s="35">
        <f t="shared" si="185"/>
        <v>1</v>
      </c>
      <c r="AB1882" s="35">
        <f t="shared" si="186"/>
        <v>0</v>
      </c>
    </row>
    <row r="1883" spans="1:28">
      <c r="A1883" s="35">
        <v>1872</v>
      </c>
      <c r="B1883" s="35">
        <v>4.5120717053004356E-4</v>
      </c>
      <c r="C1883" s="232">
        <v>68.900000000000006</v>
      </c>
      <c r="D1883" s="35">
        <v>5.0603056674366034</v>
      </c>
      <c r="E1883" s="232">
        <v>44.11</v>
      </c>
      <c r="F1883" s="35">
        <v>5.0510626335344648</v>
      </c>
      <c r="G1883" s="232">
        <v>12281.23</v>
      </c>
      <c r="H1883" s="35">
        <v>8.4742999876975311</v>
      </c>
      <c r="I1883" s="232">
        <v>13954.09</v>
      </c>
      <c r="J1883" s="35">
        <v>7.3922341006670456</v>
      </c>
      <c r="K1883" s="232">
        <v>13774.87</v>
      </c>
      <c r="L1883" s="35">
        <v>8.4435027859231564</v>
      </c>
      <c r="M1883" s="232">
        <v>39796.35</v>
      </c>
      <c r="N1883" s="35">
        <v>7.3893035419972026</v>
      </c>
      <c r="P1883" s="232">
        <v>-24.79</v>
      </c>
      <c r="Q1883" s="35">
        <v>9.2430339021385421E-3</v>
      </c>
      <c r="R1883" s="232">
        <v>1672.86</v>
      </c>
      <c r="S1883" s="35">
        <v>1.0820658870304856</v>
      </c>
      <c r="T1883" s="232">
        <v>26021.48</v>
      </c>
      <c r="U1883" s="35">
        <v>1.0541992439259538</v>
      </c>
      <c r="W1883" s="35">
        <f t="shared" si="181"/>
        <v>486.94169510692711</v>
      </c>
      <c r="X1883" s="35">
        <f t="shared" si="182"/>
        <v>52430.43435152428</v>
      </c>
      <c r="Y1883" s="35">
        <f t="shared" si="183"/>
        <v>26688.482196297689</v>
      </c>
      <c r="Z1883" s="35">
        <f t="shared" si="184"/>
        <v>0</v>
      </c>
      <c r="AA1883" s="35">
        <f t="shared" si="185"/>
        <v>1</v>
      </c>
      <c r="AB1883" s="35">
        <f t="shared" si="186"/>
        <v>0</v>
      </c>
    </row>
    <row r="1884" spans="1:28">
      <c r="A1884" s="35">
        <v>1873</v>
      </c>
      <c r="B1884" s="35">
        <v>3.2404132240483445E-4</v>
      </c>
      <c r="C1884" s="232">
        <v>48.06</v>
      </c>
      <c r="D1884" s="35">
        <v>5.0552544640028962</v>
      </c>
      <c r="E1884" s="232">
        <v>31.39</v>
      </c>
      <c r="F1884" s="35">
        <v>5.0479221692585963</v>
      </c>
      <c r="G1884" s="232">
        <v>11783.6</v>
      </c>
      <c r="H1884" s="35">
        <v>8.971142894748338</v>
      </c>
      <c r="I1884" s="232">
        <v>12021.67</v>
      </c>
      <c r="J1884" s="35">
        <v>6.9634216461297642</v>
      </c>
      <c r="K1884" s="232">
        <v>15076.83</v>
      </c>
      <c r="L1884" s="35">
        <v>8.5590520533257415</v>
      </c>
      <c r="M1884" s="232">
        <v>41019</v>
      </c>
      <c r="N1884" s="35">
        <v>7.4300070176910591</v>
      </c>
      <c r="P1884" s="232">
        <v>-16.670000000000002</v>
      </c>
      <c r="Q1884" s="35">
        <v>7.332294744299972E-3</v>
      </c>
      <c r="R1884" s="232">
        <v>238.07</v>
      </c>
      <c r="S1884" s="35">
        <v>2.0077212486185738</v>
      </c>
      <c r="T1884" s="232">
        <v>25942.16</v>
      </c>
      <c r="U1884" s="35">
        <v>1.1290450356346824</v>
      </c>
      <c r="W1884" s="35">
        <f t="shared" si="181"/>
        <v>383.28473721499864</v>
      </c>
      <c r="X1884" s="35">
        <f t="shared" si="182"/>
        <v>100147.99243092869</v>
      </c>
      <c r="Y1884" s="35">
        <f t="shared" si="183"/>
        <v>30510.091781734121</v>
      </c>
      <c r="Z1884" s="35">
        <f t="shared" si="184"/>
        <v>0</v>
      </c>
      <c r="AA1884" s="35">
        <f t="shared" si="185"/>
        <v>1</v>
      </c>
      <c r="AB1884" s="35">
        <f t="shared" si="186"/>
        <v>0</v>
      </c>
    </row>
    <row r="1885" spans="1:28">
      <c r="A1885" s="35">
        <v>1874</v>
      </c>
      <c r="B1885" s="35">
        <v>4.4963630210292926E-4</v>
      </c>
      <c r="C1885" s="232">
        <v>80.36</v>
      </c>
      <c r="D1885" s="35">
        <v>5.0607682899036774</v>
      </c>
      <c r="E1885" s="232">
        <v>47.82</v>
      </c>
      <c r="F1885" s="35">
        <v>5.0504740331482756</v>
      </c>
      <c r="G1885" s="232">
        <v>13765.46</v>
      </c>
      <c r="H1885" s="35">
        <v>8.5993920973123235</v>
      </c>
      <c r="I1885" s="232">
        <v>15675.85</v>
      </c>
      <c r="J1885" s="35">
        <v>8.3200771451163362</v>
      </c>
      <c r="K1885" s="232">
        <v>16843.88</v>
      </c>
      <c r="L1885" s="35">
        <v>8.6880493469243483</v>
      </c>
      <c r="M1885" s="232">
        <v>42919.89</v>
      </c>
      <c r="N1885" s="35">
        <v>7.6726486175706796</v>
      </c>
      <c r="P1885" s="232">
        <v>-32.54</v>
      </c>
      <c r="Q1885" s="35">
        <v>1.0294256755401854E-2</v>
      </c>
      <c r="R1885" s="232">
        <v>1910.39</v>
      </c>
      <c r="S1885" s="35">
        <v>0.27931495219598723</v>
      </c>
      <c r="T1885" s="232">
        <v>26076.01</v>
      </c>
      <c r="U1885" s="35">
        <v>1.0154007293536687</v>
      </c>
      <c r="W1885" s="35">
        <f t="shared" si="181"/>
        <v>547.2528377700927</v>
      </c>
      <c r="X1885" s="35">
        <f t="shared" si="182"/>
        <v>12055.357609799363</v>
      </c>
      <c r="Y1885" s="35">
        <f t="shared" si="183"/>
        <v>24694.026467683438</v>
      </c>
      <c r="Z1885" s="35">
        <f t="shared" si="184"/>
        <v>0</v>
      </c>
      <c r="AA1885" s="35">
        <f t="shared" si="185"/>
        <v>0</v>
      </c>
      <c r="AB1885" s="35">
        <f t="shared" si="186"/>
        <v>1</v>
      </c>
    </row>
    <row r="1886" spans="1:28">
      <c r="A1886" s="35">
        <v>1875</v>
      </c>
      <c r="B1886" s="35">
        <v>5.4694694446932868E-4</v>
      </c>
      <c r="C1886" s="232">
        <v>95.64</v>
      </c>
      <c r="D1886" s="35">
        <v>5.070116262895767</v>
      </c>
      <c r="E1886" s="232">
        <v>63.45</v>
      </c>
      <c r="F1886" s="35">
        <v>5.0580463809310912</v>
      </c>
      <c r="G1886" s="232">
        <v>13711.04</v>
      </c>
      <c r="H1886" s="35">
        <v>9.6179410485860064</v>
      </c>
      <c r="I1886" s="232">
        <v>15262.2</v>
      </c>
      <c r="J1886" s="35">
        <v>8.8746980963478137</v>
      </c>
      <c r="K1886" s="232">
        <v>15859.8</v>
      </c>
      <c r="L1886" s="35">
        <v>8.5770343664802553</v>
      </c>
      <c r="M1886" s="232">
        <v>41969.74</v>
      </c>
      <c r="N1886" s="35">
        <v>7.4248921636748069</v>
      </c>
      <c r="P1886" s="232">
        <v>-32.19</v>
      </c>
      <c r="Q1886" s="35">
        <v>1.2069881964675844E-2</v>
      </c>
      <c r="R1886" s="232">
        <v>1551.16</v>
      </c>
      <c r="S1886" s="35">
        <v>0.7432429522381927</v>
      </c>
      <c r="T1886" s="232">
        <v>26109.95</v>
      </c>
      <c r="U1886" s="35">
        <v>1.1521422028054484</v>
      </c>
      <c r="W1886" s="35">
        <f t="shared" si="181"/>
        <v>635.68409823379216</v>
      </c>
      <c r="X1886" s="35">
        <f t="shared" si="182"/>
        <v>35610.98761190963</v>
      </c>
      <c r="Y1886" s="35">
        <f t="shared" si="183"/>
        <v>31497.160140272423</v>
      </c>
      <c r="Z1886" s="35">
        <f t="shared" si="184"/>
        <v>0</v>
      </c>
      <c r="AA1886" s="35">
        <f t="shared" si="185"/>
        <v>1</v>
      </c>
      <c r="AB1886" s="35">
        <f t="shared" si="186"/>
        <v>0</v>
      </c>
    </row>
    <row r="1887" spans="1:28">
      <c r="A1887" s="35">
        <v>1876</v>
      </c>
      <c r="B1887" s="35">
        <v>4.3419695122629134E-4</v>
      </c>
      <c r="C1887" s="232">
        <v>49.98</v>
      </c>
      <c r="D1887" s="35">
        <v>5.0589366593661023</v>
      </c>
      <c r="E1887" s="232">
        <v>31.27</v>
      </c>
      <c r="F1887" s="35">
        <v>5.0495282878085952</v>
      </c>
      <c r="G1887" s="232">
        <v>9355.58</v>
      </c>
      <c r="H1887" s="35">
        <v>8.2589834879645565</v>
      </c>
      <c r="I1887" s="232">
        <v>11446.22</v>
      </c>
      <c r="J1887" s="35">
        <v>7.6724483649616495</v>
      </c>
      <c r="K1887" s="232">
        <v>9625.2999999999993</v>
      </c>
      <c r="L1887" s="35">
        <v>8.5211183910665547</v>
      </c>
      <c r="M1887" s="232">
        <v>35386.25</v>
      </c>
      <c r="N1887" s="35">
        <v>7.4227185057039966</v>
      </c>
      <c r="P1887" s="232">
        <v>-18.71</v>
      </c>
      <c r="Q1887" s="35">
        <v>9.408371557507067E-3</v>
      </c>
      <c r="R1887" s="232">
        <v>2090.64</v>
      </c>
      <c r="S1887" s="35">
        <v>0.586535123002907</v>
      </c>
      <c r="T1887" s="232">
        <v>25760.959999999999</v>
      </c>
      <c r="U1887" s="35">
        <v>1.0983998853625581</v>
      </c>
      <c r="W1887" s="35">
        <f t="shared" si="181"/>
        <v>489.1285778753533</v>
      </c>
      <c r="X1887" s="35">
        <f t="shared" si="182"/>
        <v>27236.11615014535</v>
      </c>
      <c r="Y1887" s="35">
        <f t="shared" si="183"/>
        <v>29159.034268127907</v>
      </c>
      <c r="Z1887" s="35">
        <f t="shared" si="184"/>
        <v>0</v>
      </c>
      <c r="AA1887" s="35">
        <f t="shared" si="185"/>
        <v>0</v>
      </c>
      <c r="AB1887" s="35">
        <f t="shared" si="186"/>
        <v>1</v>
      </c>
    </row>
    <row r="1888" spans="1:28">
      <c r="A1888" s="35">
        <v>1877</v>
      </c>
      <c r="B1888" s="35">
        <v>4.6631401323238286E-4</v>
      </c>
      <c r="C1888" s="232">
        <v>49.99</v>
      </c>
      <c r="D1888" s="35">
        <v>5.0641507464741302</v>
      </c>
      <c r="E1888" s="232">
        <v>32.31</v>
      </c>
      <c r="F1888" s="35">
        <v>5.0529513515582583</v>
      </c>
      <c r="G1888" s="232">
        <v>8750.23</v>
      </c>
      <c r="H1888" s="35">
        <v>9.1504881245922025</v>
      </c>
      <c r="I1888" s="232">
        <v>10971.25</v>
      </c>
      <c r="J1888" s="35">
        <v>7.7631798962766307</v>
      </c>
      <c r="K1888" s="232">
        <v>7736.63</v>
      </c>
      <c r="L1888" s="35">
        <v>8.8380497627302113</v>
      </c>
      <c r="M1888" s="232">
        <v>33366.69</v>
      </c>
      <c r="N1888" s="35">
        <v>7.6517380021798411</v>
      </c>
      <c r="P1888" s="232">
        <v>-17.68</v>
      </c>
      <c r="Q1888" s="35">
        <v>1.1199394915871963E-2</v>
      </c>
      <c r="R1888" s="232">
        <v>2221.02</v>
      </c>
      <c r="S1888" s="35">
        <v>1.3873082283155718</v>
      </c>
      <c r="T1888" s="232">
        <v>25630.07</v>
      </c>
      <c r="U1888" s="35">
        <v>1.1863117605503701</v>
      </c>
      <c r="W1888" s="35">
        <f t="shared" si="181"/>
        <v>577.64974579359807</v>
      </c>
      <c r="X1888" s="35">
        <f t="shared" si="182"/>
        <v>67144.391415778591</v>
      </c>
      <c r="Y1888" s="35">
        <f t="shared" si="183"/>
        <v>33685.518027518505</v>
      </c>
      <c r="Z1888" s="35">
        <f t="shared" si="184"/>
        <v>0</v>
      </c>
      <c r="AA1888" s="35">
        <f t="shared" si="185"/>
        <v>1</v>
      </c>
      <c r="AB1888" s="35">
        <f t="shared" si="186"/>
        <v>0</v>
      </c>
    </row>
    <row r="1889" spans="1:28">
      <c r="A1889" s="35">
        <v>1878</v>
      </c>
      <c r="B1889" s="35">
        <v>4.4014706170024468E-4</v>
      </c>
      <c r="C1889" s="232">
        <v>58.03</v>
      </c>
      <c r="D1889" s="35">
        <v>5.0608453186520581</v>
      </c>
      <c r="E1889" s="232">
        <v>37.29</v>
      </c>
      <c r="F1889" s="35">
        <v>5.0512065921653635</v>
      </c>
      <c r="G1889" s="232">
        <v>10433.780000000001</v>
      </c>
      <c r="H1889" s="35">
        <v>8.6494596318488579</v>
      </c>
      <c r="I1889" s="232">
        <v>11805.78</v>
      </c>
      <c r="J1889" s="35">
        <v>7.040295913044182</v>
      </c>
      <c r="K1889" s="232">
        <v>11740.86</v>
      </c>
      <c r="L1889" s="35">
        <v>8.64940303605281</v>
      </c>
      <c r="M1889" s="232">
        <v>37592.47</v>
      </c>
      <c r="N1889" s="35">
        <v>7.5259165844922249</v>
      </c>
      <c r="P1889" s="232">
        <v>-20.74</v>
      </c>
      <c r="Q1889" s="35">
        <v>9.6387264866946154E-3</v>
      </c>
      <c r="R1889" s="232">
        <v>1372.01</v>
      </c>
      <c r="S1889" s="35">
        <v>1.6091637188046759</v>
      </c>
      <c r="T1889" s="232">
        <v>25851.61</v>
      </c>
      <c r="U1889" s="35">
        <v>1.1234864515605851</v>
      </c>
      <c r="W1889" s="35">
        <f t="shared" si="181"/>
        <v>502.67632433473079</v>
      </c>
      <c r="X1889" s="35">
        <f t="shared" si="182"/>
        <v>79086.175940233807</v>
      </c>
      <c r="Y1889" s="35">
        <f t="shared" si="183"/>
        <v>30322.712578029255</v>
      </c>
      <c r="Z1889" s="35">
        <f t="shared" si="184"/>
        <v>0</v>
      </c>
      <c r="AA1889" s="35">
        <f t="shared" si="185"/>
        <v>1</v>
      </c>
      <c r="AB1889" s="35">
        <f t="shared" si="186"/>
        <v>0</v>
      </c>
    </row>
    <row r="1890" spans="1:28">
      <c r="A1890" s="35">
        <v>1879</v>
      </c>
      <c r="B1890" s="35">
        <v>4.5118291304535596E-4</v>
      </c>
      <c r="C1890" s="232">
        <v>76.459999999999994</v>
      </c>
      <c r="D1890" s="35">
        <v>5.0605920894989831</v>
      </c>
      <c r="E1890" s="232">
        <v>51.61</v>
      </c>
      <c r="F1890" s="35">
        <v>5.0521367664975623</v>
      </c>
      <c r="G1890" s="232">
        <v>13309.4</v>
      </c>
      <c r="H1890" s="35">
        <v>8.5818452639013767</v>
      </c>
      <c r="I1890" s="232">
        <v>14926.47</v>
      </c>
      <c r="J1890" s="35">
        <v>7.9079843252428095</v>
      </c>
      <c r="K1890" s="232">
        <v>16193.73</v>
      </c>
      <c r="L1890" s="35">
        <v>8.3476351380556792</v>
      </c>
      <c r="M1890" s="232">
        <v>42371.45</v>
      </c>
      <c r="N1890" s="35">
        <v>7.195855798194823</v>
      </c>
      <c r="P1890" s="232">
        <v>-24.85</v>
      </c>
      <c r="Q1890" s="35">
        <v>8.4553230014208225E-3</v>
      </c>
      <c r="R1890" s="232">
        <v>1617.06</v>
      </c>
      <c r="S1890" s="35">
        <v>0.67386093865856722</v>
      </c>
      <c r="T1890" s="232">
        <v>26177.72</v>
      </c>
      <c r="U1890" s="35">
        <v>1.1517793398608562</v>
      </c>
      <c r="W1890" s="35">
        <f t="shared" si="181"/>
        <v>447.61615007104115</v>
      </c>
      <c r="X1890" s="35">
        <f t="shared" si="182"/>
        <v>32075.986932928357</v>
      </c>
      <c r="Y1890" s="35">
        <f t="shared" si="183"/>
        <v>31411.246993042812</v>
      </c>
      <c r="Z1890" s="35">
        <f t="shared" si="184"/>
        <v>0</v>
      </c>
      <c r="AA1890" s="35">
        <f t="shared" si="185"/>
        <v>1</v>
      </c>
      <c r="AB1890" s="35">
        <f t="shared" si="186"/>
        <v>0</v>
      </c>
    </row>
    <row r="1891" spans="1:28">
      <c r="A1891" s="35">
        <v>1880</v>
      </c>
      <c r="B1891" s="35">
        <v>4.5841538831770112E-4</v>
      </c>
      <c r="C1891" s="232">
        <v>62.77</v>
      </c>
      <c r="D1891" s="35">
        <v>5.060108452512087</v>
      </c>
      <c r="E1891" s="232">
        <v>35.229999999999997</v>
      </c>
      <c r="F1891" s="35">
        <v>5.0490801580974569</v>
      </c>
      <c r="G1891" s="232">
        <v>11186.21</v>
      </c>
      <c r="H1891" s="35">
        <v>8.2466083440178881</v>
      </c>
      <c r="I1891" s="232">
        <v>13221.12</v>
      </c>
      <c r="J1891" s="35">
        <v>7.5410507258495709</v>
      </c>
      <c r="K1891" s="232">
        <v>11752.86</v>
      </c>
      <c r="L1891" s="35">
        <v>8.6108601352415732</v>
      </c>
      <c r="M1891" s="232">
        <v>37737.96</v>
      </c>
      <c r="N1891" s="35">
        <v>7.5421238918626345</v>
      </c>
      <c r="P1891" s="232">
        <v>-27.54</v>
      </c>
      <c r="Q1891" s="35">
        <v>1.1028294414630047E-2</v>
      </c>
      <c r="R1891" s="232">
        <v>2034.91</v>
      </c>
      <c r="S1891" s="35">
        <v>0.70555761816831719</v>
      </c>
      <c r="T1891" s="232">
        <v>25985.11</v>
      </c>
      <c r="U1891" s="35">
        <v>1.0687362433789387</v>
      </c>
      <c r="W1891" s="35">
        <f t="shared" si="181"/>
        <v>578.95472073150233</v>
      </c>
      <c r="X1891" s="35">
        <f t="shared" si="182"/>
        <v>33242.970908415853</v>
      </c>
      <c r="Y1891" s="35">
        <f t="shared" si="183"/>
        <v>27451.702168946933</v>
      </c>
      <c r="Z1891" s="35">
        <f t="shared" si="184"/>
        <v>0</v>
      </c>
      <c r="AA1891" s="35">
        <f t="shared" si="185"/>
        <v>1</v>
      </c>
      <c r="AB1891" s="35">
        <f t="shared" si="186"/>
        <v>0</v>
      </c>
    </row>
    <row r="1892" spans="1:28">
      <c r="A1892" s="35">
        <v>1881</v>
      </c>
      <c r="B1892" s="35">
        <v>3.5088677076924461E-4</v>
      </c>
      <c r="C1892" s="232">
        <v>37.020000000000003</v>
      </c>
      <c r="D1892" s="35">
        <v>5.0570514657262109</v>
      </c>
      <c r="E1892" s="232">
        <v>24.21</v>
      </c>
      <c r="F1892" s="35">
        <v>5.0485409414702707</v>
      </c>
      <c r="G1892" s="232">
        <v>8190.62</v>
      </c>
      <c r="H1892" s="35">
        <v>9.0220391588501325</v>
      </c>
      <c r="I1892" s="232">
        <v>9796.15</v>
      </c>
      <c r="J1892" s="35">
        <v>8.1760323732718607</v>
      </c>
      <c r="K1892" s="232">
        <v>10275.049999999999</v>
      </c>
      <c r="L1892" s="35">
        <v>8.7176984579040777</v>
      </c>
      <c r="M1892" s="232">
        <v>36014.080000000002</v>
      </c>
      <c r="N1892" s="35">
        <v>7.6288202849558449</v>
      </c>
      <c r="P1892" s="232">
        <v>-12.81</v>
      </c>
      <c r="Q1892" s="35">
        <v>8.5105242559402328E-3</v>
      </c>
      <c r="R1892" s="232">
        <v>1605.53</v>
      </c>
      <c r="S1892" s="35">
        <v>0.8460067855782718</v>
      </c>
      <c r="T1892" s="232">
        <v>25739.040000000001</v>
      </c>
      <c r="U1892" s="35">
        <v>1.0888781729482329</v>
      </c>
      <c r="W1892" s="35">
        <f t="shared" si="181"/>
        <v>438.33621279701163</v>
      </c>
      <c r="X1892" s="35">
        <f t="shared" si="182"/>
        <v>40694.809278913592</v>
      </c>
      <c r="Y1892" s="35">
        <f t="shared" si="183"/>
        <v>28704.86864741164</v>
      </c>
      <c r="Z1892" s="35">
        <f t="shared" si="184"/>
        <v>0</v>
      </c>
      <c r="AA1892" s="35">
        <f t="shared" si="185"/>
        <v>1</v>
      </c>
      <c r="AB1892" s="35">
        <f t="shared" si="186"/>
        <v>0</v>
      </c>
    </row>
    <row r="1893" spans="1:28">
      <c r="A1893" s="35">
        <v>1882</v>
      </c>
      <c r="B1893" s="35">
        <v>4.4192507324091726E-4</v>
      </c>
      <c r="C1893" s="232">
        <v>61.65</v>
      </c>
      <c r="D1893" s="35">
        <v>5.0615412036703571</v>
      </c>
      <c r="E1893" s="232">
        <v>36.380000000000003</v>
      </c>
      <c r="F1893" s="35">
        <v>5.0504576567835686</v>
      </c>
      <c r="G1893" s="232">
        <v>10761.28</v>
      </c>
      <c r="H1893" s="35">
        <v>9.0851886572640126</v>
      </c>
      <c r="I1893" s="232">
        <v>11515.81</v>
      </c>
      <c r="J1893" s="35">
        <v>8.0298027791868716</v>
      </c>
      <c r="K1893" s="232">
        <v>14724.44</v>
      </c>
      <c r="L1893" s="35">
        <v>8.5655341662976507</v>
      </c>
      <c r="M1893" s="232">
        <v>40669.89</v>
      </c>
      <c r="N1893" s="35">
        <v>7.5575784616383297</v>
      </c>
      <c r="P1893" s="232">
        <v>-25.27</v>
      </c>
      <c r="Q1893" s="35">
        <v>1.1083546886788476E-2</v>
      </c>
      <c r="R1893" s="232">
        <v>754.53</v>
      </c>
      <c r="S1893" s="35">
        <v>1.055385878077141</v>
      </c>
      <c r="T1893" s="232">
        <v>25945.45</v>
      </c>
      <c r="U1893" s="35">
        <v>1.0079557046593211</v>
      </c>
      <c r="W1893" s="35">
        <f t="shared" si="181"/>
        <v>579.44734433942381</v>
      </c>
      <c r="X1893" s="35">
        <f t="shared" si="182"/>
        <v>52014.763903857049</v>
      </c>
      <c r="Y1893" s="35">
        <f t="shared" si="183"/>
        <v>24452.335232966052</v>
      </c>
      <c r="Z1893" s="35">
        <f t="shared" si="184"/>
        <v>0</v>
      </c>
      <c r="AA1893" s="35">
        <f t="shared" si="185"/>
        <v>1</v>
      </c>
      <c r="AB1893" s="35">
        <f t="shared" si="186"/>
        <v>0</v>
      </c>
    </row>
    <row r="1894" spans="1:28">
      <c r="A1894" s="35">
        <v>1883</v>
      </c>
      <c r="B1894" s="35">
        <v>3.7062229431704819E-4</v>
      </c>
      <c r="C1894" s="232">
        <v>73.77</v>
      </c>
      <c r="D1894" s="35">
        <v>5.0578207097791337</v>
      </c>
      <c r="E1894" s="232">
        <v>41.41</v>
      </c>
      <c r="F1894" s="35">
        <v>5.0481046101498359</v>
      </c>
      <c r="G1894" s="232">
        <v>15575.75</v>
      </c>
      <c r="H1894" s="35">
        <v>8.9495694252725215</v>
      </c>
      <c r="I1894" s="232">
        <v>16983.509999999998</v>
      </c>
      <c r="J1894" s="35">
        <v>8.3824602104499508</v>
      </c>
      <c r="K1894" s="232">
        <v>20825.03</v>
      </c>
      <c r="L1894" s="35">
        <v>8.7899475325812837</v>
      </c>
      <c r="M1894" s="232">
        <v>47276.13</v>
      </c>
      <c r="N1894" s="35">
        <v>7.7404134496860726</v>
      </c>
      <c r="P1894" s="232">
        <v>-32.35</v>
      </c>
      <c r="Q1894" s="35">
        <v>9.7160996292977586E-3</v>
      </c>
      <c r="R1894" s="232">
        <v>1407.76</v>
      </c>
      <c r="S1894" s="35">
        <v>0.56710921482257071</v>
      </c>
      <c r="T1894" s="232">
        <v>26451.1</v>
      </c>
      <c r="U1894" s="35">
        <v>1.0495340828952111</v>
      </c>
      <c r="W1894" s="35">
        <f t="shared" si="181"/>
        <v>518.1549814648879</v>
      </c>
      <c r="X1894" s="35">
        <f t="shared" si="182"/>
        <v>26947.700741128538</v>
      </c>
      <c r="Y1894" s="35">
        <f t="shared" si="183"/>
        <v>26025.60414476056</v>
      </c>
      <c r="Z1894" s="35">
        <f t="shared" si="184"/>
        <v>0</v>
      </c>
      <c r="AA1894" s="35">
        <f t="shared" si="185"/>
        <v>1</v>
      </c>
      <c r="AB1894" s="35">
        <f t="shared" si="186"/>
        <v>0</v>
      </c>
    </row>
    <row r="1895" spans="1:28">
      <c r="A1895" s="35">
        <v>1884</v>
      </c>
      <c r="B1895" s="35">
        <v>4.4933524715973228E-4</v>
      </c>
      <c r="C1895" s="232">
        <v>53.66</v>
      </c>
      <c r="D1895" s="35">
        <v>5.0620424495756007</v>
      </c>
      <c r="E1895" s="232">
        <v>35.29</v>
      </c>
      <c r="F1895" s="35">
        <v>5.0521389552325999</v>
      </c>
      <c r="G1895" s="232">
        <v>9510.74</v>
      </c>
      <c r="H1895" s="35">
        <v>8.8829484531260743</v>
      </c>
      <c r="I1895" s="232">
        <v>11061.61</v>
      </c>
      <c r="J1895" s="35">
        <v>7.9344183423844594</v>
      </c>
      <c r="K1895" s="232">
        <v>12172.35</v>
      </c>
      <c r="L1895" s="35">
        <v>8.6782058365829773</v>
      </c>
      <c r="M1895" s="232">
        <v>38043.199999999997</v>
      </c>
      <c r="N1895" s="35">
        <v>7.4815761864629815</v>
      </c>
      <c r="P1895" s="232">
        <v>-18.37</v>
      </c>
      <c r="Q1895" s="35">
        <v>9.9034943430007516E-3</v>
      </c>
      <c r="R1895" s="232">
        <v>1550.87</v>
      </c>
      <c r="S1895" s="35">
        <v>0.94853011074161486</v>
      </c>
      <c r="T1895" s="232">
        <v>25870.86</v>
      </c>
      <c r="U1895" s="35">
        <v>1.1966296501199958</v>
      </c>
      <c r="W1895" s="35">
        <f t="shared" si="181"/>
        <v>513.54471715003751</v>
      </c>
      <c r="X1895" s="35">
        <f t="shared" si="182"/>
        <v>45875.635537080743</v>
      </c>
      <c r="Y1895" s="35">
        <f t="shared" si="183"/>
        <v>33960.622505999789</v>
      </c>
      <c r="Z1895" s="35">
        <f t="shared" si="184"/>
        <v>0</v>
      </c>
      <c r="AA1895" s="35">
        <f t="shared" si="185"/>
        <v>1</v>
      </c>
      <c r="AB1895" s="35">
        <f t="shared" si="186"/>
        <v>0</v>
      </c>
    </row>
    <row r="1896" spans="1:28">
      <c r="A1896" s="35">
        <v>1885</v>
      </c>
      <c r="B1896" s="35">
        <v>4.886824961654046E-4</v>
      </c>
      <c r="C1896" s="232">
        <v>89.98</v>
      </c>
      <c r="D1896" s="35">
        <v>5.0642252361250071</v>
      </c>
      <c r="E1896" s="232">
        <v>62.1</v>
      </c>
      <c r="F1896" s="35">
        <v>5.055005267072465</v>
      </c>
      <c r="G1896" s="232">
        <v>13559.51</v>
      </c>
      <c r="H1896" s="35">
        <v>8.9715885480642772</v>
      </c>
      <c r="I1896" s="232">
        <v>12436.25</v>
      </c>
      <c r="J1896" s="35">
        <v>7.1804093823320452</v>
      </c>
      <c r="K1896" s="232">
        <v>18345.54</v>
      </c>
      <c r="L1896" s="35">
        <v>8.5309413428907277</v>
      </c>
      <c r="M1896" s="232">
        <v>44625.62</v>
      </c>
      <c r="N1896" s="35">
        <v>7.4327196900432329</v>
      </c>
      <c r="P1896" s="232">
        <v>-27.87</v>
      </c>
      <c r="Q1896" s="35">
        <v>9.2199690525420763E-3</v>
      </c>
      <c r="R1896" s="232">
        <v>-1123.26</v>
      </c>
      <c r="S1896" s="35">
        <v>1.791179165732232</v>
      </c>
      <c r="T1896" s="232">
        <v>26280.07</v>
      </c>
      <c r="U1896" s="35">
        <v>1.0982216528474948</v>
      </c>
      <c r="W1896" s="35">
        <f t="shared" si="181"/>
        <v>488.86845262710381</v>
      </c>
      <c r="X1896" s="35">
        <f t="shared" si="182"/>
        <v>90682.218286611591</v>
      </c>
      <c r="Y1896" s="35">
        <f t="shared" si="183"/>
        <v>28631.012642374742</v>
      </c>
      <c r="Z1896" s="35">
        <f t="shared" si="184"/>
        <v>0</v>
      </c>
      <c r="AA1896" s="35">
        <f t="shared" si="185"/>
        <v>1</v>
      </c>
      <c r="AB1896" s="35">
        <f t="shared" si="186"/>
        <v>0</v>
      </c>
    </row>
    <row r="1897" spans="1:28">
      <c r="A1897" s="35">
        <v>1886</v>
      </c>
      <c r="B1897" s="35">
        <v>4.0083037235034286E-4</v>
      </c>
      <c r="C1897" s="232">
        <v>67.430000000000007</v>
      </c>
      <c r="D1897" s="35">
        <v>5.0592833957786931</v>
      </c>
      <c r="E1897" s="232">
        <v>53.56</v>
      </c>
      <c r="F1897" s="35">
        <v>5.0537293609159093</v>
      </c>
      <c r="G1897" s="232">
        <v>12662.55</v>
      </c>
      <c r="H1897" s="35">
        <v>8.689632653368653</v>
      </c>
      <c r="I1897" s="232">
        <v>12904.49</v>
      </c>
      <c r="J1897" s="35">
        <v>6.9248269740672548</v>
      </c>
      <c r="K1897" s="232">
        <v>15929.69</v>
      </c>
      <c r="L1897" s="35">
        <v>8.6044567827124681</v>
      </c>
      <c r="M1897" s="232">
        <v>41994.36</v>
      </c>
      <c r="N1897" s="35">
        <v>7.4768168432109539</v>
      </c>
      <c r="P1897" s="232">
        <v>-13.87</v>
      </c>
      <c r="Q1897" s="35">
        <v>5.5540348627838299E-3</v>
      </c>
      <c r="R1897" s="232">
        <v>241.94</v>
      </c>
      <c r="S1897" s="35">
        <v>1.7648056793013982</v>
      </c>
      <c r="T1897" s="232">
        <v>26064.67</v>
      </c>
      <c r="U1897" s="35">
        <v>1.1276399395015142</v>
      </c>
      <c r="W1897" s="35">
        <f t="shared" si="181"/>
        <v>291.57174313919148</v>
      </c>
      <c r="X1897" s="35">
        <f t="shared" si="182"/>
        <v>87998.343965069915</v>
      </c>
      <c r="Y1897" s="35">
        <f t="shared" si="183"/>
        <v>30317.32697507571</v>
      </c>
      <c r="Z1897" s="35">
        <f t="shared" si="184"/>
        <v>0</v>
      </c>
      <c r="AA1897" s="35">
        <f t="shared" si="185"/>
        <v>1</v>
      </c>
      <c r="AB1897" s="35">
        <f t="shared" si="186"/>
        <v>0</v>
      </c>
    </row>
    <row r="1898" spans="1:28">
      <c r="A1898" s="35">
        <v>1887</v>
      </c>
      <c r="B1898" s="35">
        <v>5.6534289461462883E-4</v>
      </c>
      <c r="C1898" s="232">
        <v>84.56</v>
      </c>
      <c r="D1898" s="35">
        <v>5.0678150798465555</v>
      </c>
      <c r="E1898" s="232">
        <v>45.75</v>
      </c>
      <c r="F1898" s="35">
        <v>5.0527993644571589</v>
      </c>
      <c r="G1898" s="232">
        <v>11202.9</v>
      </c>
      <c r="H1898" s="35">
        <v>8.8671356762017197</v>
      </c>
      <c r="I1898" s="232">
        <v>11137.54</v>
      </c>
      <c r="J1898" s="35">
        <v>7.6469061207205442</v>
      </c>
      <c r="K1898" s="232">
        <v>18269.330000000002</v>
      </c>
      <c r="L1898" s="35">
        <v>8.6544295754322818</v>
      </c>
      <c r="M1898" s="232">
        <v>44718.04</v>
      </c>
      <c r="N1898" s="35">
        <v>7.5291544114257434</v>
      </c>
      <c r="P1898" s="232">
        <v>-38.81</v>
      </c>
      <c r="Q1898" s="35">
        <v>1.5015715389396611E-2</v>
      </c>
      <c r="R1898" s="232">
        <v>-65.36</v>
      </c>
      <c r="S1898" s="35">
        <v>1.2202295554811755</v>
      </c>
      <c r="T1898" s="232">
        <v>26448.7</v>
      </c>
      <c r="U1898" s="35">
        <v>1.1252751640065384</v>
      </c>
      <c r="W1898" s="35">
        <f t="shared" si="181"/>
        <v>789.59576946983066</v>
      </c>
      <c r="X1898" s="35">
        <f t="shared" si="182"/>
        <v>61076.837774058775</v>
      </c>
      <c r="Y1898" s="35">
        <f t="shared" si="183"/>
        <v>29815.058200326919</v>
      </c>
      <c r="Z1898" s="35">
        <f t="shared" si="184"/>
        <v>0</v>
      </c>
      <c r="AA1898" s="35">
        <f t="shared" si="185"/>
        <v>1</v>
      </c>
      <c r="AB1898" s="35">
        <f t="shared" si="186"/>
        <v>0</v>
      </c>
    </row>
    <row r="1899" spans="1:28">
      <c r="A1899" s="35">
        <v>1888</v>
      </c>
      <c r="B1899" s="35">
        <v>4.628337852067288E-4</v>
      </c>
      <c r="C1899" s="232">
        <v>62.56</v>
      </c>
      <c r="D1899" s="35">
        <v>5.0620810879757405</v>
      </c>
      <c r="E1899" s="232">
        <v>35.909999999999997</v>
      </c>
      <c r="F1899" s="35">
        <v>5.0503742761224197</v>
      </c>
      <c r="G1899" s="232">
        <v>10023.98</v>
      </c>
      <c r="H1899" s="35">
        <v>8.6862656959944786</v>
      </c>
      <c r="I1899" s="232">
        <v>10405.58</v>
      </c>
      <c r="J1899" s="35">
        <v>7.1398831096320725</v>
      </c>
      <c r="K1899" s="232">
        <v>13298.43</v>
      </c>
      <c r="L1899" s="35">
        <v>8.8747955759495678</v>
      </c>
      <c r="M1899" s="232">
        <v>39325.79</v>
      </c>
      <c r="N1899" s="35">
        <v>7.8112432662053699</v>
      </c>
      <c r="P1899" s="232">
        <v>-26.65</v>
      </c>
      <c r="Q1899" s="35">
        <v>1.1706811853320787E-2</v>
      </c>
      <c r="R1899" s="232">
        <v>381.61</v>
      </c>
      <c r="S1899" s="35">
        <v>1.5463825863624061</v>
      </c>
      <c r="T1899" s="232">
        <v>26027.360000000001</v>
      </c>
      <c r="U1899" s="35">
        <v>1.0635523097441979</v>
      </c>
      <c r="W1899" s="35">
        <f t="shared" si="181"/>
        <v>611.99059266603933</v>
      </c>
      <c r="X1899" s="35">
        <f t="shared" si="182"/>
        <v>76937.519318120307</v>
      </c>
      <c r="Y1899" s="35">
        <f t="shared" si="183"/>
        <v>27150.255487209892</v>
      </c>
      <c r="Z1899" s="35">
        <f t="shared" si="184"/>
        <v>0</v>
      </c>
      <c r="AA1899" s="35">
        <f t="shared" si="185"/>
        <v>1</v>
      </c>
      <c r="AB1899" s="35">
        <f t="shared" si="186"/>
        <v>0</v>
      </c>
    </row>
    <row r="1900" spans="1:28">
      <c r="A1900" s="35">
        <v>1889</v>
      </c>
      <c r="B1900" s="35">
        <v>4.268262917297255E-4</v>
      </c>
      <c r="C1900" s="232">
        <v>54.73</v>
      </c>
      <c r="D1900" s="35">
        <v>5.0611365433733004</v>
      </c>
      <c r="E1900" s="232">
        <v>32.33</v>
      </c>
      <c r="F1900" s="35">
        <v>5.0500835700869047</v>
      </c>
      <c r="G1900" s="232">
        <v>10097.120000000001</v>
      </c>
      <c r="H1900" s="35">
        <v>8.8453292260472072</v>
      </c>
      <c r="I1900" s="232">
        <v>10600.11</v>
      </c>
      <c r="J1900" s="35">
        <v>6.873351034394477</v>
      </c>
      <c r="K1900" s="232">
        <v>13420.87</v>
      </c>
      <c r="L1900" s="35">
        <v>9.0351919514410071</v>
      </c>
      <c r="M1900" s="232">
        <v>39382.22</v>
      </c>
      <c r="N1900" s="35">
        <v>7.9129972444325034</v>
      </c>
      <c r="P1900" s="232">
        <v>-22.39</v>
      </c>
      <c r="Q1900" s="35">
        <v>1.1052973286395762E-2</v>
      </c>
      <c r="R1900" s="232">
        <v>502.99</v>
      </c>
      <c r="S1900" s="35">
        <v>1.9719781916527301</v>
      </c>
      <c r="T1900" s="232">
        <v>25961.34</v>
      </c>
      <c r="U1900" s="35">
        <v>1.1221947070085037</v>
      </c>
      <c r="W1900" s="35">
        <f t="shared" si="181"/>
        <v>575.03866431978804</v>
      </c>
      <c r="X1900" s="35">
        <f t="shared" si="182"/>
        <v>98095.919582636503</v>
      </c>
      <c r="Y1900" s="35">
        <f t="shared" si="183"/>
        <v>30148.39535042518</v>
      </c>
      <c r="Z1900" s="35">
        <f t="shared" si="184"/>
        <v>0</v>
      </c>
      <c r="AA1900" s="35">
        <f t="shared" si="185"/>
        <v>1</v>
      </c>
      <c r="AB1900" s="35">
        <f t="shared" si="186"/>
        <v>0</v>
      </c>
    </row>
    <row r="1901" spans="1:28">
      <c r="A1901" s="35">
        <v>1890</v>
      </c>
      <c r="B1901" s="35">
        <v>3.8997153731403986E-4</v>
      </c>
      <c r="C1901" s="232">
        <v>56.41</v>
      </c>
      <c r="D1901" s="35">
        <v>5.0589550719948093</v>
      </c>
      <c r="E1901" s="232">
        <v>38.17</v>
      </c>
      <c r="F1901" s="35">
        <v>5.0507887960530597</v>
      </c>
      <c r="G1901" s="232">
        <v>11006.43</v>
      </c>
      <c r="H1901" s="35">
        <v>8.9851948927266534</v>
      </c>
      <c r="I1901" s="232">
        <v>12646.62</v>
      </c>
      <c r="J1901" s="35">
        <v>8.4229008066164326</v>
      </c>
      <c r="K1901" s="232">
        <v>13799.79</v>
      </c>
      <c r="L1901" s="35">
        <v>8.6531303266799373</v>
      </c>
      <c r="M1901" s="232">
        <v>39827.4</v>
      </c>
      <c r="N1901" s="35">
        <v>7.5794360509385834</v>
      </c>
      <c r="P1901" s="232">
        <v>-18.239999999999998</v>
      </c>
      <c r="Q1901" s="35">
        <v>8.1662759417495678E-3</v>
      </c>
      <c r="R1901" s="232">
        <v>1640.18</v>
      </c>
      <c r="S1901" s="35">
        <v>0.5622940861102208</v>
      </c>
      <c r="T1901" s="232">
        <v>26027.61</v>
      </c>
      <c r="U1901" s="35">
        <v>1.0736942757413539</v>
      </c>
      <c r="W1901" s="35">
        <f t="shared" si="181"/>
        <v>426.55379708747842</v>
      </c>
      <c r="X1901" s="35">
        <f t="shared" si="182"/>
        <v>26474.52430551104</v>
      </c>
      <c r="Y1901" s="35">
        <f t="shared" si="183"/>
        <v>27657.103787067696</v>
      </c>
      <c r="Z1901" s="35">
        <f t="shared" si="184"/>
        <v>0</v>
      </c>
      <c r="AA1901" s="35">
        <f t="shared" si="185"/>
        <v>0</v>
      </c>
      <c r="AB1901" s="35">
        <f t="shared" si="186"/>
        <v>1</v>
      </c>
    </row>
    <row r="1902" spans="1:28">
      <c r="A1902" s="35">
        <v>1891</v>
      </c>
      <c r="B1902" s="35">
        <v>5.3157783618484888E-4</v>
      </c>
      <c r="C1902" s="232">
        <v>69.040000000000006</v>
      </c>
      <c r="D1902" s="35">
        <v>5.0663008392200961</v>
      </c>
      <c r="E1902" s="232">
        <v>51.02</v>
      </c>
      <c r="F1902" s="35">
        <v>5.0573865376790614</v>
      </c>
      <c r="G1902" s="232">
        <v>10188.790000000001</v>
      </c>
      <c r="H1902" s="35">
        <v>8.9080120945658514</v>
      </c>
      <c r="I1902" s="232">
        <v>12085.34</v>
      </c>
      <c r="J1902" s="35">
        <v>8.3486803119894795</v>
      </c>
      <c r="K1902" s="232">
        <v>11805.6</v>
      </c>
      <c r="L1902" s="35">
        <v>8.4668534217226572</v>
      </c>
      <c r="M1902" s="232">
        <v>37740.97</v>
      </c>
      <c r="N1902" s="35">
        <v>7.3749464073931827</v>
      </c>
      <c r="P1902" s="232">
        <v>-18.02</v>
      </c>
      <c r="Q1902" s="35">
        <v>8.9143015410346749E-3</v>
      </c>
      <c r="R1902" s="232">
        <v>1896.54</v>
      </c>
      <c r="S1902" s="35">
        <v>0.55933178257637195</v>
      </c>
      <c r="T1902" s="232">
        <v>25935.37</v>
      </c>
      <c r="U1902" s="35">
        <v>1.0919070143294745</v>
      </c>
      <c r="W1902" s="35">
        <f t="shared" si="181"/>
        <v>463.7350770517337</v>
      </c>
      <c r="X1902" s="35">
        <f t="shared" si="182"/>
        <v>26070.049128818595</v>
      </c>
      <c r="Y1902" s="35">
        <f t="shared" si="183"/>
        <v>28659.980716473725</v>
      </c>
      <c r="Z1902" s="35">
        <f t="shared" si="184"/>
        <v>0</v>
      </c>
      <c r="AA1902" s="35">
        <f t="shared" si="185"/>
        <v>0</v>
      </c>
      <c r="AB1902" s="35">
        <f t="shared" si="186"/>
        <v>1</v>
      </c>
    </row>
    <row r="1903" spans="1:28">
      <c r="A1903" s="35">
        <v>1892</v>
      </c>
      <c r="B1903" s="35">
        <v>4.1611023642539686E-4</v>
      </c>
      <c r="C1903" s="232">
        <v>47.29</v>
      </c>
      <c r="D1903" s="35">
        <v>5.0609739855788929</v>
      </c>
      <c r="E1903" s="232">
        <v>31.18</v>
      </c>
      <c r="F1903" s="35">
        <v>5.0513357658386582</v>
      </c>
      <c r="G1903" s="232">
        <v>9243.75</v>
      </c>
      <c r="H1903" s="35">
        <v>9.3002690443436791</v>
      </c>
      <c r="I1903" s="232">
        <v>11279.47</v>
      </c>
      <c r="J1903" s="35">
        <v>8.7975376508224112</v>
      </c>
      <c r="K1903" s="232">
        <v>10355.6</v>
      </c>
      <c r="L1903" s="35">
        <v>8.550857565753665</v>
      </c>
      <c r="M1903" s="232">
        <v>36368.74</v>
      </c>
      <c r="N1903" s="35">
        <v>7.4766365050370478</v>
      </c>
      <c r="P1903" s="232">
        <v>-16.11</v>
      </c>
      <c r="Q1903" s="35">
        <v>9.6382197402347103E-3</v>
      </c>
      <c r="R1903" s="232">
        <v>2035.72</v>
      </c>
      <c r="S1903" s="35">
        <v>0.50273139352126783</v>
      </c>
      <c r="T1903" s="232">
        <v>26013.14</v>
      </c>
      <c r="U1903" s="35">
        <v>1.0742210607166172</v>
      </c>
      <c r="W1903" s="35">
        <f t="shared" si="181"/>
        <v>498.02098701173554</v>
      </c>
      <c r="X1903" s="35">
        <f t="shared" si="182"/>
        <v>23100.84967606339</v>
      </c>
      <c r="Y1903" s="35">
        <f t="shared" si="183"/>
        <v>27697.913035830861</v>
      </c>
      <c r="Z1903" s="35">
        <f t="shared" si="184"/>
        <v>0</v>
      </c>
      <c r="AA1903" s="35">
        <f t="shared" si="185"/>
        <v>0</v>
      </c>
      <c r="AB1903" s="35">
        <f t="shared" si="186"/>
        <v>1</v>
      </c>
    </row>
    <row r="1904" spans="1:28">
      <c r="A1904" s="35">
        <v>1893</v>
      </c>
      <c r="B1904" s="35">
        <v>3.9062397369998288E-4</v>
      </c>
      <c r="C1904" s="232">
        <v>50.5</v>
      </c>
      <c r="D1904" s="35">
        <v>5.0580989046639226</v>
      </c>
      <c r="E1904" s="232">
        <v>28.91</v>
      </c>
      <c r="F1904" s="35">
        <v>5.0480105382950162</v>
      </c>
      <c r="G1904" s="232">
        <v>9996.1</v>
      </c>
      <c r="H1904" s="35">
        <v>8.8982103301311177</v>
      </c>
      <c r="I1904" s="232">
        <v>10675.68</v>
      </c>
      <c r="J1904" s="35">
        <v>7.487283122058777</v>
      </c>
      <c r="K1904" s="232">
        <v>12460.32</v>
      </c>
      <c r="L1904" s="35">
        <v>8.4980696809888929</v>
      </c>
      <c r="M1904" s="232">
        <v>38241.42</v>
      </c>
      <c r="N1904" s="35">
        <v>7.4403266737201861</v>
      </c>
      <c r="P1904" s="232">
        <v>-21.59</v>
      </c>
      <c r="Q1904" s="35">
        <v>1.0088366368906421E-2</v>
      </c>
      <c r="R1904" s="232">
        <v>679.58</v>
      </c>
      <c r="S1904" s="35">
        <v>1.4109272080723407</v>
      </c>
      <c r="T1904" s="232">
        <v>25781.11</v>
      </c>
      <c r="U1904" s="35">
        <v>1.0577430072687068</v>
      </c>
      <c r="W1904" s="35">
        <f t="shared" si="181"/>
        <v>526.00831844532104</v>
      </c>
      <c r="X1904" s="35">
        <f t="shared" si="182"/>
        <v>69866.780403617042</v>
      </c>
      <c r="Y1904" s="35">
        <f t="shared" si="183"/>
        <v>27106.040363435342</v>
      </c>
      <c r="Z1904" s="35">
        <f t="shared" si="184"/>
        <v>0</v>
      </c>
      <c r="AA1904" s="35">
        <f t="shared" si="185"/>
        <v>1</v>
      </c>
      <c r="AB1904" s="35">
        <f t="shared" si="186"/>
        <v>0</v>
      </c>
    </row>
    <row r="1905" spans="1:28">
      <c r="A1905" s="35">
        <v>1894</v>
      </c>
      <c r="B1905" s="35">
        <v>3.8923340734558072E-4</v>
      </c>
      <c r="C1905" s="232">
        <v>59</v>
      </c>
      <c r="D1905" s="35">
        <v>5.056796287201716</v>
      </c>
      <c r="E1905" s="232">
        <v>35.200000000000003</v>
      </c>
      <c r="F1905" s="35">
        <v>5.0480099071291491</v>
      </c>
      <c r="G1905" s="232">
        <v>12026.25</v>
      </c>
      <c r="H1905" s="35">
        <v>8.4647411458264692</v>
      </c>
      <c r="I1905" s="232">
        <v>12912.54</v>
      </c>
      <c r="J1905" s="35">
        <v>7.1698556979422801</v>
      </c>
      <c r="K1905" s="232">
        <v>15673.01</v>
      </c>
      <c r="L1905" s="35">
        <v>8.1899432096629585</v>
      </c>
      <c r="M1905" s="232">
        <v>41890.379999999997</v>
      </c>
      <c r="N1905" s="35">
        <v>7.0729639895014706</v>
      </c>
      <c r="P1905" s="232">
        <v>-23.8</v>
      </c>
      <c r="Q1905" s="35">
        <v>8.786380072566935E-3</v>
      </c>
      <c r="R1905" s="232">
        <v>886.29</v>
      </c>
      <c r="S1905" s="35">
        <v>1.2948854478841891</v>
      </c>
      <c r="T1905" s="232">
        <v>26217.37</v>
      </c>
      <c r="U1905" s="35">
        <v>1.1169792201614879</v>
      </c>
      <c r="W1905" s="35">
        <f t="shared" si="181"/>
        <v>463.11900362834677</v>
      </c>
      <c r="X1905" s="35">
        <f t="shared" si="182"/>
        <v>63857.982394209459</v>
      </c>
      <c r="Y1905" s="35">
        <f t="shared" si="183"/>
        <v>29631.591008074396</v>
      </c>
      <c r="Z1905" s="35">
        <f t="shared" si="184"/>
        <v>0</v>
      </c>
      <c r="AA1905" s="35">
        <f t="shared" si="185"/>
        <v>1</v>
      </c>
      <c r="AB1905" s="35">
        <f t="shared" si="186"/>
        <v>0</v>
      </c>
    </row>
    <row r="1906" spans="1:28">
      <c r="A1906" s="35">
        <v>1895</v>
      </c>
      <c r="B1906" s="35">
        <v>3.9167765976853407E-4</v>
      </c>
      <c r="C1906" s="232">
        <v>53.38</v>
      </c>
      <c r="D1906" s="35">
        <v>5.0599571398867349</v>
      </c>
      <c r="E1906" s="232">
        <v>34.94</v>
      </c>
      <c r="F1906" s="35">
        <v>5.0508307483980337</v>
      </c>
      <c r="G1906" s="232">
        <v>11386.1</v>
      </c>
      <c r="H1906" s="35">
        <v>9.2668424408542762</v>
      </c>
      <c r="I1906" s="232">
        <v>13625.31</v>
      </c>
      <c r="J1906" s="35">
        <v>9.3314656881521447</v>
      </c>
      <c r="K1906" s="232">
        <v>12463.49</v>
      </c>
      <c r="L1906" s="35">
        <v>8.7047746520076519</v>
      </c>
      <c r="M1906" s="232">
        <v>38398.480000000003</v>
      </c>
      <c r="N1906" s="35">
        <v>7.5977285644775394</v>
      </c>
      <c r="P1906" s="232">
        <v>-18.45</v>
      </c>
      <c r="Q1906" s="35">
        <v>9.1263914887012021E-3</v>
      </c>
      <c r="R1906" s="232">
        <v>2239.21</v>
      </c>
      <c r="S1906" s="35">
        <v>-6.4623247297868502E-2</v>
      </c>
      <c r="T1906" s="232">
        <v>25934.99</v>
      </c>
      <c r="U1906" s="35">
        <v>1.1070460875301125</v>
      </c>
      <c r="W1906" s="35">
        <f t="shared" si="181"/>
        <v>474.76957443506006</v>
      </c>
      <c r="X1906" s="35">
        <f t="shared" si="182"/>
        <v>-5470.3723648934247</v>
      </c>
      <c r="Y1906" s="35">
        <f t="shared" si="183"/>
        <v>29417.314376505619</v>
      </c>
      <c r="Z1906" s="35">
        <f t="shared" si="184"/>
        <v>0</v>
      </c>
      <c r="AA1906" s="35">
        <f t="shared" si="185"/>
        <v>0</v>
      </c>
      <c r="AB1906" s="35">
        <f t="shared" si="186"/>
        <v>1</v>
      </c>
    </row>
    <row r="1907" spans="1:28">
      <c r="A1907" s="35">
        <v>1896</v>
      </c>
      <c r="B1907" s="35">
        <v>5.0192160426476562E-4</v>
      </c>
      <c r="C1907" s="232">
        <v>73.39</v>
      </c>
      <c r="D1907" s="35">
        <v>5.0654961084480945</v>
      </c>
      <c r="E1907" s="232">
        <v>48.06</v>
      </c>
      <c r="F1907" s="35">
        <v>5.0546041942277755</v>
      </c>
      <c r="G1907" s="232">
        <v>11098.91</v>
      </c>
      <c r="H1907" s="35">
        <v>8.9067747291907153</v>
      </c>
      <c r="I1907" s="232">
        <v>11694.03</v>
      </c>
      <c r="J1907" s="35">
        <v>7.4834058281422973</v>
      </c>
      <c r="K1907" s="232">
        <v>14952.81</v>
      </c>
      <c r="L1907" s="35">
        <v>8.8352247933251373</v>
      </c>
      <c r="M1907" s="232">
        <v>41082.92</v>
      </c>
      <c r="N1907" s="35">
        <v>7.6246846152666672</v>
      </c>
      <c r="P1907" s="232">
        <v>-25.32</v>
      </c>
      <c r="Q1907" s="35">
        <v>1.0891914220318988E-2</v>
      </c>
      <c r="R1907" s="232">
        <v>595.13</v>
      </c>
      <c r="S1907" s="35">
        <v>1.4233689010484181</v>
      </c>
      <c r="T1907" s="232">
        <v>26130.11</v>
      </c>
      <c r="U1907" s="35">
        <v>1.2105401780584701</v>
      </c>
      <c r="W1907" s="35">
        <f t="shared" si="181"/>
        <v>569.91571101594946</v>
      </c>
      <c r="X1907" s="35">
        <f t="shared" si="182"/>
        <v>70573.315052420905</v>
      </c>
      <c r="Y1907" s="35">
        <f t="shared" si="183"/>
        <v>34396.898902923509</v>
      </c>
      <c r="Z1907" s="35">
        <f t="shared" si="184"/>
        <v>0</v>
      </c>
      <c r="AA1907" s="35">
        <f t="shared" si="185"/>
        <v>1</v>
      </c>
      <c r="AB1907" s="35">
        <f t="shared" si="186"/>
        <v>0</v>
      </c>
    </row>
    <row r="1908" spans="1:28">
      <c r="A1908" s="35">
        <v>1897</v>
      </c>
      <c r="B1908" s="35">
        <v>5.5675007907707297E-4</v>
      </c>
      <c r="C1908" s="232">
        <v>88.1</v>
      </c>
      <c r="D1908" s="35">
        <v>5.0683464243892082</v>
      </c>
      <c r="E1908" s="232">
        <v>50.96</v>
      </c>
      <c r="F1908" s="35">
        <v>5.0542546320084165</v>
      </c>
      <c r="G1908" s="232">
        <v>12330.12</v>
      </c>
      <c r="H1908" s="35">
        <v>9.1727610621085578</v>
      </c>
      <c r="I1908" s="232">
        <v>13377.8</v>
      </c>
      <c r="J1908" s="35">
        <v>8.0320373310415718</v>
      </c>
      <c r="K1908" s="232">
        <v>14921.18</v>
      </c>
      <c r="L1908" s="35">
        <v>8.5696209555702101</v>
      </c>
      <c r="M1908" s="232">
        <v>41164.19</v>
      </c>
      <c r="N1908" s="35">
        <v>7.4358065233777513</v>
      </c>
      <c r="P1908" s="232">
        <v>-37.14</v>
      </c>
      <c r="Q1908" s="35">
        <v>1.4091792380791723E-2</v>
      </c>
      <c r="R1908" s="232">
        <v>1047.68</v>
      </c>
      <c r="S1908" s="35">
        <v>1.140723731066986</v>
      </c>
      <c r="T1908" s="232">
        <v>26243.01</v>
      </c>
      <c r="U1908" s="35">
        <v>1.1338144321924588</v>
      </c>
      <c r="W1908" s="35">
        <f t="shared" si="181"/>
        <v>741.72961903958617</v>
      </c>
      <c r="X1908" s="35">
        <f t="shared" si="182"/>
        <v>55988.506553349296</v>
      </c>
      <c r="Y1908" s="35">
        <f t="shared" si="183"/>
        <v>30447.71160962294</v>
      </c>
      <c r="Z1908" s="35">
        <f t="shared" si="184"/>
        <v>0</v>
      </c>
      <c r="AA1908" s="35">
        <f t="shared" si="185"/>
        <v>1</v>
      </c>
      <c r="AB1908" s="35">
        <f t="shared" si="186"/>
        <v>0</v>
      </c>
    </row>
    <row r="1909" spans="1:28">
      <c r="A1909" s="35">
        <v>1898</v>
      </c>
      <c r="B1909" s="35">
        <v>4.3306622261234736E-4</v>
      </c>
      <c r="C1909" s="232">
        <v>61.62</v>
      </c>
      <c r="D1909" s="35">
        <v>5.0606016570025512</v>
      </c>
      <c r="E1909" s="232">
        <v>39.1</v>
      </c>
      <c r="F1909" s="35">
        <v>5.0509643543746314</v>
      </c>
      <c r="G1909" s="232">
        <v>11263</v>
      </c>
      <c r="H1909" s="35">
        <v>8.8466972896144096</v>
      </c>
      <c r="I1909" s="232">
        <v>11964.89</v>
      </c>
      <c r="J1909" s="35">
        <v>7.0061071457772144</v>
      </c>
      <c r="K1909" s="232">
        <v>13747.58</v>
      </c>
      <c r="L1909" s="35">
        <v>8.5393310101261264</v>
      </c>
      <c r="M1909" s="232">
        <v>39725.160000000003</v>
      </c>
      <c r="N1909" s="35">
        <v>7.478855438020017</v>
      </c>
      <c r="P1909" s="232">
        <v>-22.52</v>
      </c>
      <c r="Q1909" s="35">
        <v>9.6373026279197305E-3</v>
      </c>
      <c r="R1909" s="232">
        <v>701.89</v>
      </c>
      <c r="S1909" s="35">
        <v>1.8405901438371952</v>
      </c>
      <c r="T1909" s="232">
        <v>25977.57</v>
      </c>
      <c r="U1909" s="35">
        <v>1.0604755721061094</v>
      </c>
      <c r="W1909" s="35">
        <f t="shared" si="181"/>
        <v>504.38513139598649</v>
      </c>
      <c r="X1909" s="35">
        <f t="shared" si="182"/>
        <v>91327.617191859768</v>
      </c>
      <c r="Y1909" s="35">
        <f t="shared" si="183"/>
        <v>27046.208605305474</v>
      </c>
      <c r="Z1909" s="35">
        <f t="shared" si="184"/>
        <v>0</v>
      </c>
      <c r="AA1909" s="35">
        <f t="shared" si="185"/>
        <v>1</v>
      </c>
      <c r="AB1909" s="35">
        <f t="shared" si="186"/>
        <v>0</v>
      </c>
    </row>
    <row r="1910" spans="1:28">
      <c r="A1910" s="35">
        <v>1899</v>
      </c>
      <c r="B1910" s="35">
        <v>3.0809935933633759E-4</v>
      </c>
      <c r="C1910" s="232">
        <v>53.15</v>
      </c>
      <c r="D1910" s="35">
        <v>5.0541989502952802</v>
      </c>
      <c r="E1910" s="232">
        <v>35.93</v>
      </c>
      <c r="F1910" s="35">
        <v>5.0478024176869276</v>
      </c>
      <c r="G1910" s="232">
        <v>12852.6</v>
      </c>
      <c r="H1910" s="35">
        <v>8.7001789113954313</v>
      </c>
      <c r="I1910" s="232">
        <v>14076.31</v>
      </c>
      <c r="J1910" s="35">
        <v>7.9864517983467671</v>
      </c>
      <c r="K1910" s="232">
        <v>17383.57</v>
      </c>
      <c r="L1910" s="35">
        <v>8.7313216673070091</v>
      </c>
      <c r="M1910" s="232">
        <v>43652.06</v>
      </c>
      <c r="N1910" s="35">
        <v>7.5619006210401318</v>
      </c>
      <c r="P1910" s="232">
        <v>-17.23</v>
      </c>
      <c r="Q1910" s="35">
        <v>6.3965326083526008E-3</v>
      </c>
      <c r="R1910" s="232">
        <v>1223.71</v>
      </c>
      <c r="S1910" s="35">
        <v>0.71372711304866421</v>
      </c>
      <c r="T1910" s="232">
        <v>26268.5</v>
      </c>
      <c r="U1910" s="35">
        <v>1.1694210462668773</v>
      </c>
      <c r="W1910" s="35">
        <f t="shared" si="181"/>
        <v>337.05663041763006</v>
      </c>
      <c r="X1910" s="35">
        <f t="shared" si="182"/>
        <v>34462.64565243321</v>
      </c>
      <c r="Y1910" s="35">
        <f t="shared" si="183"/>
        <v>32202.552313343862</v>
      </c>
      <c r="Z1910" s="35">
        <f t="shared" si="184"/>
        <v>0</v>
      </c>
      <c r="AA1910" s="35">
        <f t="shared" si="185"/>
        <v>1</v>
      </c>
      <c r="AB1910" s="35">
        <f t="shared" si="186"/>
        <v>0</v>
      </c>
    </row>
    <row r="1911" spans="1:28">
      <c r="A1911" s="35">
        <v>1900</v>
      </c>
      <c r="B1911" s="35">
        <v>3.5005066534028756E-4</v>
      </c>
      <c r="C1911" s="232">
        <v>51.9</v>
      </c>
      <c r="D1911" s="35">
        <v>5.0570919446304972</v>
      </c>
      <c r="E1911" s="232">
        <v>31.88</v>
      </c>
      <c r="F1911" s="35">
        <v>5.0483431487780885</v>
      </c>
      <c r="G1911" s="232">
        <v>12376.52</v>
      </c>
      <c r="H1911" s="35">
        <v>8.9482808304271213</v>
      </c>
      <c r="I1911" s="232">
        <v>14218.55</v>
      </c>
      <c r="J1911" s="35">
        <v>7.6315838303985988</v>
      </c>
      <c r="K1911" s="232">
        <v>13892.7</v>
      </c>
      <c r="L1911" s="35">
        <v>8.8884600130036358</v>
      </c>
      <c r="M1911" s="232">
        <v>39994.19</v>
      </c>
      <c r="N1911" s="35">
        <v>7.6993081699093251</v>
      </c>
      <c r="P1911" s="232">
        <v>-20.02</v>
      </c>
      <c r="Q1911" s="35">
        <v>8.7487958524086196E-3</v>
      </c>
      <c r="R1911" s="232">
        <v>1842.03</v>
      </c>
      <c r="S1911" s="35">
        <v>1.3166970000285225</v>
      </c>
      <c r="T1911" s="232">
        <v>26101.49</v>
      </c>
      <c r="U1911" s="35">
        <v>1.1891518430943107</v>
      </c>
      <c r="W1911" s="35">
        <f t="shared" si="181"/>
        <v>457.45979262043096</v>
      </c>
      <c r="X1911" s="35">
        <f t="shared" si="182"/>
        <v>63992.820001426124</v>
      </c>
      <c r="Y1911" s="35">
        <f t="shared" si="183"/>
        <v>33356.102154715525</v>
      </c>
      <c r="Z1911" s="35">
        <f t="shared" si="184"/>
        <v>0</v>
      </c>
      <c r="AA1911" s="35">
        <f t="shared" si="185"/>
        <v>1</v>
      </c>
      <c r="AB1911" s="35">
        <f t="shared" si="186"/>
        <v>0</v>
      </c>
    </row>
    <row r="1912" spans="1:28">
      <c r="A1912" s="35">
        <v>1901</v>
      </c>
      <c r="B1912" s="35">
        <v>3.9634393052835349E-4</v>
      </c>
      <c r="C1912" s="232">
        <v>70.790000000000006</v>
      </c>
      <c r="D1912" s="35">
        <v>5.061058064284218</v>
      </c>
      <c r="E1912" s="232">
        <v>42.31</v>
      </c>
      <c r="F1912" s="35">
        <v>5.0505539004555215</v>
      </c>
      <c r="G1912" s="232">
        <v>13876.67</v>
      </c>
      <c r="H1912" s="35">
        <v>9.4126837823943443</v>
      </c>
      <c r="I1912" s="232">
        <v>14648.2</v>
      </c>
      <c r="J1912" s="35">
        <v>8.2035739011540088</v>
      </c>
      <c r="K1912" s="232">
        <v>17308.3</v>
      </c>
      <c r="L1912" s="35">
        <v>9.0928665145665892</v>
      </c>
      <c r="M1912" s="232">
        <v>43452.75</v>
      </c>
      <c r="N1912" s="35">
        <v>8.0257809406077403</v>
      </c>
      <c r="P1912" s="232">
        <v>-28.47</v>
      </c>
      <c r="Q1912" s="35">
        <v>1.0504163828696456E-2</v>
      </c>
      <c r="R1912" s="232">
        <v>771.53</v>
      </c>
      <c r="S1912" s="35">
        <v>1.2091098812403356</v>
      </c>
      <c r="T1912" s="232">
        <v>26144.45</v>
      </c>
      <c r="U1912" s="35">
        <v>1.067085573958849</v>
      </c>
      <c r="W1912" s="35">
        <f t="shared" si="181"/>
        <v>553.67819143482279</v>
      </c>
      <c r="X1912" s="35">
        <f t="shared" si="182"/>
        <v>59683.964062016777</v>
      </c>
      <c r="Y1912" s="35">
        <f t="shared" si="183"/>
        <v>27209.828697942448</v>
      </c>
      <c r="Z1912" s="35">
        <f t="shared" si="184"/>
        <v>0</v>
      </c>
      <c r="AA1912" s="35">
        <f t="shared" si="185"/>
        <v>1</v>
      </c>
      <c r="AB1912" s="35">
        <f t="shared" si="186"/>
        <v>0</v>
      </c>
    </row>
    <row r="1913" spans="1:28">
      <c r="A1913" s="35">
        <v>1902</v>
      </c>
      <c r="B1913" s="35">
        <v>5.2312341297899856E-4</v>
      </c>
      <c r="C1913" s="232">
        <v>70.27</v>
      </c>
      <c r="D1913" s="35">
        <v>5.0640339164388619</v>
      </c>
      <c r="E1913" s="232">
        <v>41.59</v>
      </c>
      <c r="F1913" s="35">
        <v>5.0520134240503198</v>
      </c>
      <c r="G1913" s="232">
        <v>10861.02</v>
      </c>
      <c r="H1913" s="35">
        <v>8.5211387072043951</v>
      </c>
      <c r="I1913" s="232">
        <v>12211.5</v>
      </c>
      <c r="J1913" s="35">
        <v>7.032864892820851</v>
      </c>
      <c r="K1913" s="232">
        <v>12857.97</v>
      </c>
      <c r="L1913" s="35">
        <v>8.5540768792611015</v>
      </c>
      <c r="M1913" s="232">
        <v>38798.79</v>
      </c>
      <c r="N1913" s="35">
        <v>7.5071935649433135</v>
      </c>
      <c r="P1913" s="232">
        <v>-28.68</v>
      </c>
      <c r="Q1913" s="35">
        <v>1.2020492388542081E-2</v>
      </c>
      <c r="R1913" s="232">
        <v>1350.48</v>
      </c>
      <c r="S1913" s="35">
        <v>1.4882738143835441</v>
      </c>
      <c r="T1913" s="232">
        <v>25940.82</v>
      </c>
      <c r="U1913" s="35">
        <v>1.046883314317788</v>
      </c>
      <c r="W1913" s="35">
        <f t="shared" si="181"/>
        <v>629.70461942710403</v>
      </c>
      <c r="X1913" s="35">
        <f t="shared" si="182"/>
        <v>73063.210719177208</v>
      </c>
      <c r="Y1913" s="35">
        <f t="shared" si="183"/>
        <v>26403.345715889402</v>
      </c>
      <c r="Z1913" s="35">
        <f t="shared" si="184"/>
        <v>0</v>
      </c>
      <c r="AA1913" s="35">
        <f t="shared" si="185"/>
        <v>1</v>
      </c>
      <c r="AB1913" s="35">
        <f t="shared" si="186"/>
        <v>0</v>
      </c>
    </row>
    <row r="1914" spans="1:28">
      <c r="A1914" s="35">
        <v>1903</v>
      </c>
      <c r="B1914" s="35">
        <v>4.0906717733383999E-4</v>
      </c>
      <c r="C1914" s="232">
        <v>61.34</v>
      </c>
      <c r="D1914" s="35">
        <v>5.0589333219723116</v>
      </c>
      <c r="E1914" s="232">
        <v>35.04</v>
      </c>
      <c r="F1914" s="35">
        <v>5.0486686087151176</v>
      </c>
      <c r="G1914" s="232">
        <v>11654.99</v>
      </c>
      <c r="H1914" s="35">
        <v>8.7588837997700395</v>
      </c>
      <c r="I1914" s="232">
        <v>12575</v>
      </c>
      <c r="J1914" s="35">
        <v>6.9596717105708104</v>
      </c>
      <c r="K1914" s="232">
        <v>12465.42</v>
      </c>
      <c r="L1914" s="35">
        <v>8.5304040461603279</v>
      </c>
      <c r="M1914" s="232">
        <v>38444.410000000003</v>
      </c>
      <c r="N1914" s="35">
        <v>7.4277774717930765</v>
      </c>
      <c r="P1914" s="232">
        <v>-26.3</v>
      </c>
      <c r="Q1914" s="35">
        <v>1.0264713257194025E-2</v>
      </c>
      <c r="R1914" s="232">
        <v>920.01</v>
      </c>
      <c r="S1914" s="35">
        <v>1.7992120891992291</v>
      </c>
      <c r="T1914" s="232">
        <v>25979</v>
      </c>
      <c r="U1914" s="35">
        <v>1.1026265743672514</v>
      </c>
      <c r="W1914" s="35">
        <f t="shared" si="181"/>
        <v>539.53566285970123</v>
      </c>
      <c r="X1914" s="35">
        <f t="shared" si="182"/>
        <v>89040.59445996146</v>
      </c>
      <c r="Y1914" s="35">
        <f t="shared" si="183"/>
        <v>29152.328718362573</v>
      </c>
      <c r="Z1914" s="35">
        <f t="shared" si="184"/>
        <v>0</v>
      </c>
      <c r="AA1914" s="35">
        <f t="shared" si="185"/>
        <v>1</v>
      </c>
      <c r="AB1914" s="35">
        <f t="shared" si="186"/>
        <v>0</v>
      </c>
    </row>
    <row r="1915" spans="1:28">
      <c r="A1915" s="35">
        <v>1904</v>
      </c>
      <c r="B1915" s="35">
        <v>4.9635420113480766E-4</v>
      </c>
      <c r="C1915" s="232">
        <v>65.88</v>
      </c>
      <c r="D1915" s="35">
        <v>5.0630538946946269</v>
      </c>
      <c r="E1915" s="232">
        <v>40.69</v>
      </c>
      <c r="F1915" s="35">
        <v>5.0520448659407071</v>
      </c>
      <c r="G1915" s="232">
        <v>10785</v>
      </c>
      <c r="H1915" s="35">
        <v>8.860683305729701</v>
      </c>
      <c r="I1915" s="232">
        <v>11884.59</v>
      </c>
      <c r="J1915" s="35">
        <v>7.281962954604456</v>
      </c>
      <c r="K1915" s="232">
        <v>12992.58</v>
      </c>
      <c r="L1915" s="35">
        <v>8.1596221061811267</v>
      </c>
      <c r="M1915" s="232">
        <v>38955.629999999997</v>
      </c>
      <c r="N1915" s="35">
        <v>7.1638912450848995</v>
      </c>
      <c r="P1915" s="232">
        <v>-25.19</v>
      </c>
      <c r="Q1915" s="35">
        <v>1.1009028753919736E-2</v>
      </c>
      <c r="R1915" s="232">
        <v>1099.5999999999999</v>
      </c>
      <c r="S1915" s="35">
        <v>1.578720351125245</v>
      </c>
      <c r="T1915" s="232">
        <v>25963.06</v>
      </c>
      <c r="U1915" s="35">
        <v>0.99573086109622722</v>
      </c>
      <c r="W1915" s="35">
        <f t="shared" si="181"/>
        <v>575.64143769598684</v>
      </c>
      <c r="X1915" s="35">
        <f t="shared" si="182"/>
        <v>77836.41755626224</v>
      </c>
      <c r="Y1915" s="35">
        <f t="shared" si="183"/>
        <v>23823.483054811357</v>
      </c>
      <c r="Z1915" s="35">
        <f t="shared" si="184"/>
        <v>0</v>
      </c>
      <c r="AA1915" s="35">
        <f t="shared" si="185"/>
        <v>1</v>
      </c>
      <c r="AB1915" s="35">
        <f t="shared" si="186"/>
        <v>0</v>
      </c>
    </row>
    <row r="1916" spans="1:28">
      <c r="A1916" s="35">
        <v>1905</v>
      </c>
      <c r="B1916" s="35">
        <v>5.032770716424384E-4</v>
      </c>
      <c r="C1916" s="232">
        <v>93.7</v>
      </c>
      <c r="D1916" s="35">
        <v>5.0641107632497642</v>
      </c>
      <c r="E1916" s="232">
        <v>59.8</v>
      </c>
      <c r="F1916" s="35">
        <v>5.0536112512081166</v>
      </c>
      <c r="G1916" s="232">
        <v>14112.2</v>
      </c>
      <c r="H1916" s="35">
        <v>8.7516915368877086</v>
      </c>
      <c r="I1916" s="232">
        <v>12260.38</v>
      </c>
      <c r="J1916" s="35">
        <v>6.4682582927711412</v>
      </c>
      <c r="K1916" s="232">
        <v>19725.52</v>
      </c>
      <c r="L1916" s="35">
        <v>8.6501201384402844</v>
      </c>
      <c r="M1916" s="232">
        <v>46026.41</v>
      </c>
      <c r="N1916" s="35">
        <v>7.6131713316159875</v>
      </c>
      <c r="P1916" s="232">
        <v>-33.9</v>
      </c>
      <c r="Q1916" s="35">
        <v>1.0499512041647563E-2</v>
      </c>
      <c r="R1916" s="232">
        <v>-1851.82</v>
      </c>
      <c r="S1916" s="35">
        <v>2.2834332441165675</v>
      </c>
      <c r="T1916" s="232">
        <v>26300.89</v>
      </c>
      <c r="U1916" s="35">
        <v>1.0369488068242969</v>
      </c>
      <c r="W1916" s="35">
        <f t="shared" si="181"/>
        <v>558.87560208237812</v>
      </c>
      <c r="X1916" s="35">
        <f t="shared" si="182"/>
        <v>116023.48220582838</v>
      </c>
      <c r="Y1916" s="35">
        <f t="shared" si="183"/>
        <v>25546.550341214846</v>
      </c>
      <c r="Z1916" s="35">
        <f t="shared" si="184"/>
        <v>0</v>
      </c>
      <c r="AA1916" s="35">
        <f t="shared" si="185"/>
        <v>1</v>
      </c>
      <c r="AB1916" s="35">
        <f t="shared" si="186"/>
        <v>0</v>
      </c>
    </row>
    <row r="1917" spans="1:28">
      <c r="A1917" s="35">
        <v>1906</v>
      </c>
      <c r="B1917" s="35">
        <v>4.4224546987362565E-4</v>
      </c>
      <c r="C1917" s="232">
        <v>68.08</v>
      </c>
      <c r="D1917" s="35">
        <v>5.0590131311438498</v>
      </c>
      <c r="E1917" s="232">
        <v>49.56</v>
      </c>
      <c r="F1917" s="35">
        <v>5.0521412261893319</v>
      </c>
      <c r="G1917" s="232">
        <v>11212.84</v>
      </c>
      <c r="H1917" s="35">
        <v>8.1645530935406345</v>
      </c>
      <c r="I1917" s="232">
        <v>11832.06</v>
      </c>
      <c r="J1917" s="35">
        <v>6.8687447331753484</v>
      </c>
      <c r="K1917" s="232">
        <v>14622.85</v>
      </c>
      <c r="L1917" s="35">
        <v>8.3168256797078612</v>
      </c>
      <c r="M1917" s="232">
        <v>40695.71</v>
      </c>
      <c r="N1917" s="35">
        <v>7.2038407596636382</v>
      </c>
      <c r="P1917" s="232">
        <v>-18.52</v>
      </c>
      <c r="Q1917" s="35">
        <v>6.8719049545178379E-3</v>
      </c>
      <c r="R1917" s="232">
        <v>619.23</v>
      </c>
      <c r="S1917" s="35">
        <v>1.2958083603652861</v>
      </c>
      <c r="T1917" s="232">
        <v>26072.85</v>
      </c>
      <c r="U1917" s="35">
        <v>1.112984920044223</v>
      </c>
      <c r="W1917" s="35">
        <f t="shared" si="181"/>
        <v>362.11524772589189</v>
      </c>
      <c r="X1917" s="35">
        <f t="shared" si="182"/>
        <v>64171.1880182643</v>
      </c>
      <c r="Y1917" s="35">
        <f t="shared" si="183"/>
        <v>29576.39600221115</v>
      </c>
      <c r="Z1917" s="35">
        <f t="shared" si="184"/>
        <v>0</v>
      </c>
      <c r="AA1917" s="35">
        <f t="shared" si="185"/>
        <v>1</v>
      </c>
      <c r="AB1917" s="35">
        <f t="shared" si="186"/>
        <v>0</v>
      </c>
    </row>
    <row r="1918" spans="1:28">
      <c r="A1918" s="35">
        <v>1907</v>
      </c>
      <c r="B1918" s="35">
        <v>4.4103876267212634E-4</v>
      </c>
      <c r="C1918" s="232">
        <v>56.51</v>
      </c>
      <c r="D1918" s="35">
        <v>5.0622146393992473</v>
      </c>
      <c r="E1918" s="232">
        <v>39.520000000000003</v>
      </c>
      <c r="F1918" s="35">
        <v>5.0533343034781213</v>
      </c>
      <c r="G1918" s="232">
        <v>9652.17</v>
      </c>
      <c r="H1918" s="35">
        <v>9.0699669508639325</v>
      </c>
      <c r="I1918" s="232">
        <v>11273.74</v>
      </c>
      <c r="J1918" s="35">
        <v>8.0573800826762731</v>
      </c>
      <c r="K1918" s="232">
        <v>10008.74</v>
      </c>
      <c r="L1918" s="35">
        <v>8.620373609785883</v>
      </c>
      <c r="M1918" s="232">
        <v>35950.620000000003</v>
      </c>
      <c r="N1918" s="35">
        <v>7.4631637007317781</v>
      </c>
      <c r="P1918" s="232">
        <v>-16.989999999999998</v>
      </c>
      <c r="Q1918" s="35">
        <v>8.8803359211260258E-3</v>
      </c>
      <c r="R1918" s="232">
        <v>1621.57</v>
      </c>
      <c r="S1918" s="35">
        <v>1.0125868681876593</v>
      </c>
      <c r="T1918" s="232">
        <v>25941.88</v>
      </c>
      <c r="U1918" s="35">
        <v>1.1572099090541048</v>
      </c>
      <c r="W1918" s="35">
        <f t="shared" si="181"/>
        <v>461.00679605630131</v>
      </c>
      <c r="X1918" s="35">
        <f t="shared" si="182"/>
        <v>49007.773409382964</v>
      </c>
      <c r="Y1918" s="35">
        <f t="shared" si="183"/>
        <v>31918.615452705239</v>
      </c>
      <c r="Z1918" s="35">
        <f t="shared" si="184"/>
        <v>0</v>
      </c>
      <c r="AA1918" s="35">
        <f t="shared" si="185"/>
        <v>1</v>
      </c>
      <c r="AB1918" s="35">
        <f t="shared" si="186"/>
        <v>0</v>
      </c>
    </row>
    <row r="1919" spans="1:28">
      <c r="A1919" s="35">
        <v>1908</v>
      </c>
      <c r="B1919" s="35">
        <v>4.9575500399756667E-4</v>
      </c>
      <c r="C1919" s="232">
        <v>69.19</v>
      </c>
      <c r="D1919" s="35">
        <v>5.0654050629194751</v>
      </c>
      <c r="E1919" s="232">
        <v>47.55</v>
      </c>
      <c r="F1919" s="35">
        <v>5.0553548703665694</v>
      </c>
      <c r="G1919" s="232">
        <v>10482.870000000001</v>
      </c>
      <c r="H1919" s="35">
        <v>9.0314163552439037</v>
      </c>
      <c r="I1919" s="232">
        <v>11362.71</v>
      </c>
      <c r="J1919" s="35">
        <v>7.5605218124908165</v>
      </c>
      <c r="K1919" s="232">
        <v>12459.26</v>
      </c>
      <c r="L1919" s="35">
        <v>8.9148264940231954</v>
      </c>
      <c r="M1919" s="232">
        <v>38378.89</v>
      </c>
      <c r="N1919" s="35">
        <v>7.8984782589257208</v>
      </c>
      <c r="P1919" s="232">
        <v>-21.64</v>
      </c>
      <c r="Q1919" s="35">
        <v>1.0050192552905735E-2</v>
      </c>
      <c r="R1919" s="232">
        <v>879.85</v>
      </c>
      <c r="S1919" s="35">
        <v>1.4708945427530873</v>
      </c>
      <c r="T1919" s="232">
        <v>25919.63</v>
      </c>
      <c r="U1919" s="35">
        <v>1.0163482350974746</v>
      </c>
      <c r="W1919" s="35">
        <f t="shared" si="181"/>
        <v>524.14962764528673</v>
      </c>
      <c r="X1919" s="35">
        <f t="shared" si="182"/>
        <v>72664.877137654359</v>
      </c>
      <c r="Y1919" s="35">
        <f t="shared" si="183"/>
        <v>24897.781754873733</v>
      </c>
      <c r="Z1919" s="35">
        <f t="shared" si="184"/>
        <v>0</v>
      </c>
      <c r="AA1919" s="35">
        <f t="shared" si="185"/>
        <v>1</v>
      </c>
      <c r="AB1919" s="35">
        <f t="shared" si="186"/>
        <v>0</v>
      </c>
    </row>
    <row r="1920" spans="1:28">
      <c r="A1920" s="35">
        <v>1909</v>
      </c>
      <c r="B1920" s="35">
        <v>3.7678691208322957E-4</v>
      </c>
      <c r="C1920" s="232">
        <v>64.900000000000006</v>
      </c>
      <c r="D1920" s="35">
        <v>5.0587782911170089</v>
      </c>
      <c r="E1920" s="232">
        <v>39.07</v>
      </c>
      <c r="F1920" s="35">
        <v>5.0493022647801062</v>
      </c>
      <c r="G1920" s="232">
        <v>13629.51</v>
      </c>
      <c r="H1920" s="35">
        <v>9.1739143229936797</v>
      </c>
      <c r="I1920" s="232">
        <v>14859.01</v>
      </c>
      <c r="J1920" s="35">
        <v>8.2348946107941163</v>
      </c>
      <c r="K1920" s="232">
        <v>17114.71</v>
      </c>
      <c r="L1920" s="35">
        <v>8.691565172819093</v>
      </c>
      <c r="M1920" s="232">
        <v>43276.92</v>
      </c>
      <c r="N1920" s="35">
        <v>7.5893399337915257</v>
      </c>
      <c r="P1920" s="232">
        <v>-25.82</v>
      </c>
      <c r="Q1920" s="35">
        <v>9.4760263369026987E-3</v>
      </c>
      <c r="R1920" s="232">
        <v>1229.5</v>
      </c>
      <c r="S1920" s="35">
        <v>0.93901971219956337</v>
      </c>
      <c r="T1920" s="232">
        <v>26162.21</v>
      </c>
      <c r="U1920" s="35">
        <v>1.1022252390275673</v>
      </c>
      <c r="W1920" s="35">
        <f t="shared" si="181"/>
        <v>499.62131684513491</v>
      </c>
      <c r="X1920" s="35">
        <f t="shared" si="182"/>
        <v>45721.485609978168</v>
      </c>
      <c r="Y1920" s="35">
        <f t="shared" si="183"/>
        <v>28949.051951378366</v>
      </c>
      <c r="Z1920" s="35">
        <f t="shared" si="184"/>
        <v>0</v>
      </c>
      <c r="AA1920" s="35">
        <f t="shared" si="185"/>
        <v>1</v>
      </c>
      <c r="AB1920" s="35">
        <f t="shared" si="186"/>
        <v>0</v>
      </c>
    </row>
    <row r="1921" spans="1:28">
      <c r="A1921" s="35">
        <v>1910</v>
      </c>
      <c r="B1921" s="35">
        <v>4.1859596705518253E-4</v>
      </c>
      <c r="C1921" s="232">
        <v>73.209999999999994</v>
      </c>
      <c r="D1921" s="35">
        <v>5.0602918866471338</v>
      </c>
      <c r="E1921" s="232">
        <v>39.97</v>
      </c>
      <c r="F1921" s="35">
        <v>5.0490155496829949</v>
      </c>
      <c r="G1921" s="232">
        <v>13741.13</v>
      </c>
      <c r="H1921" s="35">
        <v>8.7700599687245688</v>
      </c>
      <c r="I1921" s="232">
        <v>14868.1</v>
      </c>
      <c r="J1921" s="35">
        <v>7.7711978871951324</v>
      </c>
      <c r="K1921" s="232">
        <v>17927.060000000001</v>
      </c>
      <c r="L1921" s="35">
        <v>8.9916734205973174</v>
      </c>
      <c r="M1921" s="232">
        <v>44275.25</v>
      </c>
      <c r="N1921" s="35">
        <v>7.8293531973010051</v>
      </c>
      <c r="P1921" s="232">
        <v>-33.24</v>
      </c>
      <c r="Q1921" s="35">
        <v>1.1276336964138878E-2</v>
      </c>
      <c r="R1921" s="232">
        <v>1126.97</v>
      </c>
      <c r="S1921" s="35">
        <v>0.99886208152943645</v>
      </c>
      <c r="T1921" s="232">
        <v>26348.19</v>
      </c>
      <c r="U1921" s="35">
        <v>1.1623202232963123</v>
      </c>
      <c r="W1921" s="35">
        <f t="shared" si="181"/>
        <v>597.05684820694387</v>
      </c>
      <c r="X1921" s="35">
        <f t="shared" si="182"/>
        <v>48816.134076471819</v>
      </c>
      <c r="Y1921" s="35">
        <f t="shared" si="183"/>
        <v>31767.821164815618</v>
      </c>
      <c r="Z1921" s="35">
        <f t="shared" si="184"/>
        <v>0</v>
      </c>
      <c r="AA1921" s="35">
        <f t="shared" si="185"/>
        <v>1</v>
      </c>
      <c r="AB1921" s="35">
        <f t="shared" si="186"/>
        <v>0</v>
      </c>
    </row>
    <row r="1922" spans="1:28">
      <c r="A1922" s="35">
        <v>1911</v>
      </c>
      <c r="B1922" s="35">
        <v>4.5874841124937671E-4</v>
      </c>
      <c r="C1922" s="232">
        <v>82.89</v>
      </c>
      <c r="D1922" s="35">
        <v>5.0621096037379196</v>
      </c>
      <c r="E1922" s="232">
        <v>48.74</v>
      </c>
      <c r="F1922" s="35">
        <v>5.0510749848141678</v>
      </c>
      <c r="G1922" s="232">
        <v>13788.05</v>
      </c>
      <c r="H1922" s="35">
        <v>8.778421212464286</v>
      </c>
      <c r="I1922" s="232">
        <v>14343.89</v>
      </c>
      <c r="J1922" s="35">
        <v>7.7627255302309912</v>
      </c>
      <c r="K1922" s="232">
        <v>19885.12</v>
      </c>
      <c r="L1922" s="35">
        <v>8.7057358435237475</v>
      </c>
      <c r="M1922" s="232">
        <v>46165.599999999999</v>
      </c>
      <c r="N1922" s="35">
        <v>7.6482724235687636</v>
      </c>
      <c r="P1922" s="232">
        <v>-34.15</v>
      </c>
      <c r="Q1922" s="35">
        <v>1.1034618923751793E-2</v>
      </c>
      <c r="R1922" s="232">
        <v>555.84</v>
      </c>
      <c r="S1922" s="35">
        <v>1.0156956822332948</v>
      </c>
      <c r="T1922" s="232">
        <v>26280.49</v>
      </c>
      <c r="U1922" s="35">
        <v>1.0574634199549839</v>
      </c>
      <c r="W1922" s="35">
        <f t="shared" si="181"/>
        <v>585.88094618758964</v>
      </c>
      <c r="X1922" s="35">
        <f t="shared" si="182"/>
        <v>50228.944111664743</v>
      </c>
      <c r="Y1922" s="35">
        <f t="shared" si="183"/>
        <v>26592.680997749198</v>
      </c>
      <c r="Z1922" s="35">
        <f t="shared" si="184"/>
        <v>0</v>
      </c>
      <c r="AA1922" s="35">
        <f t="shared" si="185"/>
        <v>1</v>
      </c>
      <c r="AB1922" s="35">
        <f t="shared" si="186"/>
        <v>0</v>
      </c>
    </row>
    <row r="1923" spans="1:28">
      <c r="A1923" s="35">
        <v>1912</v>
      </c>
      <c r="B1923" s="35">
        <v>4.3023332790888562E-4</v>
      </c>
      <c r="C1923" s="232">
        <v>54.95</v>
      </c>
      <c r="D1923" s="35">
        <v>5.062321994746914</v>
      </c>
      <c r="E1923" s="232">
        <v>33.619999999999997</v>
      </c>
      <c r="F1923" s="35">
        <v>5.0512247639482144</v>
      </c>
      <c r="G1923" s="232">
        <v>9965.0400000000009</v>
      </c>
      <c r="H1923" s="35">
        <v>9.2559007561993063</v>
      </c>
      <c r="I1923" s="232">
        <v>11831.04</v>
      </c>
      <c r="J1923" s="35">
        <v>8.6178868120380923</v>
      </c>
      <c r="K1923" s="232">
        <v>10954</v>
      </c>
      <c r="L1923" s="35">
        <v>8.8937149275093326</v>
      </c>
      <c r="M1923" s="232">
        <v>36974.120000000003</v>
      </c>
      <c r="N1923" s="35">
        <v>7.830549830506099</v>
      </c>
      <c r="P1923" s="232">
        <v>-21.33</v>
      </c>
      <c r="Q1923" s="35">
        <v>1.109723079869962E-2</v>
      </c>
      <c r="R1923" s="232">
        <v>1866</v>
      </c>
      <c r="S1923" s="35">
        <v>0.63801394416121404</v>
      </c>
      <c r="T1923" s="232">
        <v>26020.12</v>
      </c>
      <c r="U1923" s="35">
        <v>1.0631650970032336</v>
      </c>
      <c r="W1923" s="35">
        <f t="shared" si="181"/>
        <v>576.19153993498105</v>
      </c>
      <c r="X1923" s="35">
        <f t="shared" si="182"/>
        <v>30034.697208060701</v>
      </c>
      <c r="Y1923" s="35">
        <f t="shared" si="183"/>
        <v>27138.134850161678</v>
      </c>
      <c r="Z1923" s="35">
        <f t="shared" si="184"/>
        <v>0</v>
      </c>
      <c r="AA1923" s="35">
        <f t="shared" si="185"/>
        <v>1</v>
      </c>
      <c r="AB1923" s="35">
        <f t="shared" si="186"/>
        <v>0</v>
      </c>
    </row>
    <row r="1924" spans="1:28">
      <c r="A1924" s="35">
        <v>1913</v>
      </c>
      <c r="B1924" s="35">
        <v>5.278956400532886E-4</v>
      </c>
      <c r="C1924" s="232">
        <v>65.94</v>
      </c>
      <c r="D1924" s="35">
        <v>5.0615236074399155</v>
      </c>
      <c r="E1924" s="232">
        <v>40.61</v>
      </c>
      <c r="F1924" s="35">
        <v>5.0511441290880068</v>
      </c>
      <c r="G1924" s="232">
        <v>9891.36</v>
      </c>
      <c r="H1924" s="35">
        <v>7.7012790149696588</v>
      </c>
      <c r="I1924" s="232">
        <v>11495.39</v>
      </c>
      <c r="J1924" s="35">
        <v>6.4783056011744904</v>
      </c>
      <c r="K1924" s="232">
        <v>11601.13</v>
      </c>
      <c r="L1924" s="35">
        <v>8.536551654096602</v>
      </c>
      <c r="M1924" s="232">
        <v>37464.839999999997</v>
      </c>
      <c r="N1924" s="35">
        <v>7.4568103144803155</v>
      </c>
      <c r="P1924" s="232">
        <v>-25.33</v>
      </c>
      <c r="Q1924" s="35">
        <v>1.0379478351908666E-2</v>
      </c>
      <c r="R1924" s="232">
        <v>1604.03</v>
      </c>
      <c r="S1924" s="35">
        <v>1.2229734137951684</v>
      </c>
      <c r="T1924" s="232">
        <v>25863.71</v>
      </c>
      <c r="U1924" s="35">
        <v>1.0797413396162865</v>
      </c>
      <c r="W1924" s="35">
        <f t="shared" si="181"/>
        <v>544.3039175954334</v>
      </c>
      <c r="X1924" s="35">
        <f t="shared" si="182"/>
        <v>59544.640689758424</v>
      </c>
      <c r="Y1924" s="35">
        <f t="shared" si="183"/>
        <v>28123.356980814322</v>
      </c>
      <c r="Z1924" s="35">
        <f t="shared" si="184"/>
        <v>0</v>
      </c>
      <c r="AA1924" s="35">
        <f t="shared" si="185"/>
        <v>1</v>
      </c>
      <c r="AB1924" s="35">
        <f t="shared" si="186"/>
        <v>0</v>
      </c>
    </row>
    <row r="1925" spans="1:28">
      <c r="A1925" s="35">
        <v>1914</v>
      </c>
      <c r="B1925" s="35">
        <v>4.8820079063871535E-4</v>
      </c>
      <c r="C1925" s="232">
        <v>72.19</v>
      </c>
      <c r="D1925" s="35">
        <v>5.0642274645371765</v>
      </c>
      <c r="E1925" s="232">
        <v>50.67</v>
      </c>
      <c r="F1925" s="35">
        <v>5.0550486260845968</v>
      </c>
      <c r="G1925" s="232">
        <v>11646.49</v>
      </c>
      <c r="H1925" s="35">
        <v>9.0229944499468182</v>
      </c>
      <c r="I1925" s="232">
        <v>12805.55</v>
      </c>
      <c r="J1925" s="35">
        <v>7.6894631868625964</v>
      </c>
      <c r="K1925" s="232">
        <v>14086.27</v>
      </c>
      <c r="L1925" s="35">
        <v>8.4856577619410984</v>
      </c>
      <c r="M1925" s="232">
        <v>40236.99</v>
      </c>
      <c r="N1925" s="35">
        <v>7.3932026856105422</v>
      </c>
      <c r="P1925" s="232">
        <v>-21.53</v>
      </c>
      <c r="Q1925" s="35">
        <v>9.1788384525797184E-3</v>
      </c>
      <c r="R1925" s="232">
        <v>1159.06</v>
      </c>
      <c r="S1925" s="35">
        <v>1.3335312630842218</v>
      </c>
      <c r="T1925" s="232">
        <v>26150.720000000001</v>
      </c>
      <c r="U1925" s="35">
        <v>1.0924550763305563</v>
      </c>
      <c r="W1925" s="35">
        <f t="shared" si="181"/>
        <v>480.47192262898591</v>
      </c>
      <c r="X1925" s="35">
        <f t="shared" si="182"/>
        <v>65517.503154211096</v>
      </c>
      <c r="Y1925" s="35">
        <f t="shared" si="183"/>
        <v>28472.033816527815</v>
      </c>
      <c r="Z1925" s="35">
        <f t="shared" si="184"/>
        <v>0</v>
      </c>
      <c r="AA1925" s="35">
        <f t="shared" si="185"/>
        <v>1</v>
      </c>
      <c r="AB1925" s="35">
        <f t="shared" si="186"/>
        <v>0</v>
      </c>
    </row>
    <row r="1926" spans="1:28">
      <c r="A1926" s="35">
        <v>1915</v>
      </c>
      <c r="B1926" s="35">
        <v>5.2864631468640955E-4</v>
      </c>
      <c r="C1926" s="232">
        <v>105.12</v>
      </c>
      <c r="D1926" s="35">
        <v>5.065740349806295</v>
      </c>
      <c r="E1926" s="232">
        <v>63.44</v>
      </c>
      <c r="F1926" s="35">
        <v>5.0537403550710795</v>
      </c>
      <c r="G1926" s="232">
        <v>15135.53</v>
      </c>
      <c r="H1926" s="35">
        <v>8.5122369340801445</v>
      </c>
      <c r="I1926" s="232">
        <v>15082.23</v>
      </c>
      <c r="J1926" s="35">
        <v>7.0372995267240448</v>
      </c>
      <c r="K1926" s="232">
        <v>21767.38</v>
      </c>
      <c r="L1926" s="35">
        <v>9.0646076156525801</v>
      </c>
      <c r="M1926" s="232">
        <v>48135.97</v>
      </c>
      <c r="N1926" s="35">
        <v>8.0057758010041784</v>
      </c>
      <c r="P1926" s="232">
        <v>-41.67</v>
      </c>
      <c r="Q1926" s="35">
        <v>1.1999994735215402E-2</v>
      </c>
      <c r="R1926" s="232">
        <v>-53.3</v>
      </c>
      <c r="S1926" s="35">
        <v>1.4749374073560997</v>
      </c>
      <c r="T1926" s="232">
        <v>26368.58</v>
      </c>
      <c r="U1926" s="35">
        <v>1.0588318146484017</v>
      </c>
      <c r="W1926" s="35">
        <f t="shared" si="181"/>
        <v>641.66973676077009</v>
      </c>
      <c r="X1926" s="35">
        <f t="shared" si="182"/>
        <v>73800.170367804982</v>
      </c>
      <c r="Y1926" s="35">
        <f t="shared" si="183"/>
        <v>26573.01073242008</v>
      </c>
      <c r="Z1926" s="35">
        <f t="shared" si="184"/>
        <v>0</v>
      </c>
      <c r="AA1926" s="35">
        <f t="shared" si="185"/>
        <v>1</v>
      </c>
      <c r="AB1926" s="35">
        <f t="shared" si="186"/>
        <v>0</v>
      </c>
    </row>
    <row r="1927" spans="1:28">
      <c r="A1927" s="35">
        <v>1916</v>
      </c>
      <c r="B1927" s="35">
        <v>3.9537234606998979E-4</v>
      </c>
      <c r="C1927" s="232">
        <v>70.73</v>
      </c>
      <c r="D1927" s="35">
        <v>5.0569983385587802</v>
      </c>
      <c r="E1927" s="232">
        <v>42.49</v>
      </c>
      <c r="F1927" s="35">
        <v>5.0483937230563987</v>
      </c>
      <c r="G1927" s="232">
        <v>13155.76</v>
      </c>
      <c r="H1927" s="35">
        <v>8.3196750282655838</v>
      </c>
      <c r="I1927" s="232">
        <v>11849.21</v>
      </c>
      <c r="J1927" s="35">
        <v>6.3999495878706174</v>
      </c>
      <c r="K1927" s="232">
        <v>18788.97</v>
      </c>
      <c r="L1927" s="35">
        <v>8.3894580287425136</v>
      </c>
      <c r="M1927" s="232">
        <v>45144.18</v>
      </c>
      <c r="N1927" s="35">
        <v>7.2627931556871319</v>
      </c>
      <c r="P1927" s="232">
        <v>-28.24</v>
      </c>
      <c r="Q1927" s="35">
        <v>8.6046155023815629E-3</v>
      </c>
      <c r="R1927" s="232">
        <v>-1306.55</v>
      </c>
      <c r="S1927" s="35">
        <v>1.9197254403949664</v>
      </c>
      <c r="T1927" s="232">
        <v>26355.21</v>
      </c>
      <c r="U1927" s="35">
        <v>1.1266648730553817</v>
      </c>
      <c r="W1927" s="35">
        <f t="shared" si="181"/>
        <v>458.47077511907816</v>
      </c>
      <c r="X1927" s="35">
        <f t="shared" si="182"/>
        <v>97292.822019748317</v>
      </c>
      <c r="Y1927" s="35">
        <f t="shared" si="183"/>
        <v>29978.033652769082</v>
      </c>
      <c r="Z1927" s="35">
        <f t="shared" si="184"/>
        <v>0</v>
      </c>
      <c r="AA1927" s="35">
        <f t="shared" si="185"/>
        <v>1</v>
      </c>
      <c r="AB1927" s="35">
        <f t="shared" si="186"/>
        <v>0</v>
      </c>
    </row>
    <row r="1928" spans="1:28">
      <c r="A1928" s="35">
        <v>1917</v>
      </c>
      <c r="B1928" s="35">
        <v>4.4745709316929005E-4</v>
      </c>
      <c r="C1928" s="232">
        <v>49.03</v>
      </c>
      <c r="D1928" s="35">
        <v>5.0634299476069504</v>
      </c>
      <c r="E1928" s="232">
        <v>31.83</v>
      </c>
      <c r="F1928" s="35">
        <v>5.0525781525282163</v>
      </c>
      <c r="G1928" s="232">
        <v>8498.9500000000007</v>
      </c>
      <c r="H1928" s="35">
        <v>9.1251205046865227</v>
      </c>
      <c r="I1928" s="232">
        <v>10359.950000000001</v>
      </c>
      <c r="J1928" s="35">
        <v>8.337638835870349</v>
      </c>
      <c r="K1928" s="232">
        <v>9142.02</v>
      </c>
      <c r="L1928" s="35">
        <v>9.0909007581357564</v>
      </c>
      <c r="M1928" s="232">
        <v>34811.18</v>
      </c>
      <c r="N1928" s="35">
        <v>7.9590173307961356</v>
      </c>
      <c r="P1928" s="232">
        <v>-17.2</v>
      </c>
      <c r="Q1928" s="35">
        <v>1.0851795078734128E-2</v>
      </c>
      <c r="R1928" s="232">
        <v>1861</v>
      </c>
      <c r="S1928" s="35">
        <v>0.78748166881617365</v>
      </c>
      <c r="T1928" s="232">
        <v>25669.16</v>
      </c>
      <c r="U1928" s="35">
        <v>1.1318834273396208</v>
      </c>
      <c r="W1928" s="35">
        <f t="shared" si="181"/>
        <v>559.78975393670646</v>
      </c>
      <c r="X1928" s="35">
        <f t="shared" si="182"/>
        <v>37513.083440808681</v>
      </c>
      <c r="Y1928" s="35">
        <f t="shared" si="183"/>
        <v>30925.011366981042</v>
      </c>
      <c r="Z1928" s="35">
        <f t="shared" si="184"/>
        <v>0</v>
      </c>
      <c r="AA1928" s="35">
        <f t="shared" si="185"/>
        <v>1</v>
      </c>
      <c r="AB1928" s="35">
        <f t="shared" si="186"/>
        <v>0</v>
      </c>
    </row>
    <row r="1929" spans="1:28">
      <c r="A1929" s="35">
        <v>1918</v>
      </c>
      <c r="B1929" s="35">
        <v>3.8839953235150651E-4</v>
      </c>
      <c r="C1929" s="232">
        <v>70.5</v>
      </c>
      <c r="D1929" s="35">
        <v>5.061321386394054</v>
      </c>
      <c r="E1929" s="232">
        <v>46.34</v>
      </c>
      <c r="F1929" s="35">
        <v>5.052085972634484</v>
      </c>
      <c r="G1929" s="232">
        <v>13710.3</v>
      </c>
      <c r="H1929" s="35">
        <v>9.6308479955422204</v>
      </c>
      <c r="I1929" s="232">
        <v>13727.45</v>
      </c>
      <c r="J1929" s="35">
        <v>8.0612240742606751</v>
      </c>
      <c r="K1929" s="232">
        <v>16793.03</v>
      </c>
      <c r="L1929" s="35">
        <v>9.050482918408969</v>
      </c>
      <c r="M1929" s="232">
        <v>42969.599999999999</v>
      </c>
      <c r="N1929" s="35">
        <v>8.0044882466047458</v>
      </c>
      <c r="P1929" s="232">
        <v>-24.16</v>
      </c>
      <c r="Q1929" s="35">
        <v>9.2354137595700436E-3</v>
      </c>
      <c r="R1929" s="232">
        <v>17.149999999999999</v>
      </c>
      <c r="S1929" s="35">
        <v>1.5696239212815453</v>
      </c>
      <c r="T1929" s="232">
        <v>26176.58</v>
      </c>
      <c r="U1929" s="35">
        <v>1.0459946718042232</v>
      </c>
      <c r="W1929" s="35">
        <f t="shared" si="181"/>
        <v>485.93068797850219</v>
      </c>
      <c r="X1929" s="35">
        <f t="shared" si="182"/>
        <v>78464.046064077265</v>
      </c>
      <c r="Y1929" s="35">
        <f t="shared" si="183"/>
        <v>26123.153590211157</v>
      </c>
      <c r="Z1929" s="35">
        <f t="shared" si="184"/>
        <v>0</v>
      </c>
      <c r="AA1929" s="35">
        <f t="shared" si="185"/>
        <v>1</v>
      </c>
      <c r="AB1929" s="35">
        <f t="shared" si="186"/>
        <v>0</v>
      </c>
    </row>
    <row r="1930" spans="1:28">
      <c r="A1930" s="35">
        <v>1919</v>
      </c>
      <c r="B1930" s="35">
        <v>4.189214349122258E-4</v>
      </c>
      <c r="C1930" s="232">
        <v>61.58</v>
      </c>
      <c r="D1930" s="35">
        <v>5.0602528307143659</v>
      </c>
      <c r="E1930" s="232">
        <v>36.31</v>
      </c>
      <c r="F1930" s="35">
        <v>5.0497598796977794</v>
      </c>
      <c r="G1930" s="232">
        <v>11796.52</v>
      </c>
      <c r="H1930" s="35">
        <v>9.0317925109620045</v>
      </c>
      <c r="I1930" s="232">
        <v>13659.68</v>
      </c>
      <c r="J1930" s="35">
        <v>8.0941520254676877</v>
      </c>
      <c r="K1930" s="232">
        <v>11981.12</v>
      </c>
      <c r="L1930" s="35">
        <v>8.471060392105791</v>
      </c>
      <c r="M1930" s="232">
        <v>37909.22</v>
      </c>
      <c r="N1930" s="35">
        <v>7.3760295542165188</v>
      </c>
      <c r="P1930" s="232">
        <v>-25.27</v>
      </c>
      <c r="Q1930" s="35">
        <v>1.0492951016586538E-2</v>
      </c>
      <c r="R1930" s="232">
        <v>1863.17</v>
      </c>
      <c r="S1930" s="35">
        <v>0.93764048549431678</v>
      </c>
      <c r="T1930" s="232">
        <v>25928.1</v>
      </c>
      <c r="U1930" s="35">
        <v>1.0950308378892721</v>
      </c>
      <c r="W1930" s="35">
        <f t="shared" si="181"/>
        <v>549.91755082932684</v>
      </c>
      <c r="X1930" s="35">
        <f t="shared" si="182"/>
        <v>45018.854274715843</v>
      </c>
      <c r="Y1930" s="35">
        <f t="shared" si="183"/>
        <v>28823.441894463605</v>
      </c>
      <c r="Z1930" s="35">
        <f t="shared" si="184"/>
        <v>0</v>
      </c>
      <c r="AA1930" s="35">
        <f t="shared" si="185"/>
        <v>1</v>
      </c>
      <c r="AB1930" s="35">
        <f t="shared" si="186"/>
        <v>0</v>
      </c>
    </row>
    <row r="1931" spans="1:28">
      <c r="A1931" s="35">
        <v>1920</v>
      </c>
      <c r="B1931" s="35">
        <v>4.2455449726957442E-4</v>
      </c>
      <c r="C1931" s="232">
        <v>64.17</v>
      </c>
      <c r="D1931" s="35">
        <v>5.0591648054044391</v>
      </c>
      <c r="E1931" s="232">
        <v>37.83</v>
      </c>
      <c r="F1931" s="35">
        <v>5.049231643578727</v>
      </c>
      <c r="G1931" s="232">
        <v>12277.74</v>
      </c>
      <c r="H1931" s="35">
        <v>8.6105882326664691</v>
      </c>
      <c r="I1931" s="232">
        <v>14076.98</v>
      </c>
      <c r="J1931" s="35">
        <v>7.9370464962977225</v>
      </c>
      <c r="K1931" s="232">
        <v>14465.83</v>
      </c>
      <c r="L1931" s="35">
        <v>8.4849594405979119</v>
      </c>
      <c r="M1931" s="232">
        <v>40484.699999999997</v>
      </c>
      <c r="N1931" s="35">
        <v>7.3603120220274851</v>
      </c>
      <c r="P1931" s="232">
        <v>-26.34</v>
      </c>
      <c r="Q1931" s="35">
        <v>9.9331618257121335E-3</v>
      </c>
      <c r="R1931" s="232">
        <v>1799.23</v>
      </c>
      <c r="S1931" s="35">
        <v>0.67354173636874659</v>
      </c>
      <c r="T1931" s="232">
        <v>26018.87</v>
      </c>
      <c r="U1931" s="35">
        <v>1.1246474185704267</v>
      </c>
      <c r="W1931" s="35">
        <f t="shared" si="181"/>
        <v>522.99809128560673</v>
      </c>
      <c r="X1931" s="35">
        <f t="shared" si="182"/>
        <v>31877.856818437333</v>
      </c>
      <c r="Y1931" s="35">
        <f t="shared" si="183"/>
        <v>30213.500928521335</v>
      </c>
      <c r="Z1931" s="35">
        <f t="shared" si="184"/>
        <v>0</v>
      </c>
      <c r="AA1931" s="35">
        <f t="shared" si="185"/>
        <v>1</v>
      </c>
      <c r="AB1931" s="35">
        <f t="shared" si="186"/>
        <v>0</v>
      </c>
    </row>
    <row r="1932" spans="1:28">
      <c r="A1932" s="35">
        <v>1921</v>
      </c>
      <c r="B1932" s="35">
        <v>4.8226432518372331E-4</v>
      </c>
      <c r="C1932" s="232">
        <v>62.1</v>
      </c>
      <c r="D1932" s="35">
        <v>5.0637431163780553</v>
      </c>
      <c r="E1932" s="232">
        <v>42.22</v>
      </c>
      <c r="F1932" s="35">
        <v>5.0539533490194914</v>
      </c>
      <c r="G1932" s="232">
        <v>10135.94</v>
      </c>
      <c r="H1932" s="35">
        <v>8.9075704149324846</v>
      </c>
      <c r="I1932" s="232">
        <v>11376.52</v>
      </c>
      <c r="J1932" s="35">
        <v>7.6101111846533573</v>
      </c>
      <c r="K1932" s="232">
        <v>12616.68</v>
      </c>
      <c r="L1932" s="35">
        <v>8.6334851768814236</v>
      </c>
      <c r="M1932" s="232">
        <v>38596.28</v>
      </c>
      <c r="N1932" s="35">
        <v>7.5497545894016165</v>
      </c>
      <c r="P1932" s="232">
        <v>-19.88</v>
      </c>
      <c r="Q1932" s="35">
        <v>9.7897673585638501E-3</v>
      </c>
      <c r="R1932" s="232">
        <v>1240.58</v>
      </c>
      <c r="S1932" s="35">
        <v>1.2974592302791272</v>
      </c>
      <c r="T1932" s="232">
        <v>25979.59</v>
      </c>
      <c r="U1932" s="35">
        <v>1.0837305874798071</v>
      </c>
      <c r="W1932" s="35">
        <f t="shared" ref="W1932:W1995" si="187">$X$2*Q1932-P1932</f>
        <v>509.36836792819247</v>
      </c>
      <c r="X1932" s="35">
        <f t="shared" ref="X1932:X1995" si="188">$X$2*S1932-R1932</f>
        <v>63632.381513956359</v>
      </c>
      <c r="Y1932" s="35">
        <f t="shared" ref="Y1932:Y1995" si="189">$X$2*U1932-T1932</f>
        <v>28206.939373990357</v>
      </c>
      <c r="Z1932" s="35">
        <f t="shared" ref="Z1932:Z1995" si="190">IF(W1932=MAX($W1932:$Y1932), 1, 0)</f>
        <v>0</v>
      </c>
      <c r="AA1932" s="35">
        <f t="shared" ref="AA1932:AA1995" si="191">IF(X1932=MAX($W1932:$Y1932), 1, 0)</f>
        <v>1</v>
      </c>
      <c r="AB1932" s="35">
        <f t="shared" ref="AB1932:AB1995" si="192">IF(Y1932=MAX($W1932:$Y1932), 1, 0)</f>
        <v>0</v>
      </c>
    </row>
    <row r="1933" spans="1:28">
      <c r="A1933" s="35">
        <v>1922</v>
      </c>
      <c r="B1933" s="35">
        <v>5.4775170556153885E-4</v>
      </c>
      <c r="C1933" s="232">
        <v>79.08</v>
      </c>
      <c r="D1933" s="35">
        <v>5.0637904153781559</v>
      </c>
      <c r="E1933" s="232">
        <v>46.55</v>
      </c>
      <c r="F1933" s="35">
        <v>5.0519500224687333</v>
      </c>
      <c r="G1933" s="232">
        <v>10325.31</v>
      </c>
      <c r="H1933" s="35">
        <v>8.2404477712389816</v>
      </c>
      <c r="I1933" s="232">
        <v>10712.52</v>
      </c>
      <c r="J1933" s="35">
        <v>7.2829821546416573</v>
      </c>
      <c r="K1933" s="232">
        <v>16719.21</v>
      </c>
      <c r="L1933" s="35">
        <v>8.2134718163952574</v>
      </c>
      <c r="M1933" s="232">
        <v>42885.38</v>
      </c>
      <c r="N1933" s="35">
        <v>7.0559067519745229</v>
      </c>
      <c r="P1933" s="232">
        <v>-32.53</v>
      </c>
      <c r="Q1933" s="35">
        <v>1.1840392909422626E-2</v>
      </c>
      <c r="R1933" s="232">
        <v>387.21</v>
      </c>
      <c r="S1933" s="35">
        <v>0.95746561659732432</v>
      </c>
      <c r="T1933" s="232">
        <v>26166.17</v>
      </c>
      <c r="U1933" s="35">
        <v>1.1575650644207345</v>
      </c>
      <c r="W1933" s="35">
        <f t="shared" si="187"/>
        <v>624.54964547113127</v>
      </c>
      <c r="X1933" s="35">
        <f t="shared" si="188"/>
        <v>47486.070829866214</v>
      </c>
      <c r="Y1933" s="35">
        <f t="shared" si="189"/>
        <v>31712.083221036723</v>
      </c>
      <c r="Z1933" s="35">
        <f t="shared" si="190"/>
        <v>0</v>
      </c>
      <c r="AA1933" s="35">
        <f t="shared" si="191"/>
        <v>1</v>
      </c>
      <c r="AB1933" s="35">
        <f t="shared" si="192"/>
        <v>0</v>
      </c>
    </row>
    <row r="1934" spans="1:28">
      <c r="A1934" s="35">
        <v>1923</v>
      </c>
      <c r="B1934" s="35">
        <v>4.1522421019839239E-4</v>
      </c>
      <c r="C1934" s="232">
        <v>56.86</v>
      </c>
      <c r="D1934" s="35">
        <v>5.0595905059195081</v>
      </c>
      <c r="E1934" s="232">
        <v>40.42</v>
      </c>
      <c r="F1934" s="35">
        <v>5.0519312499688986</v>
      </c>
      <c r="G1934" s="232">
        <v>10169.5</v>
      </c>
      <c r="H1934" s="35">
        <v>8.5998850987796924</v>
      </c>
      <c r="I1934" s="232">
        <v>11179.92</v>
      </c>
      <c r="J1934" s="35">
        <v>7.540272549261366</v>
      </c>
      <c r="K1934" s="232">
        <v>13753.3</v>
      </c>
      <c r="L1934" s="35">
        <v>8.7406481954515467</v>
      </c>
      <c r="M1934" s="232">
        <v>39786.11</v>
      </c>
      <c r="N1934" s="35">
        <v>7.6850726194896639</v>
      </c>
      <c r="P1934" s="232">
        <v>-16.440000000000001</v>
      </c>
      <c r="Q1934" s="35">
        <v>7.659255950609456E-3</v>
      </c>
      <c r="R1934" s="232">
        <v>1010.42</v>
      </c>
      <c r="S1934" s="35">
        <v>1.0596125495183264</v>
      </c>
      <c r="T1934" s="232">
        <v>26032.81</v>
      </c>
      <c r="U1934" s="35">
        <v>1.0555755759618828</v>
      </c>
      <c r="W1934" s="35">
        <f t="shared" si="187"/>
        <v>399.40279753047281</v>
      </c>
      <c r="X1934" s="35">
        <f t="shared" si="188"/>
        <v>51970.207475916322</v>
      </c>
      <c r="Y1934" s="35">
        <f t="shared" si="189"/>
        <v>26745.968798094134</v>
      </c>
      <c r="Z1934" s="35">
        <f t="shared" si="190"/>
        <v>0</v>
      </c>
      <c r="AA1934" s="35">
        <f t="shared" si="191"/>
        <v>1</v>
      </c>
      <c r="AB1934" s="35">
        <f t="shared" si="192"/>
        <v>0</v>
      </c>
    </row>
    <row r="1935" spans="1:28">
      <c r="A1935" s="35">
        <v>1924</v>
      </c>
      <c r="B1935" s="35">
        <v>4.9204280013059876E-4</v>
      </c>
      <c r="C1935" s="232">
        <v>51.21</v>
      </c>
      <c r="D1935" s="35">
        <v>5.064087390136387</v>
      </c>
      <c r="E1935" s="232">
        <v>33.04</v>
      </c>
      <c r="F1935" s="35">
        <v>5.0529308035453733</v>
      </c>
      <c r="G1935" s="232">
        <v>8091.9</v>
      </c>
      <c r="H1935" s="35">
        <v>8.7928783519824165</v>
      </c>
      <c r="I1935" s="232">
        <v>9599.86</v>
      </c>
      <c r="J1935" s="35">
        <v>7.7307487439610414</v>
      </c>
      <c r="K1935" s="232">
        <v>10328.1</v>
      </c>
      <c r="L1935" s="35">
        <v>8.8079233876418161</v>
      </c>
      <c r="M1935" s="232">
        <v>36255.040000000001</v>
      </c>
      <c r="N1935" s="35">
        <v>7.7405212834244139</v>
      </c>
      <c r="P1935" s="232">
        <v>-18.170000000000002</v>
      </c>
      <c r="Q1935" s="35">
        <v>1.1156586591013706E-2</v>
      </c>
      <c r="R1935" s="232">
        <v>1507.97</v>
      </c>
      <c r="S1935" s="35">
        <v>1.0621296080213751</v>
      </c>
      <c r="T1935" s="232">
        <v>25926.93</v>
      </c>
      <c r="U1935" s="35">
        <v>1.0674021042174022</v>
      </c>
      <c r="W1935" s="35">
        <f t="shared" si="187"/>
        <v>575.99932955068527</v>
      </c>
      <c r="X1935" s="35">
        <f t="shared" si="188"/>
        <v>51598.510401068757</v>
      </c>
      <c r="Y1935" s="35">
        <f t="shared" si="189"/>
        <v>27443.175210870111</v>
      </c>
      <c r="Z1935" s="35">
        <f t="shared" si="190"/>
        <v>0</v>
      </c>
      <c r="AA1935" s="35">
        <f t="shared" si="191"/>
        <v>1</v>
      </c>
      <c r="AB1935" s="35">
        <f t="shared" si="192"/>
        <v>0</v>
      </c>
    </row>
    <row r="1936" spans="1:28">
      <c r="A1936" s="35">
        <v>1925</v>
      </c>
      <c r="B1936" s="35">
        <v>5.3256113791788628E-4</v>
      </c>
      <c r="C1936" s="232">
        <v>59.91</v>
      </c>
      <c r="D1936" s="35">
        <v>5.0651008826823416</v>
      </c>
      <c r="E1936" s="232">
        <v>34.07</v>
      </c>
      <c r="F1936" s="35">
        <v>5.0517161820268965</v>
      </c>
      <c r="G1936" s="232">
        <v>9303.68</v>
      </c>
      <c r="H1936" s="35">
        <v>8.7785548744943842</v>
      </c>
      <c r="I1936" s="232">
        <v>11624.74</v>
      </c>
      <c r="J1936" s="35">
        <v>7.4996337815651701</v>
      </c>
      <c r="K1936" s="232">
        <v>7958.56</v>
      </c>
      <c r="L1936" s="35">
        <v>8.3909540967861016</v>
      </c>
      <c r="M1936" s="232">
        <v>33639.35</v>
      </c>
      <c r="N1936" s="35">
        <v>7.3098522562309816</v>
      </c>
      <c r="P1936" s="232">
        <v>-25.84</v>
      </c>
      <c r="Q1936" s="35">
        <v>1.3384700655445059E-2</v>
      </c>
      <c r="R1936" s="232">
        <v>2321.06</v>
      </c>
      <c r="S1936" s="35">
        <v>1.2789210929292141</v>
      </c>
      <c r="T1936" s="232">
        <v>25680.79</v>
      </c>
      <c r="U1936" s="35">
        <v>1.08110184055512</v>
      </c>
      <c r="W1936" s="35">
        <f t="shared" si="187"/>
        <v>695.07503277225294</v>
      </c>
      <c r="X1936" s="35">
        <f t="shared" si="188"/>
        <v>61624.994646460706</v>
      </c>
      <c r="Y1936" s="35">
        <f t="shared" si="189"/>
        <v>28374.302027755999</v>
      </c>
      <c r="Z1936" s="35">
        <f t="shared" si="190"/>
        <v>0</v>
      </c>
      <c r="AA1936" s="35">
        <f t="shared" si="191"/>
        <v>1</v>
      </c>
      <c r="AB1936" s="35">
        <f t="shared" si="192"/>
        <v>0</v>
      </c>
    </row>
    <row r="1937" spans="1:28">
      <c r="A1937" s="35">
        <v>1926</v>
      </c>
      <c r="B1937" s="35">
        <v>4.4087032546881786E-4</v>
      </c>
      <c r="C1937" s="232">
        <v>49.71</v>
      </c>
      <c r="D1937" s="35">
        <v>5.0614728317135613</v>
      </c>
      <c r="E1937" s="232">
        <v>33.799999999999997</v>
      </c>
      <c r="F1937" s="35">
        <v>5.0522011922457608</v>
      </c>
      <c r="G1937" s="232">
        <v>8327.31</v>
      </c>
      <c r="H1937" s="35">
        <v>8.860365846664779</v>
      </c>
      <c r="I1937" s="232">
        <v>9780.0300000000007</v>
      </c>
      <c r="J1937" s="35">
        <v>8.0160266239769484</v>
      </c>
      <c r="K1937" s="232">
        <v>10415.73</v>
      </c>
      <c r="L1937" s="35">
        <v>8.5199110025731102</v>
      </c>
      <c r="M1937" s="232">
        <v>36265.07</v>
      </c>
      <c r="N1937" s="35">
        <v>7.3312905368329027</v>
      </c>
      <c r="P1937" s="232">
        <v>-15.91</v>
      </c>
      <c r="Q1937" s="35">
        <v>9.2716394678005187E-3</v>
      </c>
      <c r="R1937" s="232">
        <v>1452.72</v>
      </c>
      <c r="S1937" s="35">
        <v>0.84433922268783057</v>
      </c>
      <c r="T1937" s="232">
        <v>25849.34</v>
      </c>
      <c r="U1937" s="35">
        <v>1.1886204657402075</v>
      </c>
      <c r="W1937" s="35">
        <f t="shared" si="187"/>
        <v>479.49197339002598</v>
      </c>
      <c r="X1937" s="35">
        <f t="shared" si="188"/>
        <v>40764.24113439153</v>
      </c>
      <c r="Y1937" s="35">
        <f t="shared" si="189"/>
        <v>33581.683287010383</v>
      </c>
      <c r="Z1937" s="35">
        <f t="shared" si="190"/>
        <v>0</v>
      </c>
      <c r="AA1937" s="35">
        <f t="shared" si="191"/>
        <v>1</v>
      </c>
      <c r="AB1937" s="35">
        <f t="shared" si="192"/>
        <v>0</v>
      </c>
    </row>
    <row r="1938" spans="1:28">
      <c r="A1938" s="35">
        <v>1927</v>
      </c>
      <c r="B1938" s="35">
        <v>5.2133082461836011E-4</v>
      </c>
      <c r="C1938" s="232">
        <v>90.81</v>
      </c>
      <c r="D1938" s="35">
        <v>5.066353566065553</v>
      </c>
      <c r="E1938" s="232">
        <v>55.79</v>
      </c>
      <c r="F1938" s="35">
        <v>5.0542425547627854</v>
      </c>
      <c r="G1938" s="232">
        <v>13004.15</v>
      </c>
      <c r="H1938" s="35">
        <v>8.8814816009285007</v>
      </c>
      <c r="I1938" s="232">
        <v>14422.81</v>
      </c>
      <c r="J1938" s="35">
        <v>8.3024933246967478</v>
      </c>
      <c r="K1938" s="232">
        <v>17338.52</v>
      </c>
      <c r="L1938" s="35">
        <v>8.9071105183986869</v>
      </c>
      <c r="M1938" s="232">
        <v>43617.63</v>
      </c>
      <c r="N1938" s="35">
        <v>7.7479815902526505</v>
      </c>
      <c r="P1938" s="232">
        <v>-35.01</v>
      </c>
      <c r="Q1938" s="35">
        <v>1.2111011302767594E-2</v>
      </c>
      <c r="R1938" s="232">
        <v>1418.66</v>
      </c>
      <c r="S1938" s="35">
        <v>0.57898827623175286</v>
      </c>
      <c r="T1938" s="232">
        <v>26279.11</v>
      </c>
      <c r="U1938" s="35">
        <v>1.1591289281460364</v>
      </c>
      <c r="W1938" s="35">
        <f t="shared" si="187"/>
        <v>640.56056513837962</v>
      </c>
      <c r="X1938" s="35">
        <f t="shared" si="188"/>
        <v>27530.753811587645</v>
      </c>
      <c r="Y1938" s="35">
        <f t="shared" si="189"/>
        <v>31677.336407301817</v>
      </c>
      <c r="Z1938" s="35">
        <f t="shared" si="190"/>
        <v>0</v>
      </c>
      <c r="AA1938" s="35">
        <f t="shared" si="191"/>
        <v>0</v>
      </c>
      <c r="AB1938" s="35">
        <f t="shared" si="192"/>
        <v>1</v>
      </c>
    </row>
    <row r="1939" spans="1:28">
      <c r="A1939" s="35">
        <v>1928</v>
      </c>
      <c r="B1939" s="35">
        <v>4.7513131260967789E-4</v>
      </c>
      <c r="C1939" s="232">
        <v>75.239999999999995</v>
      </c>
      <c r="D1939" s="35">
        <v>5.0613453818222505</v>
      </c>
      <c r="E1939" s="232">
        <v>45.93</v>
      </c>
      <c r="F1939" s="35">
        <v>5.0510792829340749</v>
      </c>
      <c r="G1939" s="232">
        <v>12282.55</v>
      </c>
      <c r="H1939" s="35">
        <v>8.2506911780084682</v>
      </c>
      <c r="I1939" s="232">
        <v>13229.2</v>
      </c>
      <c r="J1939" s="35">
        <v>6.5284549886700836</v>
      </c>
      <c r="K1939" s="232">
        <v>14252.04</v>
      </c>
      <c r="L1939" s="35">
        <v>8.7968122043935253</v>
      </c>
      <c r="M1939" s="232">
        <v>40320.94</v>
      </c>
      <c r="N1939" s="35">
        <v>7.7115419536169636</v>
      </c>
      <c r="P1939" s="232">
        <v>-29.31</v>
      </c>
      <c r="Q1939" s="35">
        <v>1.0266098888175534E-2</v>
      </c>
      <c r="R1939" s="232">
        <v>946.65</v>
      </c>
      <c r="S1939" s="35">
        <v>1.7222361893383846</v>
      </c>
      <c r="T1939" s="232">
        <v>26068.9</v>
      </c>
      <c r="U1939" s="35">
        <v>1.0852702507765617</v>
      </c>
      <c r="W1939" s="35">
        <f t="shared" si="187"/>
        <v>542.61494440877664</v>
      </c>
      <c r="X1939" s="35">
        <f t="shared" si="188"/>
        <v>85165.159466919242</v>
      </c>
      <c r="Y1939" s="35">
        <f t="shared" si="189"/>
        <v>28194.612538828085</v>
      </c>
      <c r="Z1939" s="35">
        <f t="shared" si="190"/>
        <v>0</v>
      </c>
      <c r="AA1939" s="35">
        <f t="shared" si="191"/>
        <v>1</v>
      </c>
      <c r="AB1939" s="35">
        <f t="shared" si="192"/>
        <v>0</v>
      </c>
    </row>
    <row r="1940" spans="1:28">
      <c r="A1940" s="35">
        <v>1929</v>
      </c>
      <c r="B1940" s="35">
        <v>5.772439910336491E-4</v>
      </c>
      <c r="C1940" s="232">
        <v>78.459999999999994</v>
      </c>
      <c r="D1940" s="35">
        <v>5.0686235314132393</v>
      </c>
      <c r="E1940" s="232">
        <v>47.94</v>
      </c>
      <c r="F1940" s="35">
        <v>5.055245922930756</v>
      </c>
      <c r="G1940" s="232">
        <v>10454.1</v>
      </c>
      <c r="H1940" s="35">
        <v>8.7848334300678559</v>
      </c>
      <c r="I1940" s="232">
        <v>12256.21</v>
      </c>
      <c r="J1940" s="35">
        <v>8.2516602560898065</v>
      </c>
      <c r="K1940" s="232">
        <v>12562.89</v>
      </c>
      <c r="L1940" s="35">
        <v>8.8453290165634115</v>
      </c>
      <c r="M1940" s="232">
        <v>38629.26</v>
      </c>
      <c r="N1940" s="35">
        <v>7.7721049429055649</v>
      </c>
      <c r="P1940" s="232">
        <v>-30.52</v>
      </c>
      <c r="Q1940" s="35">
        <v>1.3377608482483261E-2</v>
      </c>
      <c r="R1940" s="232">
        <v>1802.11</v>
      </c>
      <c r="S1940" s="35">
        <v>0.53317317397804942</v>
      </c>
      <c r="T1940" s="232">
        <v>26066.37</v>
      </c>
      <c r="U1940" s="35">
        <v>1.0732240736578467</v>
      </c>
      <c r="W1940" s="35">
        <f t="shared" si="187"/>
        <v>699.40042412416301</v>
      </c>
      <c r="X1940" s="35">
        <f t="shared" si="188"/>
        <v>24856.548698902472</v>
      </c>
      <c r="Y1940" s="35">
        <f t="shared" si="189"/>
        <v>27594.833682892331</v>
      </c>
      <c r="Z1940" s="35">
        <f t="shared" si="190"/>
        <v>0</v>
      </c>
      <c r="AA1940" s="35">
        <f t="shared" si="191"/>
        <v>0</v>
      </c>
      <c r="AB1940" s="35">
        <f t="shared" si="192"/>
        <v>1</v>
      </c>
    </row>
    <row r="1941" spans="1:28">
      <c r="A1941" s="35">
        <v>1930</v>
      </c>
      <c r="B1941" s="35">
        <v>4.1516771558042047E-4</v>
      </c>
      <c r="C1941" s="232">
        <v>47.15</v>
      </c>
      <c r="D1941" s="35">
        <v>5.0570989520140488</v>
      </c>
      <c r="E1941" s="232">
        <v>28.46</v>
      </c>
      <c r="F1941" s="35">
        <v>5.0480062799475647</v>
      </c>
      <c r="G1941" s="232">
        <v>8532.99</v>
      </c>
      <c r="H1941" s="35">
        <v>8.0562623041105326</v>
      </c>
      <c r="I1941" s="232">
        <v>9482.25</v>
      </c>
      <c r="J1941" s="35">
        <v>6.3004497043569074</v>
      </c>
      <c r="K1941" s="232">
        <v>9784.11</v>
      </c>
      <c r="L1941" s="35">
        <v>8.3514901436504161</v>
      </c>
      <c r="M1941" s="232">
        <v>35597.800000000003</v>
      </c>
      <c r="N1941" s="35">
        <v>7.2721080825942224</v>
      </c>
      <c r="P1941" s="232">
        <v>-18.690000000000001</v>
      </c>
      <c r="Q1941" s="35">
        <v>9.0926720664841199E-3</v>
      </c>
      <c r="R1941" s="232">
        <v>949.26</v>
      </c>
      <c r="S1941" s="35">
        <v>1.7558125997536251</v>
      </c>
      <c r="T1941" s="232">
        <v>25813.69</v>
      </c>
      <c r="U1941" s="35">
        <v>1.0793820610561937</v>
      </c>
      <c r="W1941" s="35">
        <f t="shared" si="187"/>
        <v>473.32360332420598</v>
      </c>
      <c r="X1941" s="35">
        <f t="shared" si="188"/>
        <v>86841.369987681261</v>
      </c>
      <c r="Y1941" s="35">
        <f t="shared" si="189"/>
        <v>28155.41305280969</v>
      </c>
      <c r="Z1941" s="35">
        <f t="shared" si="190"/>
        <v>0</v>
      </c>
      <c r="AA1941" s="35">
        <f t="shared" si="191"/>
        <v>1</v>
      </c>
      <c r="AB1941" s="35">
        <f t="shared" si="192"/>
        <v>0</v>
      </c>
    </row>
    <row r="1942" spans="1:28">
      <c r="A1942" s="35">
        <v>1931</v>
      </c>
      <c r="B1942" s="35">
        <v>4.7291901272916714E-4</v>
      </c>
      <c r="C1942" s="232">
        <v>66.819999999999993</v>
      </c>
      <c r="D1942" s="35">
        <v>5.0617055853175028</v>
      </c>
      <c r="E1942" s="232">
        <v>37.71</v>
      </c>
      <c r="F1942" s="35">
        <v>5.0500389731688129</v>
      </c>
      <c r="G1942" s="232">
        <v>11127.22</v>
      </c>
      <c r="H1942" s="35">
        <v>8.5549743620450478</v>
      </c>
      <c r="I1942" s="232">
        <v>12463.05</v>
      </c>
      <c r="J1942" s="35">
        <v>7.178955725786424</v>
      </c>
      <c r="K1942" s="232">
        <v>12428.53</v>
      </c>
      <c r="L1942" s="35">
        <v>8.6271028873618505</v>
      </c>
      <c r="M1942" s="232">
        <v>38372.839999999997</v>
      </c>
      <c r="N1942" s="35">
        <v>7.5476252147880629</v>
      </c>
      <c r="P1942" s="232">
        <v>-29.11</v>
      </c>
      <c r="Q1942" s="35">
        <v>1.1666612148689914E-2</v>
      </c>
      <c r="R1942" s="232">
        <v>1335.83</v>
      </c>
      <c r="S1942" s="35">
        <v>1.3760186362586238</v>
      </c>
      <c r="T1942" s="232">
        <v>25944.32</v>
      </c>
      <c r="U1942" s="35">
        <v>1.0794776725737876</v>
      </c>
      <c r="W1942" s="35">
        <f t="shared" si="187"/>
        <v>612.44060743449575</v>
      </c>
      <c r="X1942" s="35">
        <f t="shared" si="188"/>
        <v>67465.101812931185</v>
      </c>
      <c r="Y1942" s="35">
        <f t="shared" si="189"/>
        <v>28029.563628689379</v>
      </c>
      <c r="Z1942" s="35">
        <f t="shared" si="190"/>
        <v>0</v>
      </c>
      <c r="AA1942" s="35">
        <f t="shared" si="191"/>
        <v>1</v>
      </c>
      <c r="AB1942" s="35">
        <f t="shared" si="192"/>
        <v>0</v>
      </c>
    </row>
    <row r="1943" spans="1:28">
      <c r="A1943" s="35">
        <v>1932</v>
      </c>
      <c r="B1943" s="35">
        <v>4.3659310907359714E-4</v>
      </c>
      <c r="C1943" s="232">
        <v>51.44</v>
      </c>
      <c r="D1943" s="35">
        <v>5.0604493964062742</v>
      </c>
      <c r="E1943" s="232">
        <v>30.44</v>
      </c>
      <c r="F1943" s="35">
        <v>5.0496464396904672</v>
      </c>
      <c r="G1943" s="232">
        <v>8827.24</v>
      </c>
      <c r="H1943" s="35">
        <v>8.6401571437889189</v>
      </c>
      <c r="I1943" s="232">
        <v>9954.98</v>
      </c>
      <c r="J1943" s="35">
        <v>7.2828230339151832</v>
      </c>
      <c r="K1943" s="232">
        <v>10221.530000000001</v>
      </c>
      <c r="L1943" s="35">
        <v>8.7724557051283973</v>
      </c>
      <c r="M1943" s="232">
        <v>35934.35</v>
      </c>
      <c r="N1943" s="35">
        <v>7.674245797308278</v>
      </c>
      <c r="P1943" s="232">
        <v>-21.01</v>
      </c>
      <c r="Q1943" s="35">
        <v>1.0802956715806999E-2</v>
      </c>
      <c r="R1943" s="232">
        <v>1127.74</v>
      </c>
      <c r="S1943" s="35">
        <v>1.3573341098737357</v>
      </c>
      <c r="T1943" s="232">
        <v>25712.82</v>
      </c>
      <c r="U1943" s="35">
        <v>1.0982099078201193</v>
      </c>
      <c r="W1943" s="35">
        <f t="shared" si="187"/>
        <v>561.15783579034996</v>
      </c>
      <c r="X1943" s="35">
        <f t="shared" si="188"/>
        <v>66738.965493686774</v>
      </c>
      <c r="Y1943" s="35">
        <f t="shared" si="189"/>
        <v>29197.675391005963</v>
      </c>
      <c r="Z1943" s="35">
        <f t="shared" si="190"/>
        <v>0</v>
      </c>
      <c r="AA1943" s="35">
        <f t="shared" si="191"/>
        <v>1</v>
      </c>
      <c r="AB1943" s="35">
        <f t="shared" si="192"/>
        <v>0</v>
      </c>
    </row>
    <row r="1944" spans="1:28">
      <c r="A1944" s="35">
        <v>1933</v>
      </c>
      <c r="B1944" s="35">
        <v>5.596303614897602E-4</v>
      </c>
      <c r="C1944" s="232">
        <v>85.49</v>
      </c>
      <c r="D1944" s="35">
        <v>5.0662652882947778</v>
      </c>
      <c r="E1944" s="232">
        <v>47.57</v>
      </c>
      <c r="F1944" s="35">
        <v>5.0524777516441164</v>
      </c>
      <c r="G1944" s="232">
        <v>11961.97</v>
      </c>
      <c r="H1944" s="35">
        <v>8.475173951308328</v>
      </c>
      <c r="I1944" s="232">
        <v>13210</v>
      </c>
      <c r="J1944" s="35">
        <v>6.8339114822242486</v>
      </c>
      <c r="K1944" s="232">
        <v>12611.1</v>
      </c>
      <c r="L1944" s="35">
        <v>8.8956136994710331</v>
      </c>
      <c r="M1944" s="232">
        <v>38418.730000000003</v>
      </c>
      <c r="N1944" s="35">
        <v>7.8967870559065032</v>
      </c>
      <c r="P1944" s="232">
        <v>-37.92</v>
      </c>
      <c r="Q1944" s="35">
        <v>1.3787536650661458E-2</v>
      </c>
      <c r="R1944" s="232">
        <v>1248.02</v>
      </c>
      <c r="S1944" s="35">
        <v>1.6412624690840794</v>
      </c>
      <c r="T1944" s="232">
        <v>25807.63</v>
      </c>
      <c r="U1944" s="35">
        <v>0.99882664356452988</v>
      </c>
      <c r="W1944" s="35">
        <f t="shared" si="187"/>
        <v>727.29683253307292</v>
      </c>
      <c r="X1944" s="35">
        <f t="shared" si="188"/>
        <v>80815.103454203971</v>
      </c>
      <c r="Y1944" s="35">
        <f t="shared" si="189"/>
        <v>24133.702178226496</v>
      </c>
      <c r="Z1944" s="35">
        <f t="shared" si="190"/>
        <v>0</v>
      </c>
      <c r="AA1944" s="35">
        <f t="shared" si="191"/>
        <v>1</v>
      </c>
      <c r="AB1944" s="35">
        <f t="shared" si="192"/>
        <v>0</v>
      </c>
    </row>
    <row r="1945" spans="1:28">
      <c r="A1945" s="35">
        <v>1934</v>
      </c>
      <c r="B1945" s="35">
        <v>5.3436236181070296E-4</v>
      </c>
      <c r="C1945" s="232">
        <v>81.040000000000006</v>
      </c>
      <c r="D1945" s="35">
        <v>5.0650067726750745</v>
      </c>
      <c r="E1945" s="232">
        <v>48.34</v>
      </c>
      <c r="F1945" s="35">
        <v>5.0528511391479691</v>
      </c>
      <c r="G1945" s="232">
        <v>12052.94</v>
      </c>
      <c r="H1945" s="35">
        <v>8.6815133722305404</v>
      </c>
      <c r="I1945" s="232">
        <v>13906.2</v>
      </c>
      <c r="J1945" s="35">
        <v>7.9960848885960667</v>
      </c>
      <c r="K1945" s="232">
        <v>12866.07</v>
      </c>
      <c r="L1945" s="35">
        <v>8.5142143326671835</v>
      </c>
      <c r="M1945" s="232">
        <v>38830.730000000003</v>
      </c>
      <c r="N1945" s="35">
        <v>7.4115837800847144</v>
      </c>
      <c r="P1945" s="232">
        <v>-32.700000000000003</v>
      </c>
      <c r="Q1945" s="35">
        <v>1.2155633527105358E-2</v>
      </c>
      <c r="R1945" s="232">
        <v>1853.26</v>
      </c>
      <c r="S1945" s="35">
        <v>0.68542848363447373</v>
      </c>
      <c r="T1945" s="232">
        <v>25964.66</v>
      </c>
      <c r="U1945" s="35">
        <v>1.1026305525824691</v>
      </c>
      <c r="W1945" s="35">
        <f t="shared" si="187"/>
        <v>640.48167635526795</v>
      </c>
      <c r="X1945" s="35">
        <f t="shared" si="188"/>
        <v>32418.164181723685</v>
      </c>
      <c r="Y1945" s="35">
        <f t="shared" si="189"/>
        <v>29166.867629123455</v>
      </c>
      <c r="Z1945" s="35">
        <f t="shared" si="190"/>
        <v>0</v>
      </c>
      <c r="AA1945" s="35">
        <f t="shared" si="191"/>
        <v>1</v>
      </c>
      <c r="AB1945" s="35">
        <f t="shared" si="192"/>
        <v>0</v>
      </c>
    </row>
    <row r="1946" spans="1:28">
      <c r="A1946" s="35">
        <v>1935</v>
      </c>
      <c r="B1946" s="35">
        <v>4.8654057089037028E-4</v>
      </c>
      <c r="C1946" s="232">
        <v>70.81</v>
      </c>
      <c r="D1946" s="35">
        <v>5.0652030445165854</v>
      </c>
      <c r="E1946" s="232">
        <v>40.909999999999997</v>
      </c>
      <c r="F1946" s="35">
        <v>5.0522729209100454</v>
      </c>
      <c r="G1946" s="232">
        <v>11309.15</v>
      </c>
      <c r="H1946" s="35">
        <v>9.0205152486051112</v>
      </c>
      <c r="I1946" s="232">
        <v>12724.47</v>
      </c>
      <c r="J1946" s="35">
        <v>8.1052189419778742</v>
      </c>
      <c r="K1946" s="232">
        <v>14329.59</v>
      </c>
      <c r="L1946" s="35">
        <v>9.1867186529657499</v>
      </c>
      <c r="M1946" s="232">
        <v>40399.85</v>
      </c>
      <c r="N1946" s="35">
        <v>8.1090258153222852</v>
      </c>
      <c r="P1946" s="232">
        <v>-29.89</v>
      </c>
      <c r="Q1946" s="35">
        <v>1.293012360654E-2</v>
      </c>
      <c r="R1946" s="232">
        <v>1415.31</v>
      </c>
      <c r="S1946" s="35">
        <v>0.91529630662723704</v>
      </c>
      <c r="T1946" s="232">
        <v>26070.25</v>
      </c>
      <c r="U1946" s="35">
        <v>1.0776928376434647</v>
      </c>
      <c r="W1946" s="35">
        <f t="shared" si="187"/>
        <v>676.39618032700002</v>
      </c>
      <c r="X1946" s="35">
        <f t="shared" si="188"/>
        <v>44349.505331361855</v>
      </c>
      <c r="Y1946" s="35">
        <f t="shared" si="189"/>
        <v>27814.391882173237</v>
      </c>
      <c r="Z1946" s="35">
        <f t="shared" si="190"/>
        <v>0</v>
      </c>
      <c r="AA1946" s="35">
        <f t="shared" si="191"/>
        <v>1</v>
      </c>
      <c r="AB1946" s="35">
        <f t="shared" si="192"/>
        <v>0</v>
      </c>
    </row>
    <row r="1947" spans="1:28">
      <c r="A1947" s="35">
        <v>1936</v>
      </c>
      <c r="B1947" s="35">
        <v>4.1598260921930203E-4</v>
      </c>
      <c r="C1947" s="232">
        <v>73.13</v>
      </c>
      <c r="D1947" s="35">
        <v>5.0595100570066442</v>
      </c>
      <c r="E1947" s="232">
        <v>41.85</v>
      </c>
      <c r="F1947" s="35">
        <v>5.0491947881302206</v>
      </c>
      <c r="G1947" s="232">
        <v>13469.46</v>
      </c>
      <c r="H1947" s="35">
        <v>8.5367218756083947</v>
      </c>
      <c r="I1947" s="232">
        <v>14627.46</v>
      </c>
      <c r="J1947" s="35">
        <v>7.8187758749407283</v>
      </c>
      <c r="K1947" s="232">
        <v>19931.47</v>
      </c>
      <c r="L1947" s="35">
        <v>8.9136633449744558</v>
      </c>
      <c r="M1947" s="232">
        <v>46170.81</v>
      </c>
      <c r="N1947" s="35">
        <v>7.8091908154454774</v>
      </c>
      <c r="P1947" s="232">
        <v>-31.28</v>
      </c>
      <c r="Q1947" s="35">
        <v>1.0315268876423644E-2</v>
      </c>
      <c r="R1947" s="232">
        <v>1158</v>
      </c>
      <c r="S1947" s="35">
        <v>0.71794600066766634</v>
      </c>
      <c r="T1947" s="232">
        <v>26239.34</v>
      </c>
      <c r="U1947" s="35">
        <v>1.1044725295289783</v>
      </c>
      <c r="W1947" s="35">
        <f t="shared" si="187"/>
        <v>547.04344382118222</v>
      </c>
      <c r="X1947" s="35">
        <f t="shared" si="188"/>
        <v>34739.300033383319</v>
      </c>
      <c r="Y1947" s="35">
        <f t="shared" si="189"/>
        <v>28984.286476448917</v>
      </c>
      <c r="Z1947" s="35">
        <f t="shared" si="190"/>
        <v>0</v>
      </c>
      <c r="AA1947" s="35">
        <f t="shared" si="191"/>
        <v>1</v>
      </c>
      <c r="AB1947" s="35">
        <f t="shared" si="192"/>
        <v>0</v>
      </c>
    </row>
    <row r="1948" spans="1:28">
      <c r="A1948" s="35">
        <v>1937</v>
      </c>
      <c r="B1948" s="35">
        <v>4.3604069160586346E-4</v>
      </c>
      <c r="C1948" s="232">
        <v>69.11</v>
      </c>
      <c r="D1948" s="35">
        <v>5.061761802916962</v>
      </c>
      <c r="E1948" s="232">
        <v>45.79</v>
      </c>
      <c r="F1948" s="35">
        <v>5.0524539295713211</v>
      </c>
      <c r="G1948" s="232">
        <v>12654.55</v>
      </c>
      <c r="H1948" s="35">
        <v>8.9279543144465876</v>
      </c>
      <c r="I1948" s="232">
        <v>14398.52</v>
      </c>
      <c r="J1948" s="35">
        <v>8.2971595111815972</v>
      </c>
      <c r="K1948" s="232">
        <v>15827.12</v>
      </c>
      <c r="L1948" s="35">
        <v>8.7645734198286753</v>
      </c>
      <c r="M1948" s="232">
        <v>41879.919999999998</v>
      </c>
      <c r="N1948" s="35">
        <v>7.6969596061595702</v>
      </c>
      <c r="P1948" s="232">
        <v>-23.32</v>
      </c>
      <c r="Q1948" s="35">
        <v>9.3078733456408713E-3</v>
      </c>
      <c r="R1948" s="232">
        <v>1743.97</v>
      </c>
      <c r="S1948" s="35">
        <v>0.63079480326499038</v>
      </c>
      <c r="T1948" s="232">
        <v>26052.799999999999</v>
      </c>
      <c r="U1948" s="35">
        <v>1.0676138136691051</v>
      </c>
      <c r="W1948" s="35">
        <f t="shared" si="187"/>
        <v>488.71366728204356</v>
      </c>
      <c r="X1948" s="35">
        <f t="shared" si="188"/>
        <v>29795.770163249519</v>
      </c>
      <c r="Y1948" s="35">
        <f t="shared" si="189"/>
        <v>27327.890683455258</v>
      </c>
      <c r="Z1948" s="35">
        <f t="shared" si="190"/>
        <v>0</v>
      </c>
      <c r="AA1948" s="35">
        <f t="shared" si="191"/>
        <v>1</v>
      </c>
      <c r="AB1948" s="35">
        <f t="shared" si="192"/>
        <v>0</v>
      </c>
    </row>
    <row r="1949" spans="1:28">
      <c r="A1949" s="35">
        <v>1938</v>
      </c>
      <c r="B1949" s="35">
        <v>4.5898324409388014E-4</v>
      </c>
      <c r="C1949" s="232">
        <v>58.71</v>
      </c>
      <c r="D1949" s="35">
        <v>5.0637623755540009</v>
      </c>
      <c r="E1949" s="232">
        <v>32.94</v>
      </c>
      <c r="F1949" s="35">
        <v>5.0508096668081386</v>
      </c>
      <c r="G1949" s="232">
        <v>9473.5400000000009</v>
      </c>
      <c r="H1949" s="35">
        <v>9.2640440585080093</v>
      </c>
      <c r="I1949" s="232">
        <v>9590.19</v>
      </c>
      <c r="J1949" s="35">
        <v>6.9093992814476231</v>
      </c>
      <c r="K1949" s="232">
        <v>10229.6</v>
      </c>
      <c r="L1949" s="35">
        <v>8.9458198198769381</v>
      </c>
      <c r="M1949" s="232">
        <v>36171.980000000003</v>
      </c>
      <c r="N1949" s="35">
        <v>7.8425261968914723</v>
      </c>
      <c r="P1949" s="232">
        <v>-25.76</v>
      </c>
      <c r="Q1949" s="35">
        <v>1.2952708745862296E-2</v>
      </c>
      <c r="R1949" s="232">
        <v>116.65</v>
      </c>
      <c r="S1949" s="35">
        <v>2.3546447770603862</v>
      </c>
      <c r="T1949" s="232">
        <v>25942.38</v>
      </c>
      <c r="U1949" s="35">
        <v>1.1032936229854657</v>
      </c>
      <c r="W1949" s="35">
        <f t="shared" si="187"/>
        <v>673.39543729311481</v>
      </c>
      <c r="X1949" s="35">
        <f t="shared" si="188"/>
        <v>117615.58885301932</v>
      </c>
      <c r="Y1949" s="35">
        <f t="shared" si="189"/>
        <v>29222.301149273288</v>
      </c>
      <c r="Z1949" s="35">
        <f t="shared" si="190"/>
        <v>0</v>
      </c>
      <c r="AA1949" s="35">
        <f t="shared" si="191"/>
        <v>1</v>
      </c>
      <c r="AB1949" s="35">
        <f t="shared" si="192"/>
        <v>0</v>
      </c>
    </row>
    <row r="1950" spans="1:28">
      <c r="A1950" s="35">
        <v>1939</v>
      </c>
      <c r="B1950" s="35">
        <v>4.031424958699143E-4</v>
      </c>
      <c r="C1950" s="232">
        <v>45.62</v>
      </c>
      <c r="D1950" s="35">
        <v>5.0573715590720738</v>
      </c>
      <c r="E1950" s="232">
        <v>26.58</v>
      </c>
      <c r="F1950" s="35">
        <v>5.0476920223984507</v>
      </c>
      <c r="G1950" s="232">
        <v>8901.91</v>
      </c>
      <c r="H1950" s="35">
        <v>8.3385733726251559</v>
      </c>
      <c r="I1950" s="232">
        <v>10621.99</v>
      </c>
      <c r="J1950" s="35">
        <v>7.0942102224134986</v>
      </c>
      <c r="K1950" s="232">
        <v>9001.91</v>
      </c>
      <c r="L1950" s="35">
        <v>8.3435330684219817</v>
      </c>
      <c r="M1950" s="232">
        <v>34693.85</v>
      </c>
      <c r="N1950" s="35">
        <v>7.1733724611299801</v>
      </c>
      <c r="P1950" s="232">
        <v>-19.04</v>
      </c>
      <c r="Q1950" s="35">
        <v>9.6795366736230903E-3</v>
      </c>
      <c r="R1950" s="232">
        <v>1720.07</v>
      </c>
      <c r="S1950" s="35">
        <v>1.2443631502116572</v>
      </c>
      <c r="T1950" s="232">
        <v>25691.95</v>
      </c>
      <c r="U1950" s="35">
        <v>1.1701606072920017</v>
      </c>
      <c r="W1950" s="35">
        <f t="shared" si="187"/>
        <v>503.01683368115454</v>
      </c>
      <c r="X1950" s="35">
        <f t="shared" si="188"/>
        <v>60498.08751058286</v>
      </c>
      <c r="Y1950" s="35">
        <f t="shared" si="189"/>
        <v>32816.080364600086</v>
      </c>
      <c r="Z1950" s="35">
        <f t="shared" si="190"/>
        <v>0</v>
      </c>
      <c r="AA1950" s="35">
        <f t="shared" si="191"/>
        <v>1</v>
      </c>
      <c r="AB1950" s="35">
        <f t="shared" si="192"/>
        <v>0</v>
      </c>
    </row>
    <row r="1951" spans="1:28">
      <c r="A1951" s="35">
        <v>1940</v>
      </c>
      <c r="B1951" s="35">
        <v>4.6518240935611299E-4</v>
      </c>
      <c r="C1951" s="232">
        <v>55.42</v>
      </c>
      <c r="D1951" s="35">
        <v>5.0612326102470497</v>
      </c>
      <c r="E1951" s="232">
        <v>35.71</v>
      </c>
      <c r="F1951" s="35">
        <v>5.051401116342138</v>
      </c>
      <c r="G1951" s="232">
        <v>9347.14</v>
      </c>
      <c r="H1951" s="35">
        <v>8.591782425494916</v>
      </c>
      <c r="I1951" s="232">
        <v>10795.92</v>
      </c>
      <c r="J1951" s="35">
        <v>6.7626643119937997</v>
      </c>
      <c r="K1951" s="232">
        <v>9444.9699999999993</v>
      </c>
      <c r="L1951" s="35">
        <v>8.4161940817320708</v>
      </c>
      <c r="M1951" s="232">
        <v>35165.9</v>
      </c>
      <c r="N1951" s="35">
        <v>7.2857624889303585</v>
      </c>
      <c r="P1951" s="232">
        <v>-19.71</v>
      </c>
      <c r="Q1951" s="35">
        <v>9.8314939049117811E-3</v>
      </c>
      <c r="R1951" s="232">
        <v>1448.78</v>
      </c>
      <c r="S1951" s="35">
        <v>1.8291181135011163</v>
      </c>
      <c r="T1951" s="232">
        <v>25720.93</v>
      </c>
      <c r="U1951" s="35">
        <v>1.1304315928017123</v>
      </c>
      <c r="W1951" s="35">
        <f t="shared" si="187"/>
        <v>511.28469524558903</v>
      </c>
      <c r="X1951" s="35">
        <f t="shared" si="188"/>
        <v>90007.12567505581</v>
      </c>
      <c r="Y1951" s="35">
        <f t="shared" si="189"/>
        <v>30800.649640085619</v>
      </c>
      <c r="Z1951" s="35">
        <f t="shared" si="190"/>
        <v>0</v>
      </c>
      <c r="AA1951" s="35">
        <f t="shared" si="191"/>
        <v>1</v>
      </c>
      <c r="AB1951" s="35">
        <f t="shared" si="192"/>
        <v>0</v>
      </c>
    </row>
    <row r="1952" spans="1:28">
      <c r="A1952" s="35">
        <v>1941</v>
      </c>
      <c r="B1952" s="35">
        <v>4.1585627303033048E-4</v>
      </c>
      <c r="C1952" s="232">
        <v>53.79</v>
      </c>
      <c r="D1952" s="35">
        <v>5.0581233119246027</v>
      </c>
      <c r="E1952" s="232">
        <v>38.49</v>
      </c>
      <c r="F1952" s="35">
        <v>5.0510010065612168</v>
      </c>
      <c r="G1952" s="232">
        <v>10012.14</v>
      </c>
      <c r="H1952" s="35">
        <v>8.5318495922136197</v>
      </c>
      <c r="I1952" s="232">
        <v>11733</v>
      </c>
      <c r="J1952" s="35">
        <v>7.6657670407264931</v>
      </c>
      <c r="K1952" s="232">
        <v>10927.18</v>
      </c>
      <c r="L1952" s="35">
        <v>7.9956158440230469</v>
      </c>
      <c r="M1952" s="232">
        <v>36836.86</v>
      </c>
      <c r="N1952" s="35">
        <v>6.8619596887684864</v>
      </c>
      <c r="P1952" s="232">
        <v>-15.3</v>
      </c>
      <c r="Q1952" s="35">
        <v>7.1223053633859834E-3</v>
      </c>
      <c r="R1952" s="232">
        <v>1720.86</v>
      </c>
      <c r="S1952" s="35">
        <v>0.86608255148712665</v>
      </c>
      <c r="T1952" s="232">
        <v>25909.69</v>
      </c>
      <c r="U1952" s="35">
        <v>1.1336561552545605</v>
      </c>
      <c r="W1952" s="35">
        <f t="shared" si="187"/>
        <v>371.41526816929917</v>
      </c>
      <c r="X1952" s="35">
        <f t="shared" si="188"/>
        <v>41583.26757435633</v>
      </c>
      <c r="Y1952" s="35">
        <f t="shared" si="189"/>
        <v>30773.11776272803</v>
      </c>
      <c r="Z1952" s="35">
        <f t="shared" si="190"/>
        <v>0</v>
      </c>
      <c r="AA1952" s="35">
        <f t="shared" si="191"/>
        <v>1</v>
      </c>
      <c r="AB1952" s="35">
        <f t="shared" si="192"/>
        <v>0</v>
      </c>
    </row>
    <row r="1953" spans="1:28">
      <c r="A1953" s="35">
        <v>1942</v>
      </c>
      <c r="B1953" s="35">
        <v>3.9750965316833858E-4</v>
      </c>
      <c r="C1953" s="232">
        <v>53.76</v>
      </c>
      <c r="D1953" s="35">
        <v>5.0567275926944433</v>
      </c>
      <c r="E1953" s="232">
        <v>33.39</v>
      </c>
      <c r="F1953" s="35">
        <v>5.0483193060325293</v>
      </c>
      <c r="G1953" s="232">
        <v>10186.030000000001</v>
      </c>
      <c r="H1953" s="35">
        <v>8.3902519665040369</v>
      </c>
      <c r="I1953" s="232">
        <v>11911.47</v>
      </c>
      <c r="J1953" s="35">
        <v>7.8916518550729808</v>
      </c>
      <c r="K1953" s="232">
        <v>12155.63</v>
      </c>
      <c r="L1953" s="35">
        <v>8.270904492959211</v>
      </c>
      <c r="M1953" s="232">
        <v>38093.78</v>
      </c>
      <c r="N1953" s="35">
        <v>7.2326050820514691</v>
      </c>
      <c r="P1953" s="232">
        <v>-20.38</v>
      </c>
      <c r="Q1953" s="35">
        <v>8.4082866619139551E-3</v>
      </c>
      <c r="R1953" s="232">
        <v>1725.44</v>
      </c>
      <c r="S1953" s="35">
        <v>0.49860011143105609</v>
      </c>
      <c r="T1953" s="232">
        <v>25938.15</v>
      </c>
      <c r="U1953" s="35">
        <v>1.0382994109077419</v>
      </c>
      <c r="W1953" s="35">
        <f t="shared" si="187"/>
        <v>440.79433309569777</v>
      </c>
      <c r="X1953" s="35">
        <f t="shared" si="188"/>
        <v>23204.565571552805</v>
      </c>
      <c r="Y1953" s="35">
        <f t="shared" si="189"/>
        <v>25976.820545387098</v>
      </c>
      <c r="Z1953" s="35">
        <f t="shared" si="190"/>
        <v>0</v>
      </c>
      <c r="AA1953" s="35">
        <f t="shared" si="191"/>
        <v>0</v>
      </c>
      <c r="AB1953" s="35">
        <f t="shared" si="192"/>
        <v>1</v>
      </c>
    </row>
    <row r="1954" spans="1:28">
      <c r="A1954" s="35">
        <v>1943</v>
      </c>
      <c r="B1954" s="35">
        <v>5.9250006116118303E-4</v>
      </c>
      <c r="C1954" s="232">
        <v>93.94</v>
      </c>
      <c r="D1954" s="35">
        <v>5.0673984075023579</v>
      </c>
      <c r="E1954" s="232">
        <v>51.11</v>
      </c>
      <c r="F1954" s="35">
        <v>5.0528070797180247</v>
      </c>
      <c r="G1954" s="232">
        <v>11953.53</v>
      </c>
      <c r="H1954" s="35">
        <v>8.4727603329356533</v>
      </c>
      <c r="I1954" s="232">
        <v>12034.77</v>
      </c>
      <c r="J1954" s="35">
        <v>7.0768040280643838</v>
      </c>
      <c r="K1954" s="232">
        <v>17353.740000000002</v>
      </c>
      <c r="L1954" s="35">
        <v>8.7439665652787575</v>
      </c>
      <c r="M1954" s="232">
        <v>43619.24</v>
      </c>
      <c r="N1954" s="35">
        <v>7.6632986304400079</v>
      </c>
      <c r="P1954" s="232">
        <v>-42.83</v>
      </c>
      <c r="Q1954" s="35">
        <v>1.4591327784333252E-2</v>
      </c>
      <c r="R1954" s="232">
        <v>81.239999999999995</v>
      </c>
      <c r="S1954" s="35">
        <v>1.3959563048712695</v>
      </c>
      <c r="T1954" s="232">
        <v>26265.5</v>
      </c>
      <c r="U1954" s="35">
        <v>1.0806679348387496</v>
      </c>
      <c r="W1954" s="35">
        <f t="shared" si="187"/>
        <v>772.39638921666267</v>
      </c>
      <c r="X1954" s="35">
        <f t="shared" si="188"/>
        <v>69716.575243563479</v>
      </c>
      <c r="Y1954" s="35">
        <f t="shared" si="189"/>
        <v>27767.896741937475</v>
      </c>
      <c r="Z1954" s="35">
        <f t="shared" si="190"/>
        <v>0</v>
      </c>
      <c r="AA1954" s="35">
        <f t="shared" si="191"/>
        <v>1</v>
      </c>
      <c r="AB1954" s="35">
        <f t="shared" si="192"/>
        <v>0</v>
      </c>
    </row>
    <row r="1955" spans="1:28">
      <c r="A1955" s="35">
        <v>1944</v>
      </c>
      <c r="B1955" s="35">
        <v>3.5240211912442992E-4</v>
      </c>
      <c r="C1955" s="232">
        <v>53.01</v>
      </c>
      <c r="D1955" s="35">
        <v>5.0572414477213004</v>
      </c>
      <c r="E1955" s="232">
        <v>34.119999999999997</v>
      </c>
      <c r="F1955" s="35">
        <v>5.049022626531209</v>
      </c>
      <c r="G1955" s="232">
        <v>11527.99</v>
      </c>
      <c r="H1955" s="35">
        <v>9.0939814295750541</v>
      </c>
      <c r="I1955" s="232">
        <v>12776.47</v>
      </c>
      <c r="J1955" s="35">
        <v>8.2103472790652088</v>
      </c>
      <c r="K1955" s="232">
        <v>14128.99</v>
      </c>
      <c r="L1955" s="35">
        <v>8.6625216641056237</v>
      </c>
      <c r="M1955" s="232">
        <v>40024.93</v>
      </c>
      <c r="N1955" s="35">
        <v>7.556768998645393</v>
      </c>
      <c r="P1955" s="232">
        <v>-18.89</v>
      </c>
      <c r="Q1955" s="35">
        <v>8.2188211900913188E-3</v>
      </c>
      <c r="R1955" s="232">
        <v>1248.48</v>
      </c>
      <c r="S1955" s="35">
        <v>0.88363415050984528</v>
      </c>
      <c r="T1955" s="232">
        <v>25895.94</v>
      </c>
      <c r="U1955" s="35">
        <v>1.1057526654602308</v>
      </c>
      <c r="W1955" s="35">
        <f t="shared" si="187"/>
        <v>429.83105950456593</v>
      </c>
      <c r="X1955" s="35">
        <f t="shared" si="188"/>
        <v>42933.227525492264</v>
      </c>
      <c r="Y1955" s="35">
        <f t="shared" si="189"/>
        <v>29391.69327301154</v>
      </c>
      <c r="Z1955" s="35">
        <f t="shared" si="190"/>
        <v>0</v>
      </c>
      <c r="AA1955" s="35">
        <f t="shared" si="191"/>
        <v>1</v>
      </c>
      <c r="AB1955" s="35">
        <f t="shared" si="192"/>
        <v>0</v>
      </c>
    </row>
    <row r="1956" spans="1:28">
      <c r="A1956" s="35">
        <v>1945</v>
      </c>
      <c r="B1956" s="35">
        <v>5.1311816584176384E-4</v>
      </c>
      <c r="C1956" s="232">
        <v>74.680000000000007</v>
      </c>
      <c r="D1956" s="35">
        <v>5.0649012520729118</v>
      </c>
      <c r="E1956" s="232">
        <v>43.17</v>
      </c>
      <c r="F1956" s="35">
        <v>5.0521937557685597</v>
      </c>
      <c r="G1956" s="232">
        <v>10765.79</v>
      </c>
      <c r="H1956" s="35">
        <v>8.860909124428245</v>
      </c>
      <c r="I1956" s="232">
        <v>11710.86</v>
      </c>
      <c r="J1956" s="35">
        <v>7.9699160298790366</v>
      </c>
      <c r="K1956" s="232">
        <v>14148.42</v>
      </c>
      <c r="L1956" s="35">
        <v>8.6257088481529465</v>
      </c>
      <c r="M1956" s="232">
        <v>40008.51</v>
      </c>
      <c r="N1956" s="35">
        <v>7.4981404719863507</v>
      </c>
      <c r="P1956" s="232">
        <v>-31.51</v>
      </c>
      <c r="Q1956" s="35">
        <v>1.2707496304352084E-2</v>
      </c>
      <c r="R1956" s="232">
        <v>945.07</v>
      </c>
      <c r="S1956" s="35">
        <v>0.89099309454920839</v>
      </c>
      <c r="T1956" s="232">
        <v>25860.09</v>
      </c>
      <c r="U1956" s="35">
        <v>1.1275683761665958</v>
      </c>
      <c r="W1956" s="35">
        <f t="shared" si="187"/>
        <v>666.88481521760423</v>
      </c>
      <c r="X1956" s="35">
        <f t="shared" si="188"/>
        <v>43604.584727460417</v>
      </c>
      <c r="Y1956" s="35">
        <f t="shared" si="189"/>
        <v>30518.328808329792</v>
      </c>
      <c r="Z1956" s="35">
        <f t="shared" si="190"/>
        <v>0</v>
      </c>
      <c r="AA1956" s="35">
        <f t="shared" si="191"/>
        <v>1</v>
      </c>
      <c r="AB1956" s="35">
        <f t="shared" si="192"/>
        <v>0</v>
      </c>
    </row>
    <row r="1957" spans="1:28">
      <c r="A1957" s="35">
        <v>1946</v>
      </c>
      <c r="B1957" s="35">
        <v>3.5175974508035445E-4</v>
      </c>
      <c r="C1957" s="232">
        <v>45.08</v>
      </c>
      <c r="D1957" s="35">
        <v>5.0546250093722023</v>
      </c>
      <c r="E1957" s="232">
        <v>28.26</v>
      </c>
      <c r="F1957" s="35">
        <v>5.0470352352454411</v>
      </c>
      <c r="G1957" s="232">
        <v>9277.85</v>
      </c>
      <c r="H1957" s="35">
        <v>8.2280069640093458</v>
      </c>
      <c r="I1957" s="232">
        <v>8971.0300000000007</v>
      </c>
      <c r="J1957" s="35">
        <v>6.5475869125545616</v>
      </c>
      <c r="K1957" s="232">
        <v>14005.48</v>
      </c>
      <c r="L1957" s="35">
        <v>8.3916345326413495</v>
      </c>
      <c r="M1957" s="232">
        <v>39978.33</v>
      </c>
      <c r="N1957" s="35">
        <v>7.2657173647784488</v>
      </c>
      <c r="P1957" s="232">
        <v>-16.82</v>
      </c>
      <c r="Q1957" s="35">
        <v>7.5897741267612062E-3</v>
      </c>
      <c r="R1957" s="232">
        <v>-306.82</v>
      </c>
      <c r="S1957" s="35">
        <v>1.6804200514547842</v>
      </c>
      <c r="T1957" s="232">
        <v>25972.85</v>
      </c>
      <c r="U1957" s="35">
        <v>1.1259171678629007</v>
      </c>
      <c r="W1957" s="35">
        <f t="shared" si="187"/>
        <v>396.30870633806029</v>
      </c>
      <c r="X1957" s="35">
        <f t="shared" si="188"/>
        <v>84327.822572739213</v>
      </c>
      <c r="Y1957" s="35">
        <f t="shared" si="189"/>
        <v>30323.008393145035</v>
      </c>
      <c r="Z1957" s="35">
        <f t="shared" si="190"/>
        <v>0</v>
      </c>
      <c r="AA1957" s="35">
        <f t="shared" si="191"/>
        <v>1</v>
      </c>
      <c r="AB1957" s="35">
        <f t="shared" si="192"/>
        <v>0</v>
      </c>
    </row>
    <row r="1958" spans="1:28">
      <c r="A1958" s="35">
        <v>1947</v>
      </c>
      <c r="B1958" s="35">
        <v>4.6551540995354301E-4</v>
      </c>
      <c r="C1958" s="232">
        <v>75.8</v>
      </c>
      <c r="D1958" s="35">
        <v>5.0627876386538251</v>
      </c>
      <c r="E1958" s="232">
        <v>49.15</v>
      </c>
      <c r="F1958" s="35">
        <v>5.0528430816808498</v>
      </c>
      <c r="G1958" s="232">
        <v>11938.21</v>
      </c>
      <c r="H1958" s="35">
        <v>8.8157072827565077</v>
      </c>
      <c r="I1958" s="232">
        <v>11594.8</v>
      </c>
      <c r="J1958" s="35">
        <v>7.3208097548756985</v>
      </c>
      <c r="K1958" s="232">
        <v>17787.18</v>
      </c>
      <c r="L1958" s="35">
        <v>8.6244795073589788</v>
      </c>
      <c r="M1958" s="232">
        <v>44135.92</v>
      </c>
      <c r="N1958" s="35">
        <v>7.5608190214809019</v>
      </c>
      <c r="P1958" s="232">
        <v>-26.65</v>
      </c>
      <c r="Q1958" s="35">
        <v>9.9445569729752492E-3</v>
      </c>
      <c r="R1958" s="232">
        <v>-343.41</v>
      </c>
      <c r="S1958" s="35">
        <v>1.4948975278808092</v>
      </c>
      <c r="T1958" s="232">
        <v>26348.74</v>
      </c>
      <c r="U1958" s="35">
        <v>1.0636604858780769</v>
      </c>
      <c r="W1958" s="35">
        <f t="shared" si="187"/>
        <v>523.87784864876244</v>
      </c>
      <c r="X1958" s="35">
        <f t="shared" si="188"/>
        <v>75088.286394040464</v>
      </c>
      <c r="Y1958" s="35">
        <f t="shared" si="189"/>
        <v>26834.284293903842</v>
      </c>
      <c r="Z1958" s="35">
        <f t="shared" si="190"/>
        <v>0</v>
      </c>
      <c r="AA1958" s="35">
        <f t="shared" si="191"/>
        <v>1</v>
      </c>
      <c r="AB1958" s="35">
        <f t="shared" si="192"/>
        <v>0</v>
      </c>
    </row>
    <row r="1959" spans="1:28">
      <c r="A1959" s="35">
        <v>1948</v>
      </c>
      <c r="B1959" s="35">
        <v>3.6273825280438857E-4</v>
      </c>
      <c r="C1959" s="232">
        <v>54.76</v>
      </c>
      <c r="D1959" s="35">
        <v>5.0572039349637787</v>
      </c>
      <c r="E1959" s="232">
        <v>36.82</v>
      </c>
      <c r="F1959" s="35">
        <v>5.0495973426542422</v>
      </c>
      <c r="G1959" s="232">
        <v>10796.22</v>
      </c>
      <c r="H1959" s="35">
        <v>8.7177338767579453</v>
      </c>
      <c r="I1959" s="232">
        <v>9811.44</v>
      </c>
      <c r="J1959" s="35">
        <v>6.8702602883661177</v>
      </c>
      <c r="K1959" s="232">
        <v>16544.68</v>
      </c>
      <c r="L1959" s="35">
        <v>8.8388564795196753</v>
      </c>
      <c r="M1959" s="232">
        <v>42734.23</v>
      </c>
      <c r="N1959" s="35">
        <v>7.7388344882932358</v>
      </c>
      <c r="P1959" s="232">
        <v>-17.940000000000001</v>
      </c>
      <c r="Q1959" s="35">
        <v>7.6065923095365306E-3</v>
      </c>
      <c r="R1959" s="232">
        <v>-984.78</v>
      </c>
      <c r="S1959" s="35">
        <v>1.8474735883918276</v>
      </c>
      <c r="T1959" s="232">
        <v>26189.56</v>
      </c>
      <c r="U1959" s="35">
        <v>1.1000219912264395</v>
      </c>
      <c r="W1959" s="35">
        <f t="shared" si="187"/>
        <v>398.26961547682652</v>
      </c>
      <c r="X1959" s="35">
        <f t="shared" si="188"/>
        <v>93358.459419591381</v>
      </c>
      <c r="Y1959" s="35">
        <f t="shared" si="189"/>
        <v>28811.539561321977</v>
      </c>
      <c r="Z1959" s="35">
        <f t="shared" si="190"/>
        <v>0</v>
      </c>
      <c r="AA1959" s="35">
        <f t="shared" si="191"/>
        <v>1</v>
      </c>
      <c r="AB1959" s="35">
        <f t="shared" si="192"/>
        <v>0</v>
      </c>
    </row>
    <row r="1960" spans="1:28">
      <c r="A1960" s="35">
        <v>1949</v>
      </c>
      <c r="B1960" s="35">
        <v>4.2663149184232914E-4</v>
      </c>
      <c r="C1960" s="232">
        <v>53.71</v>
      </c>
      <c r="D1960" s="35">
        <v>5.0596925528887624</v>
      </c>
      <c r="E1960" s="232">
        <v>36.82</v>
      </c>
      <c r="F1960" s="35">
        <v>5.0513633776378528</v>
      </c>
      <c r="G1960" s="232">
        <v>10860.44</v>
      </c>
      <c r="H1960" s="35">
        <v>8.5264285635785608</v>
      </c>
      <c r="I1960" s="232">
        <v>13635.66</v>
      </c>
      <c r="J1960" s="35">
        <v>7.4045100158274764</v>
      </c>
      <c r="K1960" s="232">
        <v>8795.18</v>
      </c>
      <c r="L1960" s="35">
        <v>8.6521729363860036</v>
      </c>
      <c r="M1960" s="232">
        <v>34658.910000000003</v>
      </c>
      <c r="N1960" s="35">
        <v>7.5947706024784782</v>
      </c>
      <c r="P1960" s="232">
        <v>-16.88</v>
      </c>
      <c r="Q1960" s="35">
        <v>8.3291752509095929E-3</v>
      </c>
      <c r="R1960" s="232">
        <v>2775.22</v>
      </c>
      <c r="S1960" s="35">
        <v>1.1219185477510845</v>
      </c>
      <c r="T1960" s="232">
        <v>25863.73</v>
      </c>
      <c r="U1960" s="35">
        <v>1.0574023339075254</v>
      </c>
      <c r="W1960" s="35">
        <f t="shared" si="187"/>
        <v>433.33876254547965</v>
      </c>
      <c r="X1960" s="35">
        <f t="shared" si="188"/>
        <v>53320.707387554219</v>
      </c>
      <c r="Y1960" s="35">
        <f t="shared" si="189"/>
        <v>27006.386695376266</v>
      </c>
      <c r="Z1960" s="35">
        <f t="shared" si="190"/>
        <v>0</v>
      </c>
      <c r="AA1960" s="35">
        <f t="shared" si="191"/>
        <v>1</v>
      </c>
      <c r="AB1960" s="35">
        <f t="shared" si="192"/>
        <v>0</v>
      </c>
    </row>
    <row r="1961" spans="1:28">
      <c r="A1961" s="35">
        <v>1950</v>
      </c>
      <c r="B1961" s="35">
        <v>4.921493621466988E-4</v>
      </c>
      <c r="C1961" s="232">
        <v>92.42</v>
      </c>
      <c r="D1961" s="35">
        <v>5.0636290234267216</v>
      </c>
      <c r="E1961" s="232">
        <v>52.15</v>
      </c>
      <c r="F1961" s="35">
        <v>5.0514077164880353</v>
      </c>
      <c r="G1961" s="232">
        <v>14861.81</v>
      </c>
      <c r="H1961" s="35">
        <v>8.7151567810534498</v>
      </c>
      <c r="I1961" s="232">
        <v>14992.81</v>
      </c>
      <c r="J1961" s="35">
        <v>6.9407410617546699</v>
      </c>
      <c r="K1961" s="232">
        <v>19361.36</v>
      </c>
      <c r="L1961" s="35">
        <v>8.6011474981649219</v>
      </c>
      <c r="M1961" s="232">
        <v>45802.85</v>
      </c>
      <c r="N1961" s="35">
        <v>7.3711505576458647</v>
      </c>
      <c r="P1961" s="232">
        <v>-40.270000000000003</v>
      </c>
      <c r="Q1961" s="35">
        <v>1.2221306938686283E-2</v>
      </c>
      <c r="R1961" s="232">
        <v>130.99</v>
      </c>
      <c r="S1961" s="35">
        <v>1.7744157192987799</v>
      </c>
      <c r="T1961" s="232">
        <v>26441.49</v>
      </c>
      <c r="U1961" s="35">
        <v>1.2299969405190572</v>
      </c>
      <c r="W1961" s="35">
        <f t="shared" si="187"/>
        <v>651.33534693431409</v>
      </c>
      <c r="X1961" s="35">
        <f t="shared" si="188"/>
        <v>88589.795964938996</v>
      </c>
      <c r="Y1961" s="35">
        <f t="shared" si="189"/>
        <v>35058.35702595285</v>
      </c>
      <c r="Z1961" s="35">
        <f t="shared" si="190"/>
        <v>0</v>
      </c>
      <c r="AA1961" s="35">
        <f t="shared" si="191"/>
        <v>1</v>
      </c>
      <c r="AB1961" s="35">
        <f t="shared" si="192"/>
        <v>0</v>
      </c>
    </row>
    <row r="1962" spans="1:28">
      <c r="A1962" s="35">
        <v>1951</v>
      </c>
      <c r="B1962" s="35">
        <v>3.8116519551447227E-4</v>
      </c>
      <c r="C1962" s="232">
        <v>57</v>
      </c>
      <c r="D1962" s="35">
        <v>5.0573551731942441</v>
      </c>
      <c r="E1962" s="232">
        <v>34.17</v>
      </c>
      <c r="F1962" s="35">
        <v>5.0483228823120774</v>
      </c>
      <c r="G1962" s="232">
        <v>11494.54</v>
      </c>
      <c r="H1962" s="35">
        <v>8.5805630416689613</v>
      </c>
      <c r="I1962" s="232">
        <v>12476.56</v>
      </c>
      <c r="J1962" s="35">
        <v>7.4693182525791624</v>
      </c>
      <c r="K1962" s="232">
        <v>15280.08</v>
      </c>
      <c r="L1962" s="35">
        <v>8.66924081471549</v>
      </c>
      <c r="M1962" s="232">
        <v>41475.31</v>
      </c>
      <c r="N1962" s="35">
        <v>7.5839682622966578</v>
      </c>
      <c r="P1962" s="232">
        <v>-22.83</v>
      </c>
      <c r="Q1962" s="35">
        <v>9.0322908821667269E-3</v>
      </c>
      <c r="R1962" s="232">
        <v>982.03</v>
      </c>
      <c r="S1962" s="35">
        <v>1.111244789089799</v>
      </c>
      <c r="T1962" s="232">
        <v>26195.23</v>
      </c>
      <c r="U1962" s="35">
        <v>1.0852725524188322</v>
      </c>
      <c r="W1962" s="35">
        <f t="shared" si="187"/>
        <v>474.44454410833634</v>
      </c>
      <c r="X1962" s="35">
        <f t="shared" si="188"/>
        <v>54580.209454489952</v>
      </c>
      <c r="Y1962" s="35">
        <f t="shared" si="189"/>
        <v>28068.397620941611</v>
      </c>
      <c r="Z1962" s="35">
        <f t="shared" si="190"/>
        <v>0</v>
      </c>
      <c r="AA1962" s="35">
        <f t="shared" si="191"/>
        <v>1</v>
      </c>
      <c r="AB1962" s="35">
        <f t="shared" si="192"/>
        <v>0</v>
      </c>
    </row>
    <row r="1963" spans="1:28">
      <c r="A1963" s="35">
        <v>1952</v>
      </c>
      <c r="B1963" s="35">
        <v>4.242745630141913E-4</v>
      </c>
      <c r="C1963" s="232">
        <v>73.319999999999993</v>
      </c>
      <c r="D1963" s="35">
        <v>5.0606298496678654</v>
      </c>
      <c r="E1963" s="232">
        <v>47.98</v>
      </c>
      <c r="F1963" s="35">
        <v>5.0516463549032888</v>
      </c>
      <c r="G1963" s="232">
        <v>13620.07</v>
      </c>
      <c r="H1963" s="35">
        <v>8.7879536953471096</v>
      </c>
      <c r="I1963" s="232">
        <v>14984.44</v>
      </c>
      <c r="J1963" s="35">
        <v>7.7666583182596529</v>
      </c>
      <c r="K1963" s="232">
        <v>16606.77</v>
      </c>
      <c r="L1963" s="35">
        <v>8.9585042131070782</v>
      </c>
      <c r="M1963" s="232">
        <v>42829.94</v>
      </c>
      <c r="N1963" s="35">
        <v>7.9235905070585551</v>
      </c>
      <c r="P1963" s="232">
        <v>-25.34</v>
      </c>
      <c r="Q1963" s="35">
        <v>8.983494764576605E-3</v>
      </c>
      <c r="R1963" s="232">
        <v>1364.36</v>
      </c>
      <c r="S1963" s="35">
        <v>1.0212953770874567</v>
      </c>
      <c r="T1963" s="232">
        <v>26223.17</v>
      </c>
      <c r="U1963" s="35">
        <v>1.0349137060485232</v>
      </c>
      <c r="W1963" s="35">
        <f t="shared" si="187"/>
        <v>474.51473822883025</v>
      </c>
      <c r="X1963" s="35">
        <f t="shared" si="188"/>
        <v>49700.408854372836</v>
      </c>
      <c r="Y1963" s="35">
        <f t="shared" si="189"/>
        <v>25522.51530242616</v>
      </c>
      <c r="Z1963" s="35">
        <f t="shared" si="190"/>
        <v>0</v>
      </c>
      <c r="AA1963" s="35">
        <f t="shared" si="191"/>
        <v>1</v>
      </c>
      <c r="AB1963" s="35">
        <f t="shared" si="192"/>
        <v>0</v>
      </c>
    </row>
    <row r="1964" spans="1:28">
      <c r="A1964" s="35">
        <v>1953</v>
      </c>
      <c r="B1964" s="35">
        <v>5.66772593863063E-4</v>
      </c>
      <c r="C1964" s="232">
        <v>58.39</v>
      </c>
      <c r="D1964" s="35">
        <v>5.0675736865389638</v>
      </c>
      <c r="E1964" s="232">
        <v>37.950000000000003</v>
      </c>
      <c r="F1964" s="35">
        <v>5.0553360155817302</v>
      </c>
      <c r="G1964" s="232">
        <v>7938.93</v>
      </c>
      <c r="H1964" s="35">
        <v>8.6083406274290049</v>
      </c>
      <c r="I1964" s="232">
        <v>9751.69</v>
      </c>
      <c r="J1964" s="35">
        <v>7.9512651963614509</v>
      </c>
      <c r="K1964" s="232">
        <v>9946.3799999999992</v>
      </c>
      <c r="L1964" s="35">
        <v>8.8336146662056798</v>
      </c>
      <c r="M1964" s="232">
        <v>35912.629999999997</v>
      </c>
      <c r="N1964" s="35">
        <v>7.8176177753151546</v>
      </c>
      <c r="P1964" s="232">
        <v>-20.43</v>
      </c>
      <c r="Q1964" s="35">
        <v>1.2237670957233604E-2</v>
      </c>
      <c r="R1964" s="232">
        <v>1812.76</v>
      </c>
      <c r="S1964" s="35">
        <v>0.65707543106755395</v>
      </c>
      <c r="T1964" s="232">
        <v>25966.26</v>
      </c>
      <c r="U1964" s="35">
        <v>1.0159968908905253</v>
      </c>
      <c r="W1964" s="35">
        <f t="shared" si="187"/>
        <v>632.31354786168015</v>
      </c>
      <c r="X1964" s="35">
        <f t="shared" si="188"/>
        <v>31041.011553377703</v>
      </c>
      <c r="Y1964" s="35">
        <f t="shared" si="189"/>
        <v>24833.584544526264</v>
      </c>
      <c r="Z1964" s="35">
        <f t="shared" si="190"/>
        <v>0</v>
      </c>
      <c r="AA1964" s="35">
        <f t="shared" si="191"/>
        <v>1</v>
      </c>
      <c r="AB1964" s="35">
        <f t="shared" si="192"/>
        <v>0</v>
      </c>
    </row>
    <row r="1965" spans="1:28">
      <c r="A1965" s="35">
        <v>1954</v>
      </c>
      <c r="B1965" s="35">
        <v>4.3150774288033621E-4</v>
      </c>
      <c r="C1965" s="232">
        <v>70.53</v>
      </c>
      <c r="D1965" s="35">
        <v>5.0631726537808639</v>
      </c>
      <c r="E1965" s="232">
        <v>44.38</v>
      </c>
      <c r="F1965" s="35">
        <v>5.0524997571008443</v>
      </c>
      <c r="G1965" s="232">
        <v>12975.32</v>
      </c>
      <c r="H1965" s="35">
        <v>9.5766496499626541</v>
      </c>
      <c r="I1965" s="232">
        <v>13555.21</v>
      </c>
      <c r="J1965" s="35">
        <v>7.8016862103221127</v>
      </c>
      <c r="K1965" s="232">
        <v>15465.1</v>
      </c>
      <c r="L1965" s="35">
        <v>8.740844969399225</v>
      </c>
      <c r="M1965" s="232">
        <v>41648.639999999999</v>
      </c>
      <c r="N1965" s="35">
        <v>7.6231992814047027</v>
      </c>
      <c r="P1965" s="232">
        <v>-26.15</v>
      </c>
      <c r="Q1965" s="35">
        <v>1.0672896680019583E-2</v>
      </c>
      <c r="R1965" s="232">
        <v>579.89</v>
      </c>
      <c r="S1965" s="35">
        <v>1.7749634396405414</v>
      </c>
      <c r="T1965" s="232">
        <v>26183.54</v>
      </c>
      <c r="U1965" s="35">
        <v>1.1176456879945222</v>
      </c>
      <c r="W1965" s="35">
        <f t="shared" si="187"/>
        <v>559.79483400097911</v>
      </c>
      <c r="X1965" s="35">
        <f t="shared" si="188"/>
        <v>88168.281982027067</v>
      </c>
      <c r="Y1965" s="35">
        <f t="shared" si="189"/>
        <v>29698.744399726114</v>
      </c>
      <c r="Z1965" s="35">
        <f t="shared" si="190"/>
        <v>0</v>
      </c>
      <c r="AA1965" s="35">
        <f t="shared" si="191"/>
        <v>1</v>
      </c>
      <c r="AB1965" s="35">
        <f t="shared" si="192"/>
        <v>0</v>
      </c>
    </row>
    <row r="1966" spans="1:28">
      <c r="A1966" s="35">
        <v>1955</v>
      </c>
      <c r="B1966" s="35">
        <v>3.4367532499580516E-4</v>
      </c>
      <c r="C1966" s="232">
        <v>57.44</v>
      </c>
      <c r="D1966" s="35">
        <v>5.0559630948206653</v>
      </c>
      <c r="E1966" s="232">
        <v>33.58</v>
      </c>
      <c r="F1966" s="35">
        <v>5.0473195030073237</v>
      </c>
      <c r="G1966" s="232">
        <v>12886.37</v>
      </c>
      <c r="H1966" s="35">
        <v>8.7539730912482465</v>
      </c>
      <c r="I1966" s="232">
        <v>15383.32</v>
      </c>
      <c r="J1966" s="35">
        <v>9.0420430782755332</v>
      </c>
      <c r="K1966" s="232">
        <v>15345.9</v>
      </c>
      <c r="L1966" s="35">
        <v>8.8518634316814087</v>
      </c>
      <c r="M1966" s="232">
        <v>41416.800000000003</v>
      </c>
      <c r="N1966" s="35">
        <v>7.7986161448573483</v>
      </c>
      <c r="P1966" s="232">
        <v>-23.85</v>
      </c>
      <c r="Q1966" s="35">
        <v>8.6435918133416223E-3</v>
      </c>
      <c r="R1966" s="232">
        <v>2496.9499999999998</v>
      </c>
      <c r="S1966" s="35">
        <v>-0.2880699870272867</v>
      </c>
      <c r="T1966" s="232">
        <v>26070.89</v>
      </c>
      <c r="U1966" s="35">
        <v>1.0532472868240603</v>
      </c>
      <c r="W1966" s="35">
        <f t="shared" si="187"/>
        <v>456.02959066708115</v>
      </c>
      <c r="X1966" s="35">
        <f t="shared" si="188"/>
        <v>-16900.449351364336</v>
      </c>
      <c r="Y1966" s="35">
        <f t="shared" si="189"/>
        <v>26591.474341203015</v>
      </c>
      <c r="Z1966" s="35">
        <f t="shared" si="190"/>
        <v>0</v>
      </c>
      <c r="AA1966" s="35">
        <f t="shared" si="191"/>
        <v>0</v>
      </c>
      <c r="AB1966" s="35">
        <f t="shared" si="192"/>
        <v>1</v>
      </c>
    </row>
    <row r="1967" spans="1:28">
      <c r="A1967" s="35">
        <v>1956</v>
      </c>
      <c r="B1967" s="35">
        <v>4.0417428621194931E-4</v>
      </c>
      <c r="C1967" s="232">
        <v>60.2</v>
      </c>
      <c r="D1967" s="35">
        <v>5.0610691581993077</v>
      </c>
      <c r="E1967" s="232">
        <v>34.64</v>
      </c>
      <c r="F1967" s="35">
        <v>5.0498317540450177</v>
      </c>
      <c r="G1967" s="232">
        <v>12195.74</v>
      </c>
      <c r="H1967" s="35">
        <v>9.3280021537561257</v>
      </c>
      <c r="I1967" s="232">
        <v>13425.4</v>
      </c>
      <c r="J1967" s="35">
        <v>7.3800450266649644</v>
      </c>
      <c r="K1967" s="232">
        <v>14040.47</v>
      </c>
      <c r="L1967" s="35">
        <v>8.9729147772472331</v>
      </c>
      <c r="M1967" s="232">
        <v>40253.760000000002</v>
      </c>
      <c r="N1967" s="35">
        <v>7.8199197777456702</v>
      </c>
      <c r="P1967" s="232">
        <v>-25.56</v>
      </c>
      <c r="Q1967" s="35">
        <v>1.1237404154289976E-2</v>
      </c>
      <c r="R1967" s="232">
        <v>1229.6600000000001</v>
      </c>
      <c r="S1967" s="35">
        <v>1.9479571270911613</v>
      </c>
      <c r="T1967" s="232">
        <v>26213.29</v>
      </c>
      <c r="U1967" s="35">
        <v>1.1529949995015629</v>
      </c>
      <c r="W1967" s="35">
        <f t="shared" si="187"/>
        <v>587.43020771449869</v>
      </c>
      <c r="X1967" s="35">
        <f t="shared" si="188"/>
        <v>96168.196354558066</v>
      </c>
      <c r="Y1967" s="35">
        <f t="shared" si="189"/>
        <v>31436.459975078142</v>
      </c>
      <c r="Z1967" s="35">
        <f t="shared" si="190"/>
        <v>0</v>
      </c>
      <c r="AA1967" s="35">
        <f t="shared" si="191"/>
        <v>1</v>
      </c>
      <c r="AB1967" s="35">
        <f t="shared" si="192"/>
        <v>0</v>
      </c>
    </row>
    <row r="1968" spans="1:28">
      <c r="A1968" s="35">
        <v>1957</v>
      </c>
      <c r="B1968" s="35">
        <v>3.6231147213351515E-4</v>
      </c>
      <c r="C1968" s="232">
        <v>53.04</v>
      </c>
      <c r="D1968" s="35">
        <v>5.0584564518940205</v>
      </c>
      <c r="E1968" s="232">
        <v>33.21</v>
      </c>
      <c r="F1968" s="35">
        <v>5.0493617869576592</v>
      </c>
      <c r="G1968" s="232">
        <v>11251.7</v>
      </c>
      <c r="H1968" s="35">
        <v>9.1732455943904103</v>
      </c>
      <c r="I1968" s="232">
        <v>11477.11</v>
      </c>
      <c r="J1968" s="35">
        <v>7.6909590446365028</v>
      </c>
      <c r="K1968" s="232">
        <v>16291.06</v>
      </c>
      <c r="L1968" s="35">
        <v>8.9303078259034141</v>
      </c>
      <c r="M1968" s="232">
        <v>42461.51</v>
      </c>
      <c r="N1968" s="35">
        <v>7.8419031506219508</v>
      </c>
      <c r="P1968" s="232">
        <v>-19.829999999999998</v>
      </c>
      <c r="Q1968" s="35">
        <v>9.0946649363612408E-3</v>
      </c>
      <c r="R1968" s="232">
        <v>225.41</v>
      </c>
      <c r="S1968" s="35">
        <v>1.4822865497539075</v>
      </c>
      <c r="T1968" s="232">
        <v>26170.45</v>
      </c>
      <c r="U1968" s="35">
        <v>1.0884046752814633</v>
      </c>
      <c r="W1968" s="35">
        <f t="shared" si="187"/>
        <v>474.56324681806205</v>
      </c>
      <c r="X1968" s="35">
        <f t="shared" si="188"/>
        <v>73888.917487695377</v>
      </c>
      <c r="Y1968" s="35">
        <f t="shared" si="189"/>
        <v>28249.783764073163</v>
      </c>
      <c r="Z1968" s="35">
        <f t="shared" si="190"/>
        <v>0</v>
      </c>
      <c r="AA1968" s="35">
        <f t="shared" si="191"/>
        <v>1</v>
      </c>
      <c r="AB1968" s="35">
        <f t="shared" si="192"/>
        <v>0</v>
      </c>
    </row>
    <row r="1969" spans="1:28">
      <c r="A1969" s="35">
        <v>1958</v>
      </c>
      <c r="B1969" s="35">
        <v>5.3276169105320736E-4</v>
      </c>
      <c r="C1969" s="232">
        <v>79.849999999999994</v>
      </c>
      <c r="D1969" s="35">
        <v>5.0663447324176296</v>
      </c>
      <c r="E1969" s="232">
        <v>55.08</v>
      </c>
      <c r="F1969" s="35">
        <v>5.0562210733971442</v>
      </c>
      <c r="G1969" s="232">
        <v>11263.98</v>
      </c>
      <c r="H1969" s="35">
        <v>8.6009136514893498</v>
      </c>
      <c r="I1969" s="232">
        <v>11604</v>
      </c>
      <c r="J1969" s="35">
        <v>6.9234442072862672</v>
      </c>
      <c r="K1969" s="232">
        <v>15475.85</v>
      </c>
      <c r="L1969" s="35">
        <v>8.9414142818601263</v>
      </c>
      <c r="M1969" s="232">
        <v>41697.410000000003</v>
      </c>
      <c r="N1969" s="35">
        <v>7.7936435363656784</v>
      </c>
      <c r="P1969" s="232">
        <v>-24.78</v>
      </c>
      <c r="Q1969" s="35">
        <v>1.0123659020485398E-2</v>
      </c>
      <c r="R1969" s="232">
        <v>340.02</v>
      </c>
      <c r="S1969" s="35">
        <v>1.6774694442030826</v>
      </c>
      <c r="T1969" s="232">
        <v>26221.56</v>
      </c>
      <c r="U1969" s="35">
        <v>1.1477707454944479</v>
      </c>
      <c r="W1969" s="35">
        <f t="shared" si="187"/>
        <v>530.96295102426996</v>
      </c>
      <c r="X1969" s="35">
        <f t="shared" si="188"/>
        <v>83533.452210154122</v>
      </c>
      <c r="Y1969" s="35">
        <f t="shared" si="189"/>
        <v>31166.977274722394</v>
      </c>
      <c r="Z1969" s="35">
        <f t="shared" si="190"/>
        <v>0</v>
      </c>
      <c r="AA1969" s="35">
        <f t="shared" si="191"/>
        <v>1</v>
      </c>
      <c r="AB1969" s="35">
        <f t="shared" si="192"/>
        <v>0</v>
      </c>
    </row>
    <row r="1970" spans="1:28">
      <c r="A1970" s="35">
        <v>1959</v>
      </c>
      <c r="B1970" s="35">
        <v>4.887937736455239E-4</v>
      </c>
      <c r="C1970" s="232">
        <v>65.11</v>
      </c>
      <c r="D1970" s="35">
        <v>5.0636803494837306</v>
      </c>
      <c r="E1970" s="232">
        <v>37.369999999999997</v>
      </c>
      <c r="F1970" s="35">
        <v>5.0512570681453912</v>
      </c>
      <c r="G1970" s="232">
        <v>10133.84</v>
      </c>
      <c r="H1970" s="35">
        <v>8.7043552291171586</v>
      </c>
      <c r="I1970" s="232">
        <v>10751.25</v>
      </c>
      <c r="J1970" s="35">
        <v>6.6253300426372075</v>
      </c>
      <c r="K1970" s="232">
        <v>11474.86</v>
      </c>
      <c r="L1970" s="35">
        <v>8.9846997800318373</v>
      </c>
      <c r="M1970" s="232">
        <v>37359.39</v>
      </c>
      <c r="N1970" s="35">
        <v>7.9982469243433041</v>
      </c>
      <c r="P1970" s="232">
        <v>-27.74</v>
      </c>
      <c r="Q1970" s="35">
        <v>1.2423281338339365E-2</v>
      </c>
      <c r="R1970" s="232">
        <v>617.41</v>
      </c>
      <c r="S1970" s="35">
        <v>2.0790251864799512</v>
      </c>
      <c r="T1970" s="232">
        <v>25884.53</v>
      </c>
      <c r="U1970" s="35">
        <v>0.98645285568853325</v>
      </c>
      <c r="W1970" s="35">
        <f t="shared" si="187"/>
        <v>648.9040669169683</v>
      </c>
      <c r="X1970" s="35">
        <f t="shared" si="188"/>
        <v>103333.84932399755</v>
      </c>
      <c r="Y1970" s="35">
        <f t="shared" si="189"/>
        <v>23438.112784426667</v>
      </c>
      <c r="Z1970" s="35">
        <f t="shared" si="190"/>
        <v>0</v>
      </c>
      <c r="AA1970" s="35">
        <f t="shared" si="191"/>
        <v>1</v>
      </c>
      <c r="AB1970" s="35">
        <f t="shared" si="192"/>
        <v>0</v>
      </c>
    </row>
    <row r="1971" spans="1:28">
      <c r="A1971" s="35">
        <v>1960</v>
      </c>
      <c r="B1971" s="35">
        <v>2.7916908101005626E-4</v>
      </c>
      <c r="C1971" s="232">
        <v>37.08</v>
      </c>
      <c r="D1971" s="35">
        <v>5.0528606581258355</v>
      </c>
      <c r="E1971" s="232">
        <v>23.46</v>
      </c>
      <c r="F1971" s="35">
        <v>5.0458964089886607</v>
      </c>
      <c r="G1971" s="232">
        <v>10539.45</v>
      </c>
      <c r="H1971" s="35">
        <v>8.9869458430663034</v>
      </c>
      <c r="I1971" s="232">
        <v>11876.45</v>
      </c>
      <c r="J1971" s="35">
        <v>7.6794959043073732</v>
      </c>
      <c r="K1971" s="232">
        <v>12332.18</v>
      </c>
      <c r="L1971" s="35">
        <v>8.6116115158606235</v>
      </c>
      <c r="M1971" s="232">
        <v>38314.57</v>
      </c>
      <c r="N1971" s="35">
        <v>7.5141120626175164</v>
      </c>
      <c r="P1971" s="232">
        <v>-13.63</v>
      </c>
      <c r="Q1971" s="35">
        <v>6.9642491371748605E-3</v>
      </c>
      <c r="R1971" s="232">
        <v>1336.99</v>
      </c>
      <c r="S1971" s="35">
        <v>1.3074499387589302</v>
      </c>
      <c r="T1971" s="232">
        <v>25982.39</v>
      </c>
      <c r="U1971" s="35">
        <v>1.097499453243107</v>
      </c>
      <c r="W1971" s="35">
        <f t="shared" si="187"/>
        <v>361.84245685874305</v>
      </c>
      <c r="X1971" s="35">
        <f t="shared" si="188"/>
        <v>64035.506937946513</v>
      </c>
      <c r="Y1971" s="35">
        <f t="shared" si="189"/>
        <v>28892.58266215535</v>
      </c>
      <c r="Z1971" s="35">
        <f t="shared" si="190"/>
        <v>0</v>
      </c>
      <c r="AA1971" s="35">
        <f t="shared" si="191"/>
        <v>1</v>
      </c>
      <c r="AB1971" s="35">
        <f t="shared" si="192"/>
        <v>0</v>
      </c>
    </row>
    <row r="1972" spans="1:28">
      <c r="A1972" s="35">
        <v>1961</v>
      </c>
      <c r="B1972" s="35">
        <v>4.2066127933614874E-4</v>
      </c>
      <c r="C1972" s="232">
        <v>52.33</v>
      </c>
      <c r="D1972" s="35">
        <v>5.058803271384015</v>
      </c>
      <c r="E1972" s="232">
        <v>33.17</v>
      </c>
      <c r="F1972" s="35">
        <v>5.049697024125928</v>
      </c>
      <c r="G1972" s="232">
        <v>9386.92</v>
      </c>
      <c r="H1972" s="35">
        <v>8.2113943539796814</v>
      </c>
      <c r="I1972" s="232">
        <v>10640.73</v>
      </c>
      <c r="J1972" s="35">
        <v>6.8391156680386791</v>
      </c>
      <c r="K1972" s="232">
        <v>11029.24</v>
      </c>
      <c r="L1972" s="35">
        <v>8.9531206433771597</v>
      </c>
      <c r="M1972" s="232">
        <v>36787.81</v>
      </c>
      <c r="N1972" s="35">
        <v>7.837474824313027</v>
      </c>
      <c r="P1972" s="232">
        <v>-19.16</v>
      </c>
      <c r="Q1972" s="35">
        <v>9.1062472580869525E-3</v>
      </c>
      <c r="R1972" s="232">
        <v>1253.8</v>
      </c>
      <c r="S1972" s="35">
        <v>1.3722786859410023</v>
      </c>
      <c r="T1972" s="232">
        <v>25758.57</v>
      </c>
      <c r="U1972" s="35">
        <v>1.1156458190641327</v>
      </c>
      <c r="W1972" s="35">
        <f t="shared" si="187"/>
        <v>474.47236290434768</v>
      </c>
      <c r="X1972" s="35">
        <f t="shared" si="188"/>
        <v>67360.134297050114</v>
      </c>
      <c r="Y1972" s="35">
        <f t="shared" si="189"/>
        <v>30023.720953206634</v>
      </c>
      <c r="Z1972" s="35">
        <f t="shared" si="190"/>
        <v>0</v>
      </c>
      <c r="AA1972" s="35">
        <f t="shared" si="191"/>
        <v>1</v>
      </c>
      <c r="AB1972" s="35">
        <f t="shared" si="192"/>
        <v>0</v>
      </c>
    </row>
    <row r="1973" spans="1:28">
      <c r="A1973" s="35">
        <v>1962</v>
      </c>
      <c r="B1973" s="35">
        <v>3.4275595880142783E-4</v>
      </c>
      <c r="C1973" s="232">
        <v>60.41</v>
      </c>
      <c r="D1973" s="35">
        <v>5.0572377705619722</v>
      </c>
      <c r="E1973" s="232">
        <v>43.92</v>
      </c>
      <c r="F1973" s="35">
        <v>5.050795168587662</v>
      </c>
      <c r="G1973" s="232">
        <v>13982.69</v>
      </c>
      <c r="H1973" s="35">
        <v>9.0151770908855635</v>
      </c>
      <c r="I1973" s="232">
        <v>15461.44</v>
      </c>
      <c r="J1973" s="35">
        <v>7.9948641479151377</v>
      </c>
      <c r="K1973" s="232">
        <v>16849.97</v>
      </c>
      <c r="L1973" s="35">
        <v>8.9546375786036485</v>
      </c>
      <c r="M1973" s="232">
        <v>43119.78</v>
      </c>
      <c r="N1973" s="35">
        <v>7.7326084716224317</v>
      </c>
      <c r="P1973" s="232">
        <v>-16.489999999999998</v>
      </c>
      <c r="Q1973" s="35">
        <v>6.4426019743102358E-3</v>
      </c>
      <c r="R1973" s="232">
        <v>1478.75</v>
      </c>
      <c r="S1973" s="35">
        <v>1.0203129429704259</v>
      </c>
      <c r="T1973" s="232">
        <v>26269.81</v>
      </c>
      <c r="U1973" s="35">
        <v>1.2220291069812168</v>
      </c>
      <c r="W1973" s="35">
        <f t="shared" si="187"/>
        <v>338.6200987155118</v>
      </c>
      <c r="X1973" s="35">
        <f t="shared" si="188"/>
        <v>49536.89714852129</v>
      </c>
      <c r="Y1973" s="35">
        <f t="shared" si="189"/>
        <v>34831.64534906084</v>
      </c>
      <c r="Z1973" s="35">
        <f t="shared" si="190"/>
        <v>0</v>
      </c>
      <c r="AA1973" s="35">
        <f t="shared" si="191"/>
        <v>1</v>
      </c>
      <c r="AB1973" s="35">
        <f t="shared" si="192"/>
        <v>0</v>
      </c>
    </row>
    <row r="1974" spans="1:28">
      <c r="A1974" s="35">
        <v>1963</v>
      </c>
      <c r="B1974" s="35">
        <v>4.435761579437663E-4</v>
      </c>
      <c r="C1974" s="232">
        <v>84.62</v>
      </c>
      <c r="D1974" s="35">
        <v>5.0597681552838925</v>
      </c>
      <c r="E1974" s="232">
        <v>50.14</v>
      </c>
      <c r="F1974" s="35">
        <v>5.0499189499018531</v>
      </c>
      <c r="G1974" s="232">
        <v>14540.64</v>
      </c>
      <c r="H1974" s="35">
        <v>8.555753638776789</v>
      </c>
      <c r="I1974" s="232">
        <v>14403.86</v>
      </c>
      <c r="J1974" s="35">
        <v>7.4208810540760624</v>
      </c>
      <c r="K1974" s="232">
        <v>21516.21</v>
      </c>
      <c r="L1974" s="35">
        <v>8.3555947150157834</v>
      </c>
      <c r="M1974" s="232">
        <v>47847.53</v>
      </c>
      <c r="N1974" s="35">
        <v>7.3246932844725281</v>
      </c>
      <c r="P1974" s="232">
        <v>-34.479999999999997</v>
      </c>
      <c r="Q1974" s="35">
        <v>9.8492053820393721E-3</v>
      </c>
      <c r="R1974" s="232">
        <v>-136.78</v>
      </c>
      <c r="S1974" s="35">
        <v>1.1348725847007266</v>
      </c>
      <c r="T1974" s="232">
        <v>26331.32</v>
      </c>
      <c r="U1974" s="35">
        <v>1.0309014305432553</v>
      </c>
      <c r="W1974" s="35">
        <f t="shared" si="187"/>
        <v>526.94026910196862</v>
      </c>
      <c r="X1974" s="35">
        <f t="shared" si="188"/>
        <v>56880.409235036328</v>
      </c>
      <c r="Y1974" s="35">
        <f t="shared" si="189"/>
        <v>25213.751527162764</v>
      </c>
      <c r="Z1974" s="35">
        <f t="shared" si="190"/>
        <v>0</v>
      </c>
      <c r="AA1974" s="35">
        <f t="shared" si="191"/>
        <v>1</v>
      </c>
      <c r="AB1974" s="35">
        <f t="shared" si="192"/>
        <v>0</v>
      </c>
    </row>
    <row r="1975" spans="1:28">
      <c r="A1975" s="35">
        <v>1964</v>
      </c>
      <c r="B1975" s="35">
        <v>5.7967396700675522E-4</v>
      </c>
      <c r="C1975" s="232">
        <v>75.430000000000007</v>
      </c>
      <c r="D1975" s="35">
        <v>5.0674281504188752</v>
      </c>
      <c r="E1975" s="232">
        <v>49.17</v>
      </c>
      <c r="F1975" s="35">
        <v>5.0557224516333692</v>
      </c>
      <c r="G1975" s="232">
        <v>9852.33</v>
      </c>
      <c r="H1975" s="35">
        <v>8.5532695407803576</v>
      </c>
      <c r="I1975" s="232">
        <v>11009.79</v>
      </c>
      <c r="J1975" s="35">
        <v>7.1878499471349402</v>
      </c>
      <c r="K1975" s="232">
        <v>11518.13</v>
      </c>
      <c r="L1975" s="35">
        <v>8.519966677612933</v>
      </c>
      <c r="M1975" s="232">
        <v>37484.1</v>
      </c>
      <c r="N1975" s="35">
        <v>7.3583506687002789</v>
      </c>
      <c r="P1975" s="232">
        <v>-26.26</v>
      </c>
      <c r="Q1975" s="35">
        <v>1.170569878550598E-2</v>
      </c>
      <c r="R1975" s="232">
        <v>1157.46</v>
      </c>
      <c r="S1975" s="35">
        <v>1.3654195936454174</v>
      </c>
      <c r="T1975" s="232">
        <v>25965.98</v>
      </c>
      <c r="U1975" s="35">
        <v>1.1616160089126542</v>
      </c>
      <c r="W1975" s="35">
        <f t="shared" si="187"/>
        <v>611.54493927529904</v>
      </c>
      <c r="X1975" s="35">
        <f t="shared" si="188"/>
        <v>67113.519682270868</v>
      </c>
      <c r="Y1975" s="35">
        <f t="shared" si="189"/>
        <v>32114.820445632711</v>
      </c>
      <c r="Z1975" s="35">
        <f t="shared" si="190"/>
        <v>0</v>
      </c>
      <c r="AA1975" s="35">
        <f t="shared" si="191"/>
        <v>1</v>
      </c>
      <c r="AB1975" s="35">
        <f t="shared" si="192"/>
        <v>0</v>
      </c>
    </row>
    <row r="1976" spans="1:28">
      <c r="A1976" s="35">
        <v>1965</v>
      </c>
      <c r="B1976" s="35">
        <v>4.5267772285639829E-4</v>
      </c>
      <c r="C1976" s="232">
        <v>61.27</v>
      </c>
      <c r="D1976" s="35">
        <v>5.0619822097104699</v>
      </c>
      <c r="E1976" s="232">
        <v>35.24</v>
      </c>
      <c r="F1976" s="35">
        <v>5.0503221288464948</v>
      </c>
      <c r="G1976" s="232">
        <v>10225.89</v>
      </c>
      <c r="H1976" s="35">
        <v>8.8403686784151994</v>
      </c>
      <c r="I1976" s="232">
        <v>10287.57</v>
      </c>
      <c r="J1976" s="35">
        <v>7.1687078117271756</v>
      </c>
      <c r="K1976" s="232">
        <v>14548.73</v>
      </c>
      <c r="L1976" s="35">
        <v>8.7206950659108209</v>
      </c>
      <c r="M1976" s="232">
        <v>40710.36</v>
      </c>
      <c r="N1976" s="35">
        <v>7.5753331809684132</v>
      </c>
      <c r="P1976" s="232">
        <v>-26.03</v>
      </c>
      <c r="Q1976" s="35">
        <v>1.1660080863975075E-2</v>
      </c>
      <c r="R1976" s="232">
        <v>61.68</v>
      </c>
      <c r="S1976" s="35">
        <v>1.6716608666880237</v>
      </c>
      <c r="T1976" s="232">
        <v>26161.63</v>
      </c>
      <c r="U1976" s="35">
        <v>1.1453618849424076</v>
      </c>
      <c r="W1976" s="35">
        <f t="shared" si="187"/>
        <v>609.03404319875369</v>
      </c>
      <c r="X1976" s="35">
        <f t="shared" si="188"/>
        <v>83521.363334401191</v>
      </c>
      <c r="Y1976" s="35">
        <f t="shared" si="189"/>
        <v>31106.464247120381</v>
      </c>
      <c r="Z1976" s="35">
        <f t="shared" si="190"/>
        <v>0</v>
      </c>
      <c r="AA1976" s="35">
        <f t="shared" si="191"/>
        <v>1</v>
      </c>
      <c r="AB1976" s="35">
        <f t="shared" si="192"/>
        <v>0</v>
      </c>
    </row>
    <row r="1977" spans="1:28">
      <c r="A1977" s="35">
        <v>1966</v>
      </c>
      <c r="B1977" s="35">
        <v>4.0200662958017657E-4</v>
      </c>
      <c r="C1977" s="232">
        <v>73.05</v>
      </c>
      <c r="D1977" s="35">
        <v>5.0602588966988939</v>
      </c>
      <c r="E1977" s="232">
        <v>42.5</v>
      </c>
      <c r="F1977" s="35">
        <v>5.0497960492842831</v>
      </c>
      <c r="G1977" s="232">
        <v>13168.7</v>
      </c>
      <c r="H1977" s="35">
        <v>8.8113230735772152</v>
      </c>
      <c r="I1977" s="232">
        <v>13461.13</v>
      </c>
      <c r="J1977" s="35">
        <v>7.6625010327513499</v>
      </c>
      <c r="K1977" s="232">
        <v>19184.47</v>
      </c>
      <c r="L1977" s="35">
        <v>9.4684033201140867</v>
      </c>
      <c r="M1977" s="232">
        <v>45618.25</v>
      </c>
      <c r="N1977" s="35">
        <v>8.3662092105120376</v>
      </c>
      <c r="P1977" s="232">
        <v>-30.55</v>
      </c>
      <c r="Q1977" s="35">
        <v>1.0462847414610899E-2</v>
      </c>
      <c r="R1977" s="232">
        <v>292.43</v>
      </c>
      <c r="S1977" s="35">
        <v>1.1488220408258654</v>
      </c>
      <c r="T1977" s="232">
        <v>26433.78</v>
      </c>
      <c r="U1977" s="35">
        <v>1.1021941096020491</v>
      </c>
      <c r="W1977" s="35">
        <f t="shared" si="187"/>
        <v>553.69237073054489</v>
      </c>
      <c r="X1977" s="35">
        <f t="shared" si="188"/>
        <v>57148.67204129327</v>
      </c>
      <c r="Y1977" s="35">
        <f t="shared" si="189"/>
        <v>28675.925480102458</v>
      </c>
      <c r="Z1977" s="35">
        <f t="shared" si="190"/>
        <v>0</v>
      </c>
      <c r="AA1977" s="35">
        <f t="shared" si="191"/>
        <v>1</v>
      </c>
      <c r="AB1977" s="35">
        <f t="shared" si="192"/>
        <v>0</v>
      </c>
    </row>
    <row r="1978" spans="1:28">
      <c r="A1978" s="35">
        <v>1967</v>
      </c>
      <c r="B1978" s="35">
        <v>4.4706541821015744E-4</v>
      </c>
      <c r="C1978" s="232">
        <v>81.900000000000006</v>
      </c>
      <c r="D1978" s="35">
        <v>5.0628518217588745</v>
      </c>
      <c r="E1978" s="232">
        <v>55.46</v>
      </c>
      <c r="F1978" s="35">
        <v>5.05368790206618</v>
      </c>
      <c r="G1978" s="232">
        <v>13987</v>
      </c>
      <c r="H1978" s="35">
        <v>9.2162697346747731</v>
      </c>
      <c r="I1978" s="232">
        <v>15138.92</v>
      </c>
      <c r="J1978" s="35">
        <v>8.4544648624030376</v>
      </c>
      <c r="K1978" s="232">
        <v>17850.099999999999</v>
      </c>
      <c r="L1978" s="35">
        <v>8.5322094888498174</v>
      </c>
      <c r="M1978" s="232">
        <v>44108.39</v>
      </c>
      <c r="N1978" s="35">
        <v>7.3840638012084074</v>
      </c>
      <c r="P1978" s="232">
        <v>-26.44</v>
      </c>
      <c r="Q1978" s="35">
        <v>9.1639196926944777E-3</v>
      </c>
      <c r="R1978" s="232">
        <v>1151.92</v>
      </c>
      <c r="S1978" s="35">
        <v>0.76180487227173543</v>
      </c>
      <c r="T1978" s="232">
        <v>26258.29</v>
      </c>
      <c r="U1978" s="35">
        <v>1.14814568764141</v>
      </c>
      <c r="W1978" s="35">
        <f t="shared" si="187"/>
        <v>484.63598463472391</v>
      </c>
      <c r="X1978" s="35">
        <f t="shared" si="188"/>
        <v>36938.32361358677</v>
      </c>
      <c r="Y1978" s="35">
        <f t="shared" si="189"/>
        <v>31148.994382070501</v>
      </c>
      <c r="Z1978" s="35">
        <f t="shared" si="190"/>
        <v>0</v>
      </c>
      <c r="AA1978" s="35">
        <f t="shared" si="191"/>
        <v>1</v>
      </c>
      <c r="AB1978" s="35">
        <f t="shared" si="192"/>
        <v>0</v>
      </c>
    </row>
    <row r="1979" spans="1:28">
      <c r="A1979" s="35">
        <v>1968</v>
      </c>
      <c r="B1979" s="35">
        <v>3.6600188729427708E-4</v>
      </c>
      <c r="C1979" s="232">
        <v>58.55</v>
      </c>
      <c r="D1979" s="35">
        <v>5.0586823561072212</v>
      </c>
      <c r="E1979" s="232">
        <v>36.22</v>
      </c>
      <c r="F1979" s="35">
        <v>5.049466174169285</v>
      </c>
      <c r="G1979" s="232">
        <v>12203</v>
      </c>
      <c r="H1979" s="35">
        <v>9.3098159488985051</v>
      </c>
      <c r="I1979" s="232">
        <v>11493.56</v>
      </c>
      <c r="J1979" s="35">
        <v>7.159830770716245</v>
      </c>
      <c r="K1979" s="232">
        <v>15798.6</v>
      </c>
      <c r="L1979" s="35">
        <v>8.7624894383556668</v>
      </c>
      <c r="M1979" s="232">
        <v>41941.96</v>
      </c>
      <c r="N1979" s="35">
        <v>7.6368831636225334</v>
      </c>
      <c r="P1979" s="232">
        <v>-22.33</v>
      </c>
      <c r="Q1979" s="35">
        <v>9.2161819379361631E-3</v>
      </c>
      <c r="R1979" s="232">
        <v>-709.44</v>
      </c>
      <c r="S1979" s="35">
        <v>2.1499851781822601</v>
      </c>
      <c r="T1979" s="232">
        <v>26143.35</v>
      </c>
      <c r="U1979" s="35">
        <v>1.1256062747331335</v>
      </c>
      <c r="W1979" s="35">
        <f t="shared" si="187"/>
        <v>483.13909689680816</v>
      </c>
      <c r="X1979" s="35">
        <f t="shared" si="188"/>
        <v>108208.69890911301</v>
      </c>
      <c r="Y1979" s="35">
        <f t="shared" si="189"/>
        <v>30136.963736656675</v>
      </c>
      <c r="Z1979" s="35">
        <f t="shared" si="190"/>
        <v>0</v>
      </c>
      <c r="AA1979" s="35">
        <f t="shared" si="191"/>
        <v>1</v>
      </c>
      <c r="AB1979" s="35">
        <f t="shared" si="192"/>
        <v>0</v>
      </c>
    </row>
    <row r="1980" spans="1:28">
      <c r="A1980" s="35">
        <v>1969</v>
      </c>
      <c r="B1980" s="35">
        <v>4.299717480837671E-4</v>
      </c>
      <c r="C1980" s="232">
        <v>91.84</v>
      </c>
      <c r="D1980" s="35">
        <v>5.0618938738487715</v>
      </c>
      <c r="E1980" s="232">
        <v>57.67</v>
      </c>
      <c r="F1980" s="35">
        <v>5.0520185191106073</v>
      </c>
      <c r="G1980" s="232">
        <v>16538.32</v>
      </c>
      <c r="H1980" s="35">
        <v>9.2059270418988692</v>
      </c>
      <c r="I1980" s="232">
        <v>15898.53</v>
      </c>
      <c r="J1980" s="35">
        <v>7.7162694772252456</v>
      </c>
      <c r="K1980" s="232">
        <v>22664.98</v>
      </c>
      <c r="L1980" s="35">
        <v>8.8593436819184284</v>
      </c>
      <c r="M1980" s="232">
        <v>49057.86</v>
      </c>
      <c r="N1980" s="35">
        <v>7.8246558281418777</v>
      </c>
      <c r="P1980" s="232">
        <v>-34.17</v>
      </c>
      <c r="Q1980" s="35">
        <v>9.8753547381642548E-3</v>
      </c>
      <c r="R1980" s="232">
        <v>-639.78</v>
      </c>
      <c r="S1980" s="35">
        <v>1.4896575646736236</v>
      </c>
      <c r="T1980" s="232">
        <v>26392.880000000001</v>
      </c>
      <c r="U1980" s="35">
        <v>1.0346878537765507</v>
      </c>
      <c r="W1980" s="35">
        <f t="shared" si="187"/>
        <v>527.93773690821274</v>
      </c>
      <c r="X1980" s="35">
        <f t="shared" si="188"/>
        <v>75122.658233681184</v>
      </c>
      <c r="Y1980" s="35">
        <f t="shared" si="189"/>
        <v>25341.512688827537</v>
      </c>
      <c r="Z1980" s="35">
        <f t="shared" si="190"/>
        <v>0</v>
      </c>
      <c r="AA1980" s="35">
        <f t="shared" si="191"/>
        <v>1</v>
      </c>
      <c r="AB1980" s="35">
        <f t="shared" si="192"/>
        <v>0</v>
      </c>
    </row>
    <row r="1981" spans="1:28">
      <c r="A1981" s="35">
        <v>1970</v>
      </c>
      <c r="B1981" s="35">
        <v>5.7435844640019162E-4</v>
      </c>
      <c r="C1981" s="232">
        <v>85.57</v>
      </c>
      <c r="D1981" s="35">
        <v>5.0680385080410106</v>
      </c>
      <c r="E1981" s="232">
        <v>49.89</v>
      </c>
      <c r="F1981" s="35">
        <v>5.054191688615381</v>
      </c>
      <c r="G1981" s="232">
        <v>11014.75</v>
      </c>
      <c r="H1981" s="35">
        <v>8.8171385791972927</v>
      </c>
      <c r="I1981" s="232">
        <v>12421.92</v>
      </c>
      <c r="J1981" s="35">
        <v>8.2290308433022439</v>
      </c>
      <c r="K1981" s="232">
        <v>14765.16</v>
      </c>
      <c r="L1981" s="35">
        <v>8.7297147932701638</v>
      </c>
      <c r="M1981" s="232">
        <v>40932.69</v>
      </c>
      <c r="N1981" s="35">
        <v>7.670778213660796</v>
      </c>
      <c r="P1981" s="232">
        <v>-35.68</v>
      </c>
      <c r="Q1981" s="35">
        <v>1.3846819425629597E-2</v>
      </c>
      <c r="R1981" s="232">
        <v>1407.17</v>
      </c>
      <c r="S1981" s="35">
        <v>0.58810773589504883</v>
      </c>
      <c r="T1981" s="232">
        <v>26167.53</v>
      </c>
      <c r="U1981" s="35">
        <v>1.0589365796093677</v>
      </c>
      <c r="W1981" s="35">
        <f t="shared" si="187"/>
        <v>728.02097128147977</v>
      </c>
      <c r="X1981" s="35">
        <f t="shared" si="188"/>
        <v>27998.216794752443</v>
      </c>
      <c r="Y1981" s="35">
        <f t="shared" si="189"/>
        <v>26779.298980468389</v>
      </c>
      <c r="Z1981" s="35">
        <f t="shared" si="190"/>
        <v>0</v>
      </c>
      <c r="AA1981" s="35">
        <f t="shared" si="191"/>
        <v>1</v>
      </c>
      <c r="AB1981" s="35">
        <f t="shared" si="192"/>
        <v>0</v>
      </c>
    </row>
    <row r="1982" spans="1:28">
      <c r="A1982" s="35">
        <v>1971</v>
      </c>
      <c r="B1982" s="35">
        <v>5.2217334016713135E-4</v>
      </c>
      <c r="C1982" s="232">
        <v>73.989999999999995</v>
      </c>
      <c r="D1982" s="35">
        <v>5.06420444978788</v>
      </c>
      <c r="E1982" s="232">
        <v>48.13</v>
      </c>
      <c r="F1982" s="35">
        <v>5.0537160081842964</v>
      </c>
      <c r="G1982" s="232">
        <v>10048.379999999999</v>
      </c>
      <c r="H1982" s="35">
        <v>8.3541386408991336</v>
      </c>
      <c r="I1982" s="232">
        <v>11024.99</v>
      </c>
      <c r="J1982" s="35">
        <v>7.40022256498131</v>
      </c>
      <c r="K1982" s="232">
        <v>13589.18</v>
      </c>
      <c r="L1982" s="35">
        <v>8.741721227975173</v>
      </c>
      <c r="M1982" s="232">
        <v>39713.760000000002</v>
      </c>
      <c r="N1982" s="35">
        <v>7.6164992580546897</v>
      </c>
      <c r="P1982" s="232">
        <v>-25.86</v>
      </c>
      <c r="Q1982" s="35">
        <v>1.0488441603583532E-2</v>
      </c>
      <c r="R1982" s="232">
        <v>976.61</v>
      </c>
      <c r="S1982" s="35">
        <v>0.95391607591782357</v>
      </c>
      <c r="T1982" s="232">
        <v>26124.58</v>
      </c>
      <c r="U1982" s="35">
        <v>1.1252219699204833</v>
      </c>
      <c r="W1982" s="35">
        <f t="shared" si="187"/>
        <v>550.28208017917655</v>
      </c>
      <c r="X1982" s="35">
        <f t="shared" si="188"/>
        <v>46719.19379589118</v>
      </c>
      <c r="Y1982" s="35">
        <f t="shared" si="189"/>
        <v>30136.51849602416</v>
      </c>
      <c r="Z1982" s="35">
        <f t="shared" si="190"/>
        <v>0</v>
      </c>
      <c r="AA1982" s="35">
        <f t="shared" si="191"/>
        <v>1</v>
      </c>
      <c r="AB1982" s="35">
        <f t="shared" si="192"/>
        <v>0</v>
      </c>
    </row>
    <row r="1983" spans="1:28">
      <c r="A1983" s="35">
        <v>1972</v>
      </c>
      <c r="B1983" s="35">
        <v>3.857808603268027E-4</v>
      </c>
      <c r="C1983" s="232">
        <v>66.540000000000006</v>
      </c>
      <c r="D1983" s="35">
        <v>5.0569802717306001</v>
      </c>
      <c r="E1983" s="232">
        <v>36.229999999999997</v>
      </c>
      <c r="F1983" s="35">
        <v>5.0472494194177893</v>
      </c>
      <c r="G1983" s="232">
        <v>13798.82</v>
      </c>
      <c r="H1983" s="35">
        <v>8.5217038522745092</v>
      </c>
      <c r="I1983" s="232">
        <v>14467.69</v>
      </c>
      <c r="J1983" s="35">
        <v>7.2761283628043749</v>
      </c>
      <c r="K1983" s="232">
        <v>18726.009999999998</v>
      </c>
      <c r="L1983" s="35">
        <v>8.5368235106655739</v>
      </c>
      <c r="M1983" s="232">
        <v>44954</v>
      </c>
      <c r="N1983" s="35">
        <v>7.4579948685439081</v>
      </c>
      <c r="P1983" s="232">
        <v>-30.31</v>
      </c>
      <c r="Q1983" s="35">
        <v>9.7308523128107893E-3</v>
      </c>
      <c r="R1983" s="232">
        <v>668.88</v>
      </c>
      <c r="S1983" s="35">
        <v>1.2455754894701343</v>
      </c>
      <c r="T1983" s="232">
        <v>26227.99</v>
      </c>
      <c r="U1983" s="35">
        <v>1.0788286421216657</v>
      </c>
      <c r="W1983" s="35">
        <f t="shared" si="187"/>
        <v>516.8526156405394</v>
      </c>
      <c r="X1983" s="35">
        <f t="shared" si="188"/>
        <v>61609.89447350672</v>
      </c>
      <c r="Y1983" s="35">
        <f t="shared" si="189"/>
        <v>27713.442106083286</v>
      </c>
      <c r="Z1983" s="35">
        <f t="shared" si="190"/>
        <v>0</v>
      </c>
      <c r="AA1983" s="35">
        <f t="shared" si="191"/>
        <v>1</v>
      </c>
      <c r="AB1983" s="35">
        <f t="shared" si="192"/>
        <v>0</v>
      </c>
    </row>
    <row r="1984" spans="1:28">
      <c r="A1984" s="35">
        <v>1973</v>
      </c>
      <c r="B1984" s="35">
        <v>4.1351866871826379E-4</v>
      </c>
      <c r="C1984" s="232">
        <v>66.08</v>
      </c>
      <c r="D1984" s="35">
        <v>5.060052662771847</v>
      </c>
      <c r="E1984" s="232">
        <v>41.04</v>
      </c>
      <c r="F1984" s="35">
        <v>5.0504398199591973</v>
      </c>
      <c r="G1984" s="232">
        <v>12494.47</v>
      </c>
      <c r="H1984" s="35">
        <v>8.983251617925303</v>
      </c>
      <c r="I1984" s="232">
        <v>14165.53</v>
      </c>
      <c r="J1984" s="35">
        <v>8.3014078716677382</v>
      </c>
      <c r="K1984" s="232">
        <v>14298.44</v>
      </c>
      <c r="L1984" s="35">
        <v>8.5739930196889791</v>
      </c>
      <c r="M1984" s="232">
        <v>40342.67</v>
      </c>
      <c r="N1984" s="35">
        <v>7.4625384074868331</v>
      </c>
      <c r="P1984" s="232">
        <v>-25.04</v>
      </c>
      <c r="Q1984" s="35">
        <v>9.6128428126496246E-3</v>
      </c>
      <c r="R1984" s="232">
        <v>1671.06</v>
      </c>
      <c r="S1984" s="35">
        <v>0.68184374625756483</v>
      </c>
      <c r="T1984" s="232">
        <v>26044.23</v>
      </c>
      <c r="U1984" s="35">
        <v>1.111454612202146</v>
      </c>
      <c r="W1984" s="35">
        <f t="shared" si="187"/>
        <v>505.68214063248126</v>
      </c>
      <c r="X1984" s="35">
        <f t="shared" si="188"/>
        <v>32421.127312878238</v>
      </c>
      <c r="Y1984" s="35">
        <f t="shared" si="189"/>
        <v>29528.500610107305</v>
      </c>
      <c r="Z1984" s="35">
        <f t="shared" si="190"/>
        <v>0</v>
      </c>
      <c r="AA1984" s="35">
        <f t="shared" si="191"/>
        <v>1</v>
      </c>
      <c r="AB1984" s="35">
        <f t="shared" si="192"/>
        <v>0</v>
      </c>
    </row>
    <row r="1985" spans="1:28">
      <c r="A1985" s="35">
        <v>1974</v>
      </c>
      <c r="B1985" s="35">
        <v>5.5382066724407597E-4</v>
      </c>
      <c r="C1985" s="232">
        <v>90.69</v>
      </c>
      <c r="D1985" s="35">
        <v>5.0668197435701092</v>
      </c>
      <c r="E1985" s="232">
        <v>53.09</v>
      </c>
      <c r="F1985" s="35">
        <v>5.0536697503151258</v>
      </c>
      <c r="G1985" s="232">
        <v>12498.32</v>
      </c>
      <c r="H1985" s="35">
        <v>8.6950547151023834</v>
      </c>
      <c r="I1985" s="232">
        <v>13340.46</v>
      </c>
      <c r="J1985" s="35">
        <v>7.6640518855874742</v>
      </c>
      <c r="K1985" s="232">
        <v>17147.84</v>
      </c>
      <c r="L1985" s="35">
        <v>8.8339308264704286</v>
      </c>
      <c r="M1985" s="232">
        <v>43351.44</v>
      </c>
      <c r="N1985" s="35">
        <v>7.8043054153334017</v>
      </c>
      <c r="P1985" s="232">
        <v>-37.6</v>
      </c>
      <c r="Q1985" s="35">
        <v>1.314999325498345E-2</v>
      </c>
      <c r="R1985" s="232">
        <v>842.14</v>
      </c>
      <c r="S1985" s="35">
        <v>1.0310028295149092</v>
      </c>
      <c r="T1985" s="232">
        <v>26203.61</v>
      </c>
      <c r="U1985" s="35">
        <v>1.0296254111370269</v>
      </c>
      <c r="W1985" s="35">
        <f t="shared" si="187"/>
        <v>695.09966274917247</v>
      </c>
      <c r="X1985" s="35">
        <f t="shared" si="188"/>
        <v>50708.001475745463</v>
      </c>
      <c r="Y1985" s="35">
        <f t="shared" si="189"/>
        <v>25277.660556851341</v>
      </c>
      <c r="Z1985" s="35">
        <f t="shared" si="190"/>
        <v>0</v>
      </c>
      <c r="AA1985" s="35">
        <f t="shared" si="191"/>
        <v>1</v>
      </c>
      <c r="AB1985" s="35">
        <f t="shared" si="192"/>
        <v>0</v>
      </c>
    </row>
    <row r="1986" spans="1:28">
      <c r="A1986" s="35">
        <v>1975</v>
      </c>
      <c r="B1986" s="35">
        <v>5.6708425933582607E-4</v>
      </c>
      <c r="C1986" s="232">
        <v>71.36</v>
      </c>
      <c r="D1986" s="35">
        <v>5.0681049037021335</v>
      </c>
      <c r="E1986" s="232">
        <v>40.950000000000003</v>
      </c>
      <c r="F1986" s="35">
        <v>5.0536913771842684</v>
      </c>
      <c r="G1986" s="232">
        <v>9436.25</v>
      </c>
      <c r="H1986" s="35">
        <v>8.8758922883201006</v>
      </c>
      <c r="I1986" s="232">
        <v>9598.74</v>
      </c>
      <c r="J1986" s="35">
        <v>6.8556846334998482</v>
      </c>
      <c r="K1986" s="232">
        <v>11658.42</v>
      </c>
      <c r="L1986" s="35">
        <v>8.8316769857010868</v>
      </c>
      <c r="M1986" s="232">
        <v>37572.1</v>
      </c>
      <c r="N1986" s="35">
        <v>7.7614175093306024</v>
      </c>
      <c r="P1986" s="232">
        <v>-30.41</v>
      </c>
      <c r="Q1986" s="35">
        <v>1.4413526517865094E-2</v>
      </c>
      <c r="R1986" s="232">
        <v>162.5</v>
      </c>
      <c r="S1986" s="35">
        <v>2.0202076548202523</v>
      </c>
      <c r="T1986" s="232">
        <v>25913.69</v>
      </c>
      <c r="U1986" s="35">
        <v>1.0702594763704845</v>
      </c>
      <c r="W1986" s="35">
        <f t="shared" si="187"/>
        <v>751.08632589325464</v>
      </c>
      <c r="X1986" s="35">
        <f t="shared" si="188"/>
        <v>100847.88274101261</v>
      </c>
      <c r="Y1986" s="35">
        <f t="shared" si="189"/>
        <v>27599.283818524225</v>
      </c>
      <c r="Z1986" s="35">
        <f t="shared" si="190"/>
        <v>0</v>
      </c>
      <c r="AA1986" s="35">
        <f t="shared" si="191"/>
        <v>1</v>
      </c>
      <c r="AB1986" s="35">
        <f t="shared" si="192"/>
        <v>0</v>
      </c>
    </row>
    <row r="1987" spans="1:28">
      <c r="A1987" s="35">
        <v>1976</v>
      </c>
      <c r="B1987" s="35">
        <v>5.3857511582344753E-4</v>
      </c>
      <c r="C1987" s="232">
        <v>52.49</v>
      </c>
      <c r="D1987" s="35">
        <v>5.0641516096035915</v>
      </c>
      <c r="E1987" s="232">
        <v>28.34</v>
      </c>
      <c r="F1987" s="35">
        <v>5.0502546879987191</v>
      </c>
      <c r="G1987" s="232">
        <v>7673.51</v>
      </c>
      <c r="H1987" s="35">
        <v>8.3621368753157626</v>
      </c>
      <c r="I1987" s="232">
        <v>9079.1299999999992</v>
      </c>
      <c r="J1987" s="35">
        <v>7.0654630048420044</v>
      </c>
      <c r="K1987" s="232">
        <v>9645.94</v>
      </c>
      <c r="L1987" s="35">
        <v>8.6270859056183671</v>
      </c>
      <c r="M1987" s="232">
        <v>35416.35</v>
      </c>
      <c r="N1987" s="35">
        <v>7.5027613031557072</v>
      </c>
      <c r="P1987" s="232">
        <v>-24.15</v>
      </c>
      <c r="Q1987" s="35">
        <v>1.3896921604872325E-2</v>
      </c>
      <c r="R1987" s="232">
        <v>1405.61</v>
      </c>
      <c r="S1987" s="35">
        <v>1.2966738704737582</v>
      </c>
      <c r="T1987" s="232">
        <v>25770.41</v>
      </c>
      <c r="U1987" s="35">
        <v>1.1243246024626599</v>
      </c>
      <c r="W1987" s="35">
        <f t="shared" si="187"/>
        <v>718.99608024361623</v>
      </c>
      <c r="X1987" s="35">
        <f t="shared" si="188"/>
        <v>63428.083523687907</v>
      </c>
      <c r="Y1987" s="35">
        <f t="shared" si="189"/>
        <v>30445.820123132991</v>
      </c>
      <c r="Z1987" s="35">
        <f t="shared" si="190"/>
        <v>0</v>
      </c>
      <c r="AA1987" s="35">
        <f t="shared" si="191"/>
        <v>1</v>
      </c>
      <c r="AB1987" s="35">
        <f t="shared" si="192"/>
        <v>0</v>
      </c>
    </row>
    <row r="1988" spans="1:28">
      <c r="A1988" s="35">
        <v>1977</v>
      </c>
      <c r="B1988" s="35">
        <v>4.0820644383526443E-4</v>
      </c>
      <c r="C1988" s="232">
        <v>57.83</v>
      </c>
      <c r="D1988" s="35">
        <v>5.0575976500561222</v>
      </c>
      <c r="E1988" s="232">
        <v>35.21</v>
      </c>
      <c r="F1988" s="35">
        <v>5.0486532758357709</v>
      </c>
      <c r="G1988" s="232">
        <v>11800.03</v>
      </c>
      <c r="H1988" s="35">
        <v>8.2855924500372229</v>
      </c>
      <c r="I1988" s="232">
        <v>14033.95</v>
      </c>
      <c r="J1988" s="35">
        <v>6.6865336494884158</v>
      </c>
      <c r="K1988" s="232">
        <v>11170.35</v>
      </c>
      <c r="L1988" s="35">
        <v>8.5131373655034039</v>
      </c>
      <c r="M1988" s="232">
        <v>37049.9</v>
      </c>
      <c r="N1988" s="35">
        <v>7.458771249222206</v>
      </c>
      <c r="P1988" s="232">
        <v>-22.62</v>
      </c>
      <c r="Q1988" s="35">
        <v>8.9443742203512144E-3</v>
      </c>
      <c r="R1988" s="232">
        <v>2233.92</v>
      </c>
      <c r="S1988" s="35">
        <v>1.5990588005488071</v>
      </c>
      <c r="T1988" s="232">
        <v>25879.55</v>
      </c>
      <c r="U1988" s="35">
        <v>1.0543661162811979</v>
      </c>
      <c r="W1988" s="35">
        <f t="shared" si="187"/>
        <v>469.83871101756074</v>
      </c>
      <c r="X1988" s="35">
        <f t="shared" si="188"/>
        <v>77719.020027440361</v>
      </c>
      <c r="Y1988" s="35">
        <f t="shared" si="189"/>
        <v>26838.755814059896</v>
      </c>
      <c r="Z1988" s="35">
        <f t="shared" si="190"/>
        <v>0</v>
      </c>
      <c r="AA1988" s="35">
        <f t="shared" si="191"/>
        <v>1</v>
      </c>
      <c r="AB1988" s="35">
        <f t="shared" si="192"/>
        <v>0</v>
      </c>
    </row>
    <row r="1989" spans="1:28">
      <c r="A1989" s="35">
        <v>1978</v>
      </c>
      <c r="B1989" s="35">
        <v>4.2627247031587809E-4</v>
      </c>
      <c r="C1989" s="232">
        <v>75.349999999999994</v>
      </c>
      <c r="D1989" s="35">
        <v>5.0583060676563516</v>
      </c>
      <c r="E1989" s="232">
        <v>49.82</v>
      </c>
      <c r="F1989" s="35">
        <v>5.0504086032795259</v>
      </c>
      <c r="G1989" s="232">
        <v>13813.06</v>
      </c>
      <c r="H1989" s="35">
        <v>8.1650055202369867</v>
      </c>
      <c r="I1989" s="232">
        <v>14764.17</v>
      </c>
      <c r="J1989" s="35">
        <v>6.7278533117589587</v>
      </c>
      <c r="K1989" s="232">
        <v>16873.05</v>
      </c>
      <c r="L1989" s="35">
        <v>8.5240764784272294</v>
      </c>
      <c r="M1989" s="232">
        <v>43147.65</v>
      </c>
      <c r="N1989" s="35">
        <v>7.4594798378774261</v>
      </c>
      <c r="P1989" s="232">
        <v>-25.53</v>
      </c>
      <c r="Q1989" s="35">
        <v>7.8974643768257025E-3</v>
      </c>
      <c r="R1989" s="232">
        <v>951.11</v>
      </c>
      <c r="S1989" s="35">
        <v>1.4371522084780279</v>
      </c>
      <c r="T1989" s="232">
        <v>26274.6</v>
      </c>
      <c r="U1989" s="35">
        <v>1.0645966405498033</v>
      </c>
      <c r="W1989" s="35">
        <f t="shared" si="187"/>
        <v>420.40321884128514</v>
      </c>
      <c r="X1989" s="35">
        <f t="shared" si="188"/>
        <v>70906.500423901394</v>
      </c>
      <c r="Y1989" s="35">
        <f t="shared" si="189"/>
        <v>26955.232027490165</v>
      </c>
      <c r="Z1989" s="35">
        <f t="shared" si="190"/>
        <v>0</v>
      </c>
      <c r="AA1989" s="35">
        <f t="shared" si="191"/>
        <v>1</v>
      </c>
      <c r="AB1989" s="35">
        <f t="shared" si="192"/>
        <v>0</v>
      </c>
    </row>
    <row r="1990" spans="1:28">
      <c r="A1990" s="35">
        <v>1979</v>
      </c>
      <c r="B1990" s="35">
        <v>4.4036842743226066E-4</v>
      </c>
      <c r="C1990" s="232">
        <v>81.260000000000005</v>
      </c>
      <c r="D1990" s="35">
        <v>5.0616817585724068</v>
      </c>
      <c r="E1990" s="232">
        <v>47.7</v>
      </c>
      <c r="F1990" s="35">
        <v>5.0507970725110996</v>
      </c>
      <c r="G1990" s="232">
        <v>15103.16</v>
      </c>
      <c r="H1990" s="35">
        <v>9.0759602068532974</v>
      </c>
      <c r="I1990" s="232">
        <v>16311.48</v>
      </c>
      <c r="J1990" s="35">
        <v>7.7773785419828565</v>
      </c>
      <c r="K1990" s="232">
        <v>18269.650000000001</v>
      </c>
      <c r="L1990" s="35">
        <v>8.5155531988745725</v>
      </c>
      <c r="M1990" s="232">
        <v>44486.8</v>
      </c>
      <c r="N1990" s="35">
        <v>7.4889188644401239</v>
      </c>
      <c r="P1990" s="232">
        <v>-33.56</v>
      </c>
      <c r="Q1990" s="35">
        <v>1.0884686061307214E-2</v>
      </c>
      <c r="R1990" s="232">
        <v>1208.31</v>
      </c>
      <c r="S1990" s="35">
        <v>1.2985816648704409</v>
      </c>
      <c r="T1990" s="232">
        <v>26217.15</v>
      </c>
      <c r="U1990" s="35">
        <v>1.0266343344344486</v>
      </c>
      <c r="W1990" s="35">
        <f t="shared" si="187"/>
        <v>577.79430306536074</v>
      </c>
      <c r="X1990" s="35">
        <f t="shared" si="188"/>
        <v>63720.773243522046</v>
      </c>
      <c r="Y1990" s="35">
        <f t="shared" si="189"/>
        <v>25114.566721722433</v>
      </c>
      <c r="Z1990" s="35">
        <f t="shared" si="190"/>
        <v>0</v>
      </c>
      <c r="AA1990" s="35">
        <f t="shared" si="191"/>
        <v>1</v>
      </c>
      <c r="AB1990" s="35">
        <f t="shared" si="192"/>
        <v>0</v>
      </c>
    </row>
    <row r="1991" spans="1:28">
      <c r="A1991" s="35">
        <v>1980</v>
      </c>
      <c r="B1991" s="35">
        <v>5.5528542843485962E-4</v>
      </c>
      <c r="C1991" s="232">
        <v>75.42</v>
      </c>
      <c r="D1991" s="35">
        <v>5.0670769029008644</v>
      </c>
      <c r="E1991" s="232">
        <v>43.46</v>
      </c>
      <c r="F1991" s="35">
        <v>5.0533041254762674</v>
      </c>
      <c r="G1991" s="232">
        <v>10674.36</v>
      </c>
      <c r="H1991" s="35">
        <v>8.7963868424444307</v>
      </c>
      <c r="I1991" s="232">
        <v>12734.13</v>
      </c>
      <c r="J1991" s="35">
        <v>8.5940439628151921</v>
      </c>
      <c r="K1991" s="232">
        <v>13236.67</v>
      </c>
      <c r="L1991" s="35">
        <v>8.7465274791796457</v>
      </c>
      <c r="M1991" s="232">
        <v>39110.050000000003</v>
      </c>
      <c r="N1991" s="35">
        <v>7.7251970326464141</v>
      </c>
      <c r="P1991" s="232">
        <v>-31.96</v>
      </c>
      <c r="Q1991" s="35">
        <v>1.3772777424597038E-2</v>
      </c>
      <c r="R1991" s="232">
        <v>2059.7800000000002</v>
      </c>
      <c r="S1991" s="35">
        <v>0.20234287962923858</v>
      </c>
      <c r="T1991" s="232">
        <v>25873.38</v>
      </c>
      <c r="U1991" s="35">
        <v>1.0213304465332316</v>
      </c>
      <c r="W1991" s="35">
        <f t="shared" si="187"/>
        <v>720.59887122985197</v>
      </c>
      <c r="X1991" s="35">
        <f t="shared" si="188"/>
        <v>8057.3639814619291</v>
      </c>
      <c r="Y1991" s="35">
        <f t="shared" si="189"/>
        <v>25193.142326661578</v>
      </c>
      <c r="Z1991" s="35">
        <f t="shared" si="190"/>
        <v>0</v>
      </c>
      <c r="AA1991" s="35">
        <f t="shared" si="191"/>
        <v>0</v>
      </c>
      <c r="AB1991" s="35">
        <f t="shared" si="192"/>
        <v>1</v>
      </c>
    </row>
    <row r="1992" spans="1:28">
      <c r="A1992" s="35">
        <v>1981</v>
      </c>
      <c r="B1992" s="35">
        <v>4.1579307939263583E-4</v>
      </c>
      <c r="C1992" s="232">
        <v>62.26</v>
      </c>
      <c r="D1992" s="35">
        <v>5.0595696547191222</v>
      </c>
      <c r="E1992" s="232">
        <v>40.04</v>
      </c>
      <c r="F1992" s="35">
        <v>5.0505720519684232</v>
      </c>
      <c r="G1992" s="232">
        <v>11501.05</v>
      </c>
      <c r="H1992" s="35">
        <v>8.5850950205235126</v>
      </c>
      <c r="I1992" s="232">
        <v>12784.54</v>
      </c>
      <c r="J1992" s="35">
        <v>7.6292866106631516</v>
      </c>
      <c r="K1992" s="232">
        <v>14829.68</v>
      </c>
      <c r="L1992" s="35">
        <v>8.6633149607123556</v>
      </c>
      <c r="M1992" s="232">
        <v>40867.97</v>
      </c>
      <c r="N1992" s="35">
        <v>7.5022354349093154</v>
      </c>
      <c r="P1992" s="232">
        <v>-22.21</v>
      </c>
      <c r="Q1992" s="35">
        <v>8.9976027506990519E-3</v>
      </c>
      <c r="R1992" s="232">
        <v>1283.49</v>
      </c>
      <c r="S1992" s="35">
        <v>0.95580840986036097</v>
      </c>
      <c r="T1992" s="232">
        <v>26038.29</v>
      </c>
      <c r="U1992" s="35">
        <v>1.1610795258030402</v>
      </c>
      <c r="W1992" s="35">
        <f t="shared" si="187"/>
        <v>472.09013753495259</v>
      </c>
      <c r="X1992" s="35">
        <f t="shared" si="188"/>
        <v>46506.930493018051</v>
      </c>
      <c r="Y1992" s="35">
        <f t="shared" si="189"/>
        <v>32015.686290152007</v>
      </c>
      <c r="Z1992" s="35">
        <f t="shared" si="190"/>
        <v>0</v>
      </c>
      <c r="AA1992" s="35">
        <f t="shared" si="191"/>
        <v>1</v>
      </c>
      <c r="AB1992" s="35">
        <f t="shared" si="192"/>
        <v>0</v>
      </c>
    </row>
    <row r="1993" spans="1:28">
      <c r="A1993" s="35">
        <v>1982</v>
      </c>
      <c r="B1993" s="35">
        <v>5.0187475574559048E-4</v>
      </c>
      <c r="C1993" s="232">
        <v>70.569999999999993</v>
      </c>
      <c r="D1993" s="35">
        <v>5.0657847140715937</v>
      </c>
      <c r="E1993" s="232">
        <v>48.11</v>
      </c>
      <c r="F1993" s="35">
        <v>5.0554716695416415</v>
      </c>
      <c r="G1993" s="232">
        <v>11322.1</v>
      </c>
      <c r="H1993" s="35">
        <v>9.1739423304430705</v>
      </c>
      <c r="I1993" s="232">
        <v>13330.03</v>
      </c>
      <c r="J1993" s="35">
        <v>8.2293160243381624</v>
      </c>
      <c r="K1993" s="232">
        <v>11231.17</v>
      </c>
      <c r="L1993" s="35">
        <v>8.6303060558782985</v>
      </c>
      <c r="M1993" s="232">
        <v>37044.019999999997</v>
      </c>
      <c r="N1993" s="35">
        <v>7.5120508609522654</v>
      </c>
      <c r="P1993" s="232">
        <v>-22.45</v>
      </c>
      <c r="Q1993" s="35">
        <v>1.0313044529952187E-2</v>
      </c>
      <c r="R1993" s="232">
        <v>2007.93</v>
      </c>
      <c r="S1993" s="35">
        <v>0.94462630610490805</v>
      </c>
      <c r="T1993" s="232">
        <v>25812.85</v>
      </c>
      <c r="U1993" s="35">
        <v>1.1182551949260331</v>
      </c>
      <c r="W1993" s="35">
        <f t="shared" si="187"/>
        <v>538.10222649760942</v>
      </c>
      <c r="X1993" s="35">
        <f t="shared" si="188"/>
        <v>45223.3853052454</v>
      </c>
      <c r="Y1993" s="35">
        <f t="shared" si="189"/>
        <v>30099.909746301659</v>
      </c>
      <c r="Z1993" s="35">
        <f t="shared" si="190"/>
        <v>0</v>
      </c>
      <c r="AA1993" s="35">
        <f t="shared" si="191"/>
        <v>1</v>
      </c>
      <c r="AB1993" s="35">
        <f t="shared" si="192"/>
        <v>0</v>
      </c>
    </row>
    <row r="1994" spans="1:28">
      <c r="A1994" s="35">
        <v>1983</v>
      </c>
      <c r="B1994" s="35">
        <v>6.1428550959941042E-4</v>
      </c>
      <c r="C1994" s="232">
        <v>84.45</v>
      </c>
      <c r="D1994" s="35">
        <v>5.0705899945721571</v>
      </c>
      <c r="E1994" s="232">
        <v>50.27</v>
      </c>
      <c r="F1994" s="35">
        <v>5.0559487101113927</v>
      </c>
      <c r="G1994" s="232">
        <v>10474.66</v>
      </c>
      <c r="H1994" s="35">
        <v>8.9967957312341547</v>
      </c>
      <c r="I1994" s="232">
        <v>11824.29</v>
      </c>
      <c r="J1994" s="35">
        <v>7.8163082125812346</v>
      </c>
      <c r="K1994" s="232">
        <v>10948.32</v>
      </c>
      <c r="L1994" s="35">
        <v>8.5147358658587837</v>
      </c>
      <c r="M1994" s="232">
        <v>36822.25</v>
      </c>
      <c r="N1994" s="35">
        <v>7.3678193099784037</v>
      </c>
      <c r="P1994" s="232">
        <v>-34.18</v>
      </c>
      <c r="Q1994" s="35">
        <v>1.4641284460764403E-2</v>
      </c>
      <c r="R1994" s="232">
        <v>1349.63</v>
      </c>
      <c r="S1994" s="35">
        <v>1.18048751865292</v>
      </c>
      <c r="T1994" s="232">
        <v>25873.94</v>
      </c>
      <c r="U1994" s="35">
        <v>1.14691655588038</v>
      </c>
      <c r="W1994" s="35">
        <f t="shared" si="187"/>
        <v>766.24422303822007</v>
      </c>
      <c r="X1994" s="35">
        <f t="shared" si="188"/>
        <v>57674.745932646001</v>
      </c>
      <c r="Y1994" s="35">
        <f t="shared" si="189"/>
        <v>31471.887794019003</v>
      </c>
      <c r="Z1994" s="35">
        <f t="shared" si="190"/>
        <v>0</v>
      </c>
      <c r="AA1994" s="35">
        <f t="shared" si="191"/>
        <v>1</v>
      </c>
      <c r="AB1994" s="35">
        <f t="shared" si="192"/>
        <v>0</v>
      </c>
    </row>
    <row r="1995" spans="1:28">
      <c r="A1995" s="35">
        <v>1984</v>
      </c>
      <c r="B1995" s="35">
        <v>3.4579536943491639E-4</v>
      </c>
      <c r="C1995" s="232">
        <v>62.63</v>
      </c>
      <c r="D1995" s="35">
        <v>5.0572574367333258</v>
      </c>
      <c r="E1995" s="232">
        <v>42.67</v>
      </c>
      <c r="F1995" s="35">
        <v>5.0499645406814668</v>
      </c>
      <c r="G1995" s="232">
        <v>13886.28</v>
      </c>
      <c r="H1995" s="35">
        <v>8.9611027677155839</v>
      </c>
      <c r="I1995" s="232">
        <v>13979.34</v>
      </c>
      <c r="J1995" s="35">
        <v>7.1404663205054364</v>
      </c>
      <c r="K1995" s="232">
        <v>17882.57</v>
      </c>
      <c r="L1995" s="35">
        <v>9.0489399526121073</v>
      </c>
      <c r="M1995" s="232">
        <v>44201.23</v>
      </c>
      <c r="N1995" s="35">
        <v>7.9503272267952099</v>
      </c>
      <c r="P1995" s="232">
        <v>-19.96</v>
      </c>
      <c r="Q1995" s="35">
        <v>7.2928960518590102E-3</v>
      </c>
      <c r="R1995" s="232">
        <v>93.06</v>
      </c>
      <c r="S1995" s="35">
        <v>1.8206364472101475</v>
      </c>
      <c r="T1995" s="232">
        <v>26318.65</v>
      </c>
      <c r="U1995" s="35">
        <v>1.0986127258168974</v>
      </c>
      <c r="W1995" s="35">
        <f t="shared" si="187"/>
        <v>384.60480259295048</v>
      </c>
      <c r="X1995" s="35">
        <f t="shared" si="188"/>
        <v>90938.762360507375</v>
      </c>
      <c r="Y1995" s="35">
        <f t="shared" si="189"/>
        <v>28611.98629084487</v>
      </c>
      <c r="Z1995" s="35">
        <f t="shared" si="190"/>
        <v>0</v>
      </c>
      <c r="AA1995" s="35">
        <f t="shared" si="191"/>
        <v>1</v>
      </c>
      <c r="AB1995" s="35">
        <f t="shared" si="192"/>
        <v>0</v>
      </c>
    </row>
    <row r="1996" spans="1:28">
      <c r="A1996" s="35">
        <v>1985</v>
      </c>
      <c r="B1996" s="35">
        <v>4.9167792451709769E-4</v>
      </c>
      <c r="C1996" s="232">
        <v>70.81</v>
      </c>
      <c r="D1996" s="35">
        <v>5.0630544888716065</v>
      </c>
      <c r="E1996" s="232">
        <v>43.84</v>
      </c>
      <c r="F1996" s="35">
        <v>5.0521796273697728</v>
      </c>
      <c r="G1996" s="232">
        <v>11991.56</v>
      </c>
      <c r="H1996" s="35">
        <v>8.6333053949857099</v>
      </c>
      <c r="I1996" s="232">
        <v>14153.22</v>
      </c>
      <c r="J1996" s="35">
        <v>7.4808300127698768</v>
      </c>
      <c r="K1996" s="232">
        <v>11944.37</v>
      </c>
      <c r="L1996" s="35">
        <v>8.6181543537893255</v>
      </c>
      <c r="M1996" s="232">
        <v>37900.17</v>
      </c>
      <c r="N1996" s="35">
        <v>7.5436554580655262</v>
      </c>
      <c r="P1996" s="232">
        <v>-26.98</v>
      </c>
      <c r="Q1996" s="35">
        <v>1.0874861501833699E-2</v>
      </c>
      <c r="R1996" s="232">
        <v>2161.66</v>
      </c>
      <c r="S1996" s="35">
        <v>1.1524753822158331</v>
      </c>
      <c r="T1996" s="232">
        <v>25955.8</v>
      </c>
      <c r="U1996" s="35">
        <v>1.0744988957237993</v>
      </c>
      <c r="W1996" s="35">
        <f t="shared" ref="W1996:W2011" si="193">$X$2*Q1996-P1996</f>
        <v>570.72307509168502</v>
      </c>
      <c r="X1996" s="35">
        <f t="shared" ref="X1996:X2011" si="194">$X$2*S1996-R1996</f>
        <v>55462.109110791658</v>
      </c>
      <c r="Y1996" s="35">
        <f t="shared" ref="Y1996:Y2011" si="195">$X$2*U1996-T1996</f>
        <v>27769.144786189969</v>
      </c>
      <c r="Z1996" s="35">
        <f t="shared" ref="Z1996:Z2011" si="196">IF(W1996=MAX($W1996:$Y1996), 1, 0)</f>
        <v>0</v>
      </c>
      <c r="AA1996" s="35">
        <f t="shared" ref="AA1996:AA2011" si="197">IF(X1996=MAX($W1996:$Y1996), 1, 0)</f>
        <v>1</v>
      </c>
      <c r="AB1996" s="35">
        <f t="shared" ref="AB1996:AB2011" si="198">IF(Y1996=MAX($W1996:$Y1996), 1, 0)</f>
        <v>0</v>
      </c>
    </row>
    <row r="1997" spans="1:28">
      <c r="A1997" s="35">
        <v>1986</v>
      </c>
      <c r="B1997" s="35">
        <v>4.5214588735142947E-4</v>
      </c>
      <c r="C1997" s="232">
        <v>62.6</v>
      </c>
      <c r="D1997" s="35">
        <v>5.0609282419960469</v>
      </c>
      <c r="E1997" s="232">
        <v>36.6</v>
      </c>
      <c r="F1997" s="35">
        <v>5.0500235671888412</v>
      </c>
      <c r="G1997" s="232">
        <v>10869.52</v>
      </c>
      <c r="H1997" s="35">
        <v>8.6719139581278757</v>
      </c>
      <c r="I1997" s="232">
        <v>11909.83</v>
      </c>
      <c r="J1997" s="35">
        <v>7.2811731512817977</v>
      </c>
      <c r="K1997" s="232">
        <v>13273.21</v>
      </c>
      <c r="L1997" s="35">
        <v>8.4648163176034465</v>
      </c>
      <c r="M1997" s="232">
        <v>39259.86</v>
      </c>
      <c r="N1997" s="35">
        <v>7.2980892002979214</v>
      </c>
      <c r="P1997" s="232">
        <v>-26.01</v>
      </c>
      <c r="Q1997" s="35">
        <v>1.0904674807205694E-2</v>
      </c>
      <c r="R1997" s="232">
        <v>1040.31</v>
      </c>
      <c r="S1997" s="35">
        <v>1.390740806846078</v>
      </c>
      <c r="T1997" s="232">
        <v>25986.65</v>
      </c>
      <c r="U1997" s="35">
        <v>1.1667271173055251</v>
      </c>
      <c r="W1997" s="35">
        <f t="shared" si="193"/>
        <v>571.24374036028473</v>
      </c>
      <c r="X1997" s="35">
        <f t="shared" si="194"/>
        <v>68496.730342303897</v>
      </c>
      <c r="Y1997" s="35">
        <f t="shared" si="195"/>
        <v>32349.705865276257</v>
      </c>
      <c r="Z1997" s="35">
        <f t="shared" si="196"/>
        <v>0</v>
      </c>
      <c r="AA1997" s="35">
        <f t="shared" si="197"/>
        <v>1</v>
      </c>
      <c r="AB1997" s="35">
        <f t="shared" si="198"/>
        <v>0</v>
      </c>
    </row>
    <row r="1998" spans="1:28">
      <c r="A1998" s="35">
        <v>1987</v>
      </c>
      <c r="B1998" s="35">
        <v>3.3276977418304499E-4</v>
      </c>
      <c r="C1998" s="232">
        <v>39.56</v>
      </c>
      <c r="D1998" s="35">
        <v>5.0550524263489622</v>
      </c>
      <c r="E1998" s="232">
        <v>25.54</v>
      </c>
      <c r="F1998" s="35">
        <v>5.047398081434765</v>
      </c>
      <c r="G1998" s="232">
        <v>9335.02</v>
      </c>
      <c r="H1998" s="35">
        <v>8.6629796429362589</v>
      </c>
      <c r="I1998" s="232">
        <v>10499.62</v>
      </c>
      <c r="J1998" s="35">
        <v>7.4095058998821575</v>
      </c>
      <c r="K1998" s="232">
        <v>12391.24</v>
      </c>
      <c r="L1998" s="35">
        <v>8.6650774455139548</v>
      </c>
      <c r="M1998" s="232">
        <v>38520.239999999998</v>
      </c>
      <c r="N1998" s="35">
        <v>7.5528879675438692</v>
      </c>
      <c r="P1998" s="232">
        <v>-14.01</v>
      </c>
      <c r="Q1998" s="35">
        <v>7.654344914197253E-3</v>
      </c>
      <c r="R1998" s="232">
        <v>1164.5999999999999</v>
      </c>
      <c r="S1998" s="35">
        <v>1.2534737430541014</v>
      </c>
      <c r="T1998" s="232">
        <v>26129</v>
      </c>
      <c r="U1998" s="35">
        <v>1.1121894779700856</v>
      </c>
      <c r="W1998" s="35">
        <f t="shared" si="193"/>
        <v>396.72724570986264</v>
      </c>
      <c r="X1998" s="35">
        <f t="shared" si="194"/>
        <v>61509.087152705069</v>
      </c>
      <c r="Y1998" s="35">
        <f t="shared" si="195"/>
        <v>29480.473898504279</v>
      </c>
      <c r="Z1998" s="35">
        <f t="shared" si="196"/>
        <v>0</v>
      </c>
      <c r="AA1998" s="35">
        <f t="shared" si="197"/>
        <v>1</v>
      </c>
      <c r="AB1998" s="35">
        <f t="shared" si="198"/>
        <v>0</v>
      </c>
    </row>
    <row r="1999" spans="1:28">
      <c r="A1999" s="35">
        <v>1988</v>
      </c>
      <c r="B1999" s="35">
        <v>5.2007506619500266E-4</v>
      </c>
      <c r="C1999" s="232">
        <v>94.01</v>
      </c>
      <c r="D1999" s="35">
        <v>5.0652616502842545</v>
      </c>
      <c r="E1999" s="232">
        <v>56.55</v>
      </c>
      <c r="F1999" s="35">
        <v>5.0532997048080626</v>
      </c>
      <c r="G1999" s="232">
        <v>13335.37</v>
      </c>
      <c r="H1999" s="35">
        <v>8.6356802962254626</v>
      </c>
      <c r="I1999" s="232">
        <v>13156.23</v>
      </c>
      <c r="J1999" s="35">
        <v>6.9325406785876327</v>
      </c>
      <c r="K1999" s="232">
        <v>17126.68</v>
      </c>
      <c r="L1999" s="35">
        <v>8.9408364664166964</v>
      </c>
      <c r="M1999" s="232">
        <v>43322.36</v>
      </c>
      <c r="N1999" s="35">
        <v>7.7952972295446585</v>
      </c>
      <c r="P1999" s="232">
        <v>-37.46</v>
      </c>
      <c r="Q1999" s="35">
        <v>1.1961945476191893E-2</v>
      </c>
      <c r="R1999" s="232">
        <v>-179.15</v>
      </c>
      <c r="S1999" s="35">
        <v>1.70313961763783</v>
      </c>
      <c r="T1999" s="232">
        <v>26195.68</v>
      </c>
      <c r="U1999" s="35">
        <v>1.1455392368720378</v>
      </c>
      <c r="W1999" s="35">
        <f t="shared" si="193"/>
        <v>635.55727380959468</v>
      </c>
      <c r="X1999" s="35">
        <f t="shared" si="194"/>
        <v>85336.130881891499</v>
      </c>
      <c r="Y1999" s="35">
        <f t="shared" si="195"/>
        <v>31081.281843601893</v>
      </c>
      <c r="Z1999" s="35">
        <f t="shared" si="196"/>
        <v>0</v>
      </c>
      <c r="AA1999" s="35">
        <f t="shared" si="197"/>
        <v>1</v>
      </c>
      <c r="AB1999" s="35">
        <f t="shared" si="198"/>
        <v>0</v>
      </c>
    </row>
    <row r="2000" spans="1:28">
      <c r="A2000" s="35">
        <v>1989</v>
      </c>
      <c r="B2000" s="35">
        <v>3.5642404980600447E-4</v>
      </c>
      <c r="C2000" s="232">
        <v>63.31</v>
      </c>
      <c r="D2000" s="35">
        <v>5.0565706510480686</v>
      </c>
      <c r="E2000" s="232">
        <v>44.6</v>
      </c>
      <c r="F2000" s="35">
        <v>5.0499788150399523</v>
      </c>
      <c r="G2000" s="232">
        <v>13639.31</v>
      </c>
      <c r="H2000" s="35">
        <v>8.8040968987768178</v>
      </c>
      <c r="I2000" s="232">
        <v>14571.6</v>
      </c>
      <c r="J2000" s="35">
        <v>8.0468604538101438</v>
      </c>
      <c r="K2000" s="232">
        <v>20001.2</v>
      </c>
      <c r="L2000" s="35">
        <v>8.3570379552406528</v>
      </c>
      <c r="M2000" s="232">
        <v>46292.95</v>
      </c>
      <c r="N2000" s="35">
        <v>7.2299949469687474</v>
      </c>
      <c r="P2000" s="232">
        <v>-18.72</v>
      </c>
      <c r="Q2000" s="35">
        <v>6.591836008116303E-3</v>
      </c>
      <c r="R2000" s="232">
        <v>932.29</v>
      </c>
      <c r="S2000" s="35">
        <v>0.75723644496667397</v>
      </c>
      <c r="T2000" s="232">
        <v>26291.75</v>
      </c>
      <c r="U2000" s="35">
        <v>1.1270430082719054</v>
      </c>
      <c r="W2000" s="35">
        <f t="shared" si="193"/>
        <v>348.31180040581512</v>
      </c>
      <c r="X2000" s="35">
        <f t="shared" si="194"/>
        <v>36929.5322483337</v>
      </c>
      <c r="Y2000" s="35">
        <f t="shared" si="195"/>
        <v>30060.400413595271</v>
      </c>
      <c r="Z2000" s="35">
        <f t="shared" si="196"/>
        <v>0</v>
      </c>
      <c r="AA2000" s="35">
        <f t="shared" si="197"/>
        <v>1</v>
      </c>
      <c r="AB2000" s="35">
        <f t="shared" si="198"/>
        <v>0</v>
      </c>
    </row>
    <row r="2001" spans="1:28">
      <c r="A2001" s="35">
        <v>1990</v>
      </c>
      <c r="B2001" s="35">
        <v>3.9605510662147145E-4</v>
      </c>
      <c r="C2001" s="232">
        <v>55.75</v>
      </c>
      <c r="D2001" s="35">
        <v>5.0595520823341538</v>
      </c>
      <c r="E2001" s="232">
        <v>31.99</v>
      </c>
      <c r="F2001" s="35">
        <v>5.0489133958073733</v>
      </c>
      <c r="G2001" s="232">
        <v>11219.63</v>
      </c>
      <c r="H2001" s="35">
        <v>8.7936542164650646</v>
      </c>
      <c r="I2001" s="232">
        <v>12295.31</v>
      </c>
      <c r="J2001" s="35">
        <v>7.1426812329607401</v>
      </c>
      <c r="K2001" s="232">
        <v>14060.48</v>
      </c>
      <c r="L2001" s="35">
        <v>9.2255789273045465</v>
      </c>
      <c r="M2001" s="232">
        <v>40196.78</v>
      </c>
      <c r="N2001" s="35">
        <v>8.1031809724711046</v>
      </c>
      <c r="P2001" s="232">
        <v>-23.76</v>
      </c>
      <c r="Q2001" s="35">
        <v>1.0638686526780461E-2</v>
      </c>
      <c r="R2001" s="232">
        <v>1075.68</v>
      </c>
      <c r="S2001" s="35">
        <v>1.6509729835043245</v>
      </c>
      <c r="T2001" s="232">
        <v>26136.3</v>
      </c>
      <c r="U2001" s="35">
        <v>1.122397954833442</v>
      </c>
      <c r="W2001" s="35">
        <f t="shared" si="193"/>
        <v>555.69432633902306</v>
      </c>
      <c r="X2001" s="35">
        <f t="shared" si="194"/>
        <v>81472.969175216233</v>
      </c>
      <c r="Y2001" s="35">
        <f t="shared" si="195"/>
        <v>29983.597741672096</v>
      </c>
      <c r="Z2001" s="35">
        <f t="shared" si="196"/>
        <v>0</v>
      </c>
      <c r="AA2001" s="35">
        <f t="shared" si="197"/>
        <v>1</v>
      </c>
      <c r="AB2001" s="35">
        <f t="shared" si="198"/>
        <v>0</v>
      </c>
    </row>
    <row r="2002" spans="1:28">
      <c r="A2002" s="35">
        <v>1991</v>
      </c>
      <c r="B2002" s="35">
        <v>3.8208240678636642E-4</v>
      </c>
      <c r="C2002" s="232">
        <v>57.7</v>
      </c>
      <c r="D2002" s="35">
        <v>5.0571893872895783</v>
      </c>
      <c r="E2002" s="232">
        <v>36.950000000000003</v>
      </c>
      <c r="F2002" s="35">
        <v>5.0490348437353312</v>
      </c>
      <c r="G2002" s="232">
        <v>11971.71</v>
      </c>
      <c r="H2002" s="35">
        <v>8.688283440016523</v>
      </c>
      <c r="I2002" s="232">
        <v>13434.1</v>
      </c>
      <c r="J2002" s="35">
        <v>7.7960415111775623</v>
      </c>
      <c r="K2002" s="232">
        <v>14750.49</v>
      </c>
      <c r="L2002" s="35">
        <v>8.2934465044669494</v>
      </c>
      <c r="M2002" s="232">
        <v>40938.33</v>
      </c>
      <c r="N2002" s="35">
        <v>7.1574834456310636</v>
      </c>
      <c r="P2002" s="232">
        <v>-20.76</v>
      </c>
      <c r="Q2002" s="35">
        <v>8.1545435542471623E-3</v>
      </c>
      <c r="R2002" s="232">
        <v>1462.39</v>
      </c>
      <c r="S2002" s="35">
        <v>0.8922419288389607</v>
      </c>
      <c r="T2002" s="232">
        <v>26187.84</v>
      </c>
      <c r="U2002" s="35">
        <v>1.1359630588358858</v>
      </c>
      <c r="W2002" s="35">
        <f t="shared" si="193"/>
        <v>428.48717771235812</v>
      </c>
      <c r="X2002" s="35">
        <f t="shared" si="194"/>
        <v>43149.706441948038</v>
      </c>
      <c r="Y2002" s="35">
        <f t="shared" si="195"/>
        <v>30610.312941794287</v>
      </c>
      <c r="Z2002" s="35">
        <f t="shared" si="196"/>
        <v>0</v>
      </c>
      <c r="AA2002" s="35">
        <f t="shared" si="197"/>
        <v>1</v>
      </c>
      <c r="AB2002" s="35">
        <f t="shared" si="198"/>
        <v>0</v>
      </c>
    </row>
    <row r="2003" spans="1:28">
      <c r="A2003" s="35">
        <v>1992</v>
      </c>
      <c r="B2003" s="35">
        <v>2.8993467272050007E-4</v>
      </c>
      <c r="C2003" s="232">
        <v>48.57</v>
      </c>
      <c r="D2003" s="35">
        <v>5.0520878864010479</v>
      </c>
      <c r="E2003" s="232">
        <v>32.06</v>
      </c>
      <c r="F2003" s="35">
        <v>5.0462055393017389</v>
      </c>
      <c r="G2003" s="232">
        <v>13016.29</v>
      </c>
      <c r="H2003" s="35">
        <v>8.3937417598728512</v>
      </c>
      <c r="I2003" s="232">
        <v>14258.6</v>
      </c>
      <c r="J2003" s="35">
        <v>7.3029253397955127</v>
      </c>
      <c r="K2003" s="232">
        <v>15505.71</v>
      </c>
      <c r="L2003" s="35">
        <v>8.3883144132833163</v>
      </c>
      <c r="M2003" s="232">
        <v>41619.410000000003</v>
      </c>
      <c r="N2003" s="35">
        <v>7.3172305380550853</v>
      </c>
      <c r="P2003" s="232">
        <v>-16.5</v>
      </c>
      <c r="Q2003" s="35">
        <v>5.8823470993090154E-3</v>
      </c>
      <c r="R2003" s="232">
        <v>1242.31</v>
      </c>
      <c r="S2003" s="35">
        <v>1.0908164200773385</v>
      </c>
      <c r="T2003" s="232">
        <v>26113.7</v>
      </c>
      <c r="U2003" s="35">
        <v>1.071083875228231</v>
      </c>
      <c r="W2003" s="35">
        <f t="shared" si="193"/>
        <v>310.61735496545077</v>
      </c>
      <c r="X2003" s="35">
        <f t="shared" si="194"/>
        <v>53298.511003866923</v>
      </c>
      <c r="Y2003" s="35">
        <f t="shared" si="195"/>
        <v>27440.493761411552</v>
      </c>
      <c r="Z2003" s="35">
        <f t="shared" si="196"/>
        <v>0</v>
      </c>
      <c r="AA2003" s="35">
        <f t="shared" si="197"/>
        <v>1</v>
      </c>
      <c r="AB2003" s="35">
        <f t="shared" si="198"/>
        <v>0</v>
      </c>
    </row>
    <row r="2004" spans="1:28">
      <c r="A2004" s="35">
        <v>1993</v>
      </c>
      <c r="B2004" s="35">
        <v>4.0996400463376762E-4</v>
      </c>
      <c r="C2004" s="232">
        <v>76.290000000000006</v>
      </c>
      <c r="D2004" s="35">
        <v>5.060212611459475</v>
      </c>
      <c r="E2004" s="232">
        <v>47.44</v>
      </c>
      <c r="F2004" s="35">
        <v>5.0507121110077886</v>
      </c>
      <c r="G2004" s="232">
        <v>14549.75</v>
      </c>
      <c r="H2004" s="35">
        <v>8.8813641695707322</v>
      </c>
      <c r="I2004" s="232">
        <v>16123.48</v>
      </c>
      <c r="J2004" s="35">
        <v>8.3464880571528948</v>
      </c>
      <c r="K2004" s="232">
        <v>19532.66</v>
      </c>
      <c r="L2004" s="35">
        <v>8.9858422951099737</v>
      </c>
      <c r="M2004" s="232">
        <v>45958.71</v>
      </c>
      <c r="N2004" s="35">
        <v>7.913936036243272</v>
      </c>
      <c r="P2004" s="232">
        <v>-28.85</v>
      </c>
      <c r="Q2004" s="35">
        <v>9.5005004516863778E-3</v>
      </c>
      <c r="R2004" s="232">
        <v>1573.73</v>
      </c>
      <c r="S2004" s="35">
        <v>0.53487611241783739</v>
      </c>
      <c r="T2004" s="232">
        <v>26426.05</v>
      </c>
      <c r="U2004" s="35">
        <v>1.0719062588667017</v>
      </c>
      <c r="W2004" s="35">
        <f t="shared" si="193"/>
        <v>503.87502258431891</v>
      </c>
      <c r="X2004" s="35">
        <f t="shared" si="194"/>
        <v>25170.075620891868</v>
      </c>
      <c r="Y2004" s="35">
        <f t="shared" si="195"/>
        <v>27169.262943335085</v>
      </c>
      <c r="Z2004" s="35">
        <f t="shared" si="196"/>
        <v>0</v>
      </c>
      <c r="AA2004" s="35">
        <f t="shared" si="197"/>
        <v>0</v>
      </c>
      <c r="AB2004" s="35">
        <f t="shared" si="198"/>
        <v>1</v>
      </c>
    </row>
    <row r="2005" spans="1:28">
      <c r="A2005" s="35">
        <v>1994</v>
      </c>
      <c r="B2005" s="35">
        <v>3.4759400733016307E-4</v>
      </c>
      <c r="C2005" s="232">
        <v>55.44</v>
      </c>
      <c r="D2005" s="35">
        <v>5.0543834013121725</v>
      </c>
      <c r="E2005" s="232">
        <v>35.9</v>
      </c>
      <c r="F2005" s="35">
        <v>5.0474935518330959</v>
      </c>
      <c r="G2005" s="232">
        <v>12271.83</v>
      </c>
      <c r="H2005" s="35">
        <v>8.2130935626045432</v>
      </c>
      <c r="I2005" s="232">
        <v>13119.09</v>
      </c>
      <c r="J2005" s="35">
        <v>6.560342266330899</v>
      </c>
      <c r="K2005" s="232">
        <v>13956.07</v>
      </c>
      <c r="L2005" s="35">
        <v>8.3730563535290159</v>
      </c>
      <c r="M2005" s="232">
        <v>39834.839999999997</v>
      </c>
      <c r="N2005" s="35">
        <v>7.3741263149112166</v>
      </c>
      <c r="P2005" s="232">
        <v>-19.54</v>
      </c>
      <c r="Q2005" s="35">
        <v>6.8898494790765596E-3</v>
      </c>
      <c r="R2005" s="232">
        <v>847.26</v>
      </c>
      <c r="S2005" s="35">
        <v>1.6527512962736441</v>
      </c>
      <c r="T2005" s="232">
        <v>25878.77</v>
      </c>
      <c r="U2005" s="35">
        <v>0.99893003861779928</v>
      </c>
      <c r="W2005" s="35">
        <f t="shared" si="193"/>
        <v>364.032473953828</v>
      </c>
      <c r="X2005" s="35">
        <f t="shared" si="194"/>
        <v>81790.304813682218</v>
      </c>
      <c r="Y2005" s="35">
        <f t="shared" si="195"/>
        <v>24067.731930889964</v>
      </c>
      <c r="Z2005" s="35">
        <f t="shared" si="196"/>
        <v>0</v>
      </c>
      <c r="AA2005" s="35">
        <f t="shared" si="197"/>
        <v>1</v>
      </c>
      <c r="AB2005" s="35">
        <f t="shared" si="198"/>
        <v>0</v>
      </c>
    </row>
    <row r="2006" spans="1:28">
      <c r="A2006" s="35">
        <v>1995</v>
      </c>
      <c r="B2006" s="35">
        <v>4.5587134291880105E-4</v>
      </c>
      <c r="C2006" s="232">
        <v>54.23</v>
      </c>
      <c r="D2006" s="35">
        <v>5.0612020938226889</v>
      </c>
      <c r="E2006" s="232">
        <v>36.72</v>
      </c>
      <c r="F2006" s="35">
        <v>5.0521113778230768</v>
      </c>
      <c r="G2006" s="232">
        <v>8886.7000000000007</v>
      </c>
      <c r="H2006" s="35">
        <v>8.5364341646620758</v>
      </c>
      <c r="I2006" s="232">
        <v>9801.25</v>
      </c>
      <c r="J2006" s="35">
        <v>6.9275118417495714</v>
      </c>
      <c r="K2006" s="232">
        <v>10737.89</v>
      </c>
      <c r="L2006" s="35">
        <v>8.6906604094270392</v>
      </c>
      <c r="M2006" s="232">
        <v>36686.22</v>
      </c>
      <c r="N2006" s="35">
        <v>7.609152714844404</v>
      </c>
      <c r="P2006" s="232">
        <v>-17.510000000000002</v>
      </c>
      <c r="Q2006" s="35">
        <v>9.0907159996120868E-3</v>
      </c>
      <c r="R2006" s="232">
        <v>914.55</v>
      </c>
      <c r="S2006" s="35">
        <v>1.6089223229125045</v>
      </c>
      <c r="T2006" s="232">
        <v>25948.33</v>
      </c>
      <c r="U2006" s="35">
        <v>1.0815076945826352</v>
      </c>
      <c r="W2006" s="35">
        <f t="shared" si="193"/>
        <v>472.04579998060433</v>
      </c>
      <c r="X2006" s="35">
        <f t="shared" si="194"/>
        <v>79531.566145625227</v>
      </c>
      <c r="Y2006" s="35">
        <f t="shared" si="195"/>
        <v>28127.054729131756</v>
      </c>
      <c r="Z2006" s="35">
        <f t="shared" si="196"/>
        <v>0</v>
      </c>
      <c r="AA2006" s="35">
        <f t="shared" si="197"/>
        <v>1</v>
      </c>
      <c r="AB2006" s="35">
        <f t="shared" si="198"/>
        <v>0</v>
      </c>
    </row>
    <row r="2007" spans="1:28">
      <c r="A2007" s="35">
        <v>1996</v>
      </c>
      <c r="B2007" s="35">
        <v>4.5291003627279114E-4</v>
      </c>
      <c r="C2007" s="232">
        <v>60.3</v>
      </c>
      <c r="D2007" s="35">
        <v>5.0628463608900969</v>
      </c>
      <c r="E2007" s="232">
        <v>34.97</v>
      </c>
      <c r="F2007" s="35">
        <v>5.0508630877837186</v>
      </c>
      <c r="G2007" s="232">
        <v>10463.39</v>
      </c>
      <c r="H2007" s="35">
        <v>9.1634996165569067</v>
      </c>
      <c r="I2007" s="232">
        <v>10829.01</v>
      </c>
      <c r="J2007" s="35">
        <v>7.1639246453812895</v>
      </c>
      <c r="K2007" s="232">
        <v>13018.56</v>
      </c>
      <c r="L2007" s="35">
        <v>8.7016344332028499</v>
      </c>
      <c r="M2007" s="232">
        <v>39034.74</v>
      </c>
      <c r="N2007" s="35">
        <v>7.6620231164755168</v>
      </c>
      <c r="P2007" s="232">
        <v>-25.33</v>
      </c>
      <c r="Q2007" s="35">
        <v>1.1983273106378256E-2</v>
      </c>
      <c r="R2007" s="232">
        <v>365.63</v>
      </c>
      <c r="S2007" s="35">
        <v>1.9995749711756172</v>
      </c>
      <c r="T2007" s="232">
        <v>26016.18</v>
      </c>
      <c r="U2007" s="35">
        <v>1.0396113167273331</v>
      </c>
      <c r="W2007" s="35">
        <f t="shared" si="193"/>
        <v>624.49365531891283</v>
      </c>
      <c r="X2007" s="35">
        <f t="shared" si="194"/>
        <v>99613.118558780858</v>
      </c>
      <c r="Y2007" s="35">
        <f t="shared" si="195"/>
        <v>25964.385836366651</v>
      </c>
      <c r="Z2007" s="35">
        <f t="shared" si="196"/>
        <v>0</v>
      </c>
      <c r="AA2007" s="35">
        <f t="shared" si="197"/>
        <v>1</v>
      </c>
      <c r="AB2007" s="35">
        <f t="shared" si="198"/>
        <v>0</v>
      </c>
    </row>
    <row r="2008" spans="1:28">
      <c r="A2008" s="35">
        <v>1997</v>
      </c>
      <c r="B2008" s="35">
        <v>5.0645163290508055E-4</v>
      </c>
      <c r="C2008" s="232">
        <v>82.37</v>
      </c>
      <c r="D2008" s="35">
        <v>5.0640694085486269</v>
      </c>
      <c r="E2008" s="232">
        <v>55.4</v>
      </c>
      <c r="F2008" s="35">
        <v>5.0543426762514132</v>
      </c>
      <c r="G2008" s="232">
        <v>12775.46</v>
      </c>
      <c r="H2008" s="35">
        <v>8.9891529181530601</v>
      </c>
      <c r="I2008" s="232">
        <v>13560.8</v>
      </c>
      <c r="J2008" s="35">
        <v>7.7622474470588321</v>
      </c>
      <c r="K2008" s="232">
        <v>15850.57</v>
      </c>
      <c r="L2008" s="35">
        <v>8.161913887205003</v>
      </c>
      <c r="M2008" s="232">
        <v>41973.19</v>
      </c>
      <c r="N2008" s="35">
        <v>7.1695549054457377</v>
      </c>
      <c r="P2008" s="232">
        <v>-26.98</v>
      </c>
      <c r="Q2008" s="35">
        <v>9.7267322972136583E-3</v>
      </c>
      <c r="R2008" s="232">
        <v>785.34</v>
      </c>
      <c r="S2008" s="35">
        <v>1.226905471094228</v>
      </c>
      <c r="T2008" s="232">
        <v>26122.62</v>
      </c>
      <c r="U2008" s="35">
        <v>0.99235898175926529</v>
      </c>
      <c r="W2008" s="35">
        <f t="shared" si="193"/>
        <v>513.31661486068288</v>
      </c>
      <c r="X2008" s="35">
        <f t="shared" si="194"/>
        <v>60559.933554711402</v>
      </c>
      <c r="Y2008" s="35">
        <f t="shared" si="195"/>
        <v>23495.329087963266</v>
      </c>
      <c r="Z2008" s="35">
        <f t="shared" si="196"/>
        <v>0</v>
      </c>
      <c r="AA2008" s="35">
        <f t="shared" si="197"/>
        <v>1</v>
      </c>
      <c r="AB2008" s="35">
        <f t="shared" si="198"/>
        <v>0</v>
      </c>
    </row>
    <row r="2009" spans="1:28">
      <c r="A2009" s="35">
        <v>1998</v>
      </c>
      <c r="B2009" s="35">
        <v>4.1630151146015629E-4</v>
      </c>
      <c r="C2009" s="232">
        <v>61.51</v>
      </c>
      <c r="D2009" s="35">
        <v>5.0610966591451962</v>
      </c>
      <c r="E2009" s="232">
        <v>39.61</v>
      </c>
      <c r="F2009" s="35">
        <v>5.0514645072265507</v>
      </c>
      <c r="G2009" s="232">
        <v>11405.01</v>
      </c>
      <c r="H2009" s="35">
        <v>9.0914847518014028</v>
      </c>
      <c r="I2009" s="232">
        <v>12116.92</v>
      </c>
      <c r="J2009" s="35">
        <v>7.6267206431845382</v>
      </c>
      <c r="K2009" s="232">
        <v>14607.08</v>
      </c>
      <c r="L2009" s="35">
        <v>8.9098448669804622</v>
      </c>
      <c r="M2009" s="232">
        <v>40760.15</v>
      </c>
      <c r="N2009" s="35">
        <v>7.8602946196570516</v>
      </c>
      <c r="P2009" s="232">
        <v>-21.9</v>
      </c>
      <c r="Q2009" s="35">
        <v>9.6321519186455262E-3</v>
      </c>
      <c r="R2009" s="232">
        <v>711.91</v>
      </c>
      <c r="S2009" s="35">
        <v>1.4647641086168646</v>
      </c>
      <c r="T2009" s="232">
        <v>26153.07</v>
      </c>
      <c r="U2009" s="35">
        <v>1.0495502473234106</v>
      </c>
      <c r="W2009" s="35">
        <f t="shared" si="193"/>
        <v>503.50759593227627</v>
      </c>
      <c r="X2009" s="35">
        <f t="shared" si="194"/>
        <v>72526.295430843224</v>
      </c>
      <c r="Y2009" s="35">
        <f t="shared" si="195"/>
        <v>26324.44236617053</v>
      </c>
      <c r="Z2009" s="35">
        <f t="shared" si="196"/>
        <v>0</v>
      </c>
      <c r="AA2009" s="35">
        <f t="shared" si="197"/>
        <v>1</v>
      </c>
      <c r="AB2009" s="35">
        <f t="shared" si="198"/>
        <v>0</v>
      </c>
    </row>
    <row r="2010" spans="1:28">
      <c r="A2010" s="35">
        <v>1999</v>
      </c>
      <c r="B2010" s="35">
        <v>5.5070094514531043E-4</v>
      </c>
      <c r="C2010" s="232">
        <v>108.96</v>
      </c>
      <c r="D2010" s="35">
        <v>5.0676972731482177</v>
      </c>
      <c r="E2010" s="232">
        <v>70.89</v>
      </c>
      <c r="F2010" s="35">
        <v>5.0562920803318629</v>
      </c>
      <c r="G2010" s="232">
        <v>14640.36</v>
      </c>
      <c r="H2010" s="35">
        <v>9.109637934254696</v>
      </c>
      <c r="I2010" s="232">
        <v>16591.12</v>
      </c>
      <c r="J2010" s="35">
        <v>8.9674404300846984</v>
      </c>
      <c r="K2010" s="232">
        <v>19302.57</v>
      </c>
      <c r="L2010" s="35">
        <v>8.5359853417017728</v>
      </c>
      <c r="M2010" s="232">
        <v>45601.94</v>
      </c>
      <c r="N2010" s="35">
        <v>7.5676927344868048</v>
      </c>
      <c r="P2010" s="232">
        <v>-38.07</v>
      </c>
      <c r="Q2010" s="35">
        <v>1.140519281635477E-2</v>
      </c>
      <c r="R2010" s="232">
        <v>1950.76</v>
      </c>
      <c r="S2010" s="35">
        <v>0.14219750416999766</v>
      </c>
      <c r="T2010" s="232">
        <v>26299.37</v>
      </c>
      <c r="U2010" s="35">
        <v>0.96829260721496802</v>
      </c>
      <c r="W2010" s="35">
        <f t="shared" si="193"/>
        <v>608.32964081773855</v>
      </c>
      <c r="X2010" s="35">
        <f t="shared" si="194"/>
        <v>5159.115208499883</v>
      </c>
      <c r="Y2010" s="35">
        <f t="shared" si="195"/>
        <v>22115.260360748402</v>
      </c>
      <c r="Z2010" s="35">
        <f t="shared" si="196"/>
        <v>0</v>
      </c>
      <c r="AA2010" s="35">
        <f t="shared" si="197"/>
        <v>0</v>
      </c>
      <c r="AB2010" s="35">
        <f t="shared" si="198"/>
        <v>1</v>
      </c>
    </row>
    <row r="2011" spans="1:28">
      <c r="A2011" s="35">
        <v>2000</v>
      </c>
      <c r="B2011" s="35">
        <v>4.8897497332578421E-4</v>
      </c>
      <c r="C2011" s="232">
        <v>82.62</v>
      </c>
      <c r="D2011" s="35">
        <v>5.0622715075247449</v>
      </c>
      <c r="E2011" s="232">
        <v>51.72</v>
      </c>
      <c r="F2011" s="35">
        <v>5.0520854442198475</v>
      </c>
      <c r="G2011" s="232">
        <v>12874.41</v>
      </c>
      <c r="H2011" s="35">
        <v>8.4126065859608943</v>
      </c>
      <c r="I2011" s="232">
        <v>14094.78</v>
      </c>
      <c r="J2011" s="35">
        <v>7.5309539979098288</v>
      </c>
      <c r="K2011" s="232">
        <v>16410.22</v>
      </c>
      <c r="L2011" s="35">
        <v>8.5260065406148495</v>
      </c>
      <c r="M2011" s="232">
        <v>42510.55</v>
      </c>
      <c r="N2011" s="35">
        <v>7.4257054942589837</v>
      </c>
      <c r="P2011" s="232">
        <v>-30.89</v>
      </c>
      <c r="Q2011" s="35">
        <v>1.0186063304897353E-2</v>
      </c>
      <c r="R2011" s="232">
        <v>1220.3699999999999</v>
      </c>
      <c r="S2011" s="35">
        <v>0.8816525880510655</v>
      </c>
      <c r="T2011" s="232">
        <v>26100.33</v>
      </c>
      <c r="U2011" s="35">
        <v>1.1003010463558658</v>
      </c>
      <c r="W2011" s="35">
        <f t="shared" si="193"/>
        <v>540.1931652448676</v>
      </c>
      <c r="X2011" s="35">
        <f t="shared" si="194"/>
        <v>42862.259402553274</v>
      </c>
      <c r="Y2011" s="35">
        <f t="shared" si="195"/>
        <v>28914.72231779329</v>
      </c>
      <c r="Z2011" s="35">
        <f t="shared" si="196"/>
        <v>0</v>
      </c>
      <c r="AA2011" s="35">
        <f t="shared" si="197"/>
        <v>1</v>
      </c>
      <c r="AB2011" s="35">
        <f t="shared" si="198"/>
        <v>0</v>
      </c>
    </row>
    <row r="2012" spans="1:28">
      <c r="C2012" s="232"/>
      <c r="E2012" s="232"/>
      <c r="G2012" s="232"/>
      <c r="I2012" s="232"/>
      <c r="K2012" s="232"/>
      <c r="M2012" s="232"/>
      <c r="P2012" s="232"/>
      <c r="R2012" s="232"/>
      <c r="T2012" s="232"/>
    </row>
    <row r="2013" spans="1:28">
      <c r="C2013" s="232"/>
      <c r="E2013" s="232"/>
      <c r="G2013" s="232"/>
      <c r="I2013" s="232"/>
      <c r="K2013" s="232"/>
      <c r="M2013" s="232"/>
      <c r="P2013" s="232"/>
      <c r="R2013" s="232"/>
      <c r="T2013" s="232"/>
    </row>
    <row r="2014" spans="1:28">
      <c r="C2014" s="232"/>
      <c r="E2014" s="232"/>
      <c r="G2014" s="232"/>
      <c r="I2014" s="232"/>
      <c r="K2014" s="232"/>
      <c r="M2014" s="232"/>
      <c r="P2014" s="232"/>
      <c r="R2014" s="232"/>
      <c r="T2014" s="232"/>
    </row>
    <row r="2015" spans="1:28">
      <c r="C2015" s="232"/>
      <c r="E2015" s="232"/>
      <c r="G2015" s="232"/>
      <c r="I2015" s="232"/>
      <c r="K2015" s="232"/>
      <c r="M2015" s="232"/>
      <c r="P2015" s="232"/>
      <c r="R2015" s="232"/>
      <c r="T2015" s="232"/>
    </row>
    <row r="2016" spans="1:28">
      <c r="C2016" s="232"/>
      <c r="E2016" s="232"/>
      <c r="G2016" s="232"/>
      <c r="I2016" s="232"/>
      <c r="K2016" s="232"/>
      <c r="M2016" s="232"/>
      <c r="P2016" s="232"/>
      <c r="R2016" s="232"/>
      <c r="T2016" s="232"/>
    </row>
    <row r="2017" spans="3:20">
      <c r="C2017" s="232"/>
      <c r="E2017" s="232"/>
      <c r="G2017" s="232"/>
      <c r="I2017" s="232"/>
      <c r="K2017" s="232"/>
      <c r="M2017" s="232"/>
      <c r="P2017" s="232"/>
      <c r="R2017" s="232"/>
      <c r="T2017" s="232"/>
    </row>
    <row r="2018" spans="3:20">
      <c r="C2018" s="232"/>
      <c r="E2018" s="232"/>
      <c r="G2018" s="232"/>
      <c r="I2018" s="232"/>
      <c r="K2018" s="232"/>
      <c r="M2018" s="232"/>
      <c r="P2018" s="232"/>
      <c r="R2018" s="232"/>
      <c r="T2018" s="232"/>
    </row>
    <row r="2019" spans="3:20">
      <c r="C2019" s="232"/>
      <c r="E2019" s="232"/>
      <c r="G2019" s="232"/>
      <c r="I2019" s="232"/>
      <c r="K2019" s="232"/>
      <c r="M2019" s="232"/>
      <c r="P2019" s="232"/>
      <c r="R2019" s="232"/>
      <c r="T2019" s="232"/>
    </row>
    <row r="2020" spans="3:20">
      <c r="C2020" s="232"/>
      <c r="E2020" s="232"/>
      <c r="G2020" s="232"/>
      <c r="I2020" s="232"/>
      <c r="K2020" s="232"/>
      <c r="M2020" s="232"/>
      <c r="P2020" s="232"/>
      <c r="R2020" s="232"/>
      <c r="T2020" s="232"/>
    </row>
    <row r="2021" spans="3:20">
      <c r="C2021" s="232"/>
      <c r="E2021" s="232"/>
      <c r="G2021" s="232"/>
      <c r="I2021" s="232"/>
      <c r="K2021" s="232"/>
      <c r="M2021" s="232"/>
      <c r="P2021" s="232"/>
      <c r="R2021" s="232"/>
      <c r="T2021" s="232"/>
    </row>
    <row r="2022" spans="3:20">
      <c r="C2022" s="232"/>
      <c r="E2022" s="232"/>
      <c r="G2022" s="232"/>
      <c r="I2022" s="232"/>
      <c r="K2022" s="232"/>
      <c r="M2022" s="232"/>
      <c r="P2022" s="232"/>
      <c r="R2022" s="232"/>
      <c r="T2022" s="232"/>
    </row>
    <row r="2023" spans="3:20">
      <c r="C2023" s="232"/>
      <c r="E2023" s="232"/>
      <c r="G2023" s="232"/>
      <c r="I2023" s="232"/>
      <c r="K2023" s="232"/>
      <c r="M2023" s="232"/>
      <c r="P2023" s="232"/>
      <c r="R2023" s="232"/>
      <c r="T2023" s="232"/>
    </row>
    <row r="2024" spans="3:20">
      <c r="C2024" s="232"/>
      <c r="E2024" s="232"/>
      <c r="G2024" s="232"/>
      <c r="I2024" s="232"/>
      <c r="K2024" s="232"/>
      <c r="M2024" s="232"/>
      <c r="P2024" s="232"/>
      <c r="R2024" s="232"/>
      <c r="T2024" s="232"/>
    </row>
    <row r="2025" spans="3:20">
      <c r="C2025" s="232"/>
      <c r="E2025" s="232"/>
      <c r="G2025" s="232"/>
      <c r="I2025" s="232"/>
      <c r="K2025" s="232"/>
      <c r="M2025" s="232"/>
      <c r="P2025" s="232"/>
      <c r="R2025" s="232"/>
      <c r="T2025" s="232"/>
    </row>
    <row r="2026" spans="3:20">
      <c r="C2026" s="232"/>
      <c r="E2026" s="232"/>
      <c r="G2026" s="232"/>
      <c r="I2026" s="232"/>
      <c r="K2026" s="232"/>
      <c r="M2026" s="232"/>
      <c r="P2026" s="232"/>
      <c r="R2026" s="232"/>
      <c r="T2026" s="232"/>
    </row>
    <row r="2027" spans="3:20">
      <c r="C2027" s="232"/>
      <c r="E2027" s="232"/>
      <c r="G2027" s="232"/>
      <c r="I2027" s="232"/>
      <c r="K2027" s="232"/>
      <c r="M2027" s="232"/>
      <c r="P2027" s="232"/>
      <c r="R2027" s="232"/>
      <c r="T2027" s="232"/>
    </row>
    <row r="2028" spans="3:20">
      <c r="C2028" s="232"/>
      <c r="E2028" s="232"/>
      <c r="G2028" s="232"/>
      <c r="I2028" s="232"/>
      <c r="K2028" s="232"/>
      <c r="M2028" s="232"/>
      <c r="P2028" s="232"/>
      <c r="R2028" s="232"/>
      <c r="T2028" s="232"/>
    </row>
    <row r="2029" spans="3:20">
      <c r="C2029" s="232"/>
      <c r="E2029" s="232"/>
      <c r="G2029" s="232"/>
      <c r="I2029" s="232"/>
      <c r="K2029" s="232"/>
      <c r="M2029" s="232"/>
      <c r="P2029" s="232"/>
      <c r="R2029" s="232"/>
      <c r="T2029" s="232"/>
    </row>
    <row r="2030" spans="3:20">
      <c r="C2030" s="232"/>
      <c r="E2030" s="232"/>
      <c r="G2030" s="232"/>
      <c r="I2030" s="232"/>
      <c r="K2030" s="232"/>
      <c r="M2030" s="232"/>
      <c r="P2030" s="232"/>
      <c r="R2030" s="232"/>
      <c r="T2030" s="232"/>
    </row>
    <row r="2031" spans="3:20">
      <c r="C2031" s="232"/>
      <c r="E2031" s="232"/>
      <c r="G2031" s="232"/>
      <c r="I2031" s="232"/>
      <c r="K2031" s="232"/>
      <c r="M2031" s="232"/>
      <c r="P2031" s="232"/>
      <c r="R2031" s="232"/>
      <c r="T2031" s="232"/>
    </row>
    <row r="2032" spans="3:20">
      <c r="C2032" s="232"/>
      <c r="E2032" s="232"/>
      <c r="G2032" s="232"/>
      <c r="I2032" s="232"/>
      <c r="K2032" s="232"/>
      <c r="M2032" s="232"/>
      <c r="P2032" s="232"/>
      <c r="R2032" s="232"/>
      <c r="T2032" s="232"/>
    </row>
    <row r="2033" spans="3:20">
      <c r="C2033" s="232"/>
      <c r="E2033" s="232"/>
      <c r="G2033" s="232"/>
      <c r="I2033" s="232"/>
      <c r="K2033" s="232"/>
      <c r="M2033" s="232"/>
      <c r="P2033" s="232"/>
      <c r="R2033" s="232"/>
      <c r="T2033" s="232"/>
    </row>
    <row r="2034" spans="3:20">
      <c r="C2034" s="232"/>
      <c r="E2034" s="232"/>
      <c r="G2034" s="232"/>
      <c r="I2034" s="232"/>
      <c r="K2034" s="232"/>
      <c r="M2034" s="232"/>
      <c r="P2034" s="232"/>
      <c r="R2034" s="232"/>
      <c r="T2034" s="232"/>
    </row>
    <row r="2035" spans="3:20">
      <c r="C2035" s="232"/>
      <c r="E2035" s="232"/>
      <c r="G2035" s="232"/>
      <c r="I2035" s="232"/>
      <c r="K2035" s="232"/>
      <c r="M2035" s="232"/>
      <c r="P2035" s="232"/>
      <c r="R2035" s="232"/>
      <c r="T2035" s="232"/>
    </row>
    <row r="2036" spans="3:20">
      <c r="C2036" s="232"/>
      <c r="E2036" s="232"/>
      <c r="G2036" s="232"/>
      <c r="I2036" s="232"/>
      <c r="K2036" s="232"/>
      <c r="M2036" s="232"/>
      <c r="P2036" s="232"/>
      <c r="R2036" s="232"/>
      <c r="T2036" s="232"/>
    </row>
    <row r="2037" spans="3:20">
      <c r="C2037" s="232"/>
      <c r="E2037" s="232"/>
      <c r="G2037" s="232"/>
      <c r="I2037" s="232"/>
      <c r="K2037" s="232"/>
      <c r="M2037" s="232"/>
      <c r="P2037" s="232"/>
      <c r="R2037" s="232"/>
      <c r="T2037" s="232"/>
    </row>
    <row r="2038" spans="3:20">
      <c r="C2038" s="232"/>
      <c r="E2038" s="232"/>
      <c r="G2038" s="232"/>
      <c r="I2038" s="232"/>
      <c r="K2038" s="232"/>
      <c r="M2038" s="232"/>
      <c r="P2038" s="232"/>
      <c r="R2038" s="232"/>
      <c r="T2038" s="232"/>
    </row>
    <row r="2039" spans="3:20">
      <c r="C2039" s="232"/>
      <c r="E2039" s="232"/>
      <c r="G2039" s="232"/>
      <c r="I2039" s="232"/>
      <c r="K2039" s="232"/>
      <c r="M2039" s="232"/>
      <c r="P2039" s="232"/>
      <c r="R2039" s="232"/>
      <c r="T2039" s="232"/>
    </row>
    <row r="2040" spans="3:20">
      <c r="C2040" s="232"/>
      <c r="E2040" s="232"/>
      <c r="G2040" s="232"/>
      <c r="I2040" s="232"/>
      <c r="K2040" s="232"/>
      <c r="M2040" s="232"/>
      <c r="P2040" s="232"/>
      <c r="R2040" s="232"/>
      <c r="T2040" s="232"/>
    </row>
    <row r="2041" spans="3:20">
      <c r="C2041" s="232"/>
      <c r="E2041" s="232"/>
      <c r="G2041" s="232"/>
      <c r="I2041" s="232"/>
      <c r="K2041" s="232"/>
      <c r="M2041" s="232"/>
      <c r="P2041" s="232"/>
      <c r="R2041" s="232"/>
      <c r="T2041" s="232"/>
    </row>
    <row r="2042" spans="3:20">
      <c r="C2042" s="232"/>
      <c r="E2042" s="232"/>
      <c r="G2042" s="232"/>
      <c r="I2042" s="232"/>
      <c r="K2042" s="232"/>
      <c r="M2042" s="232"/>
      <c r="P2042" s="232"/>
      <c r="R2042" s="232"/>
      <c r="T2042" s="232"/>
    </row>
    <row r="2043" spans="3:20">
      <c r="C2043" s="232"/>
      <c r="E2043" s="232"/>
      <c r="G2043" s="232"/>
      <c r="I2043" s="232"/>
      <c r="K2043" s="232"/>
      <c r="M2043" s="232"/>
      <c r="P2043" s="232"/>
      <c r="R2043" s="232"/>
      <c r="T2043" s="232"/>
    </row>
    <row r="2044" spans="3:20">
      <c r="C2044" s="232"/>
      <c r="E2044" s="232"/>
      <c r="G2044" s="232"/>
      <c r="I2044" s="232"/>
      <c r="K2044" s="232"/>
      <c r="M2044" s="232"/>
      <c r="P2044" s="232"/>
      <c r="R2044" s="232"/>
      <c r="T2044" s="232"/>
    </row>
    <row r="2045" spans="3:20">
      <c r="C2045" s="232"/>
      <c r="E2045" s="232"/>
      <c r="G2045" s="232"/>
      <c r="I2045" s="232"/>
      <c r="K2045" s="232"/>
      <c r="M2045" s="232"/>
      <c r="P2045" s="232"/>
      <c r="R2045" s="232"/>
      <c r="T2045" s="232"/>
    </row>
    <row r="2046" spans="3:20">
      <c r="C2046" s="232"/>
      <c r="E2046" s="232"/>
      <c r="G2046" s="232"/>
      <c r="I2046" s="232"/>
      <c r="K2046" s="232"/>
      <c r="M2046" s="232"/>
      <c r="P2046" s="232"/>
      <c r="R2046" s="232"/>
      <c r="T2046" s="232"/>
    </row>
    <row r="2047" spans="3:20">
      <c r="C2047" s="232"/>
      <c r="E2047" s="232"/>
      <c r="G2047" s="232"/>
      <c r="I2047" s="232"/>
      <c r="K2047" s="232"/>
      <c r="M2047" s="232"/>
      <c r="P2047" s="232"/>
      <c r="R2047" s="232"/>
      <c r="T2047" s="232"/>
    </row>
    <row r="2048" spans="3:20">
      <c r="C2048" s="232"/>
      <c r="E2048" s="232"/>
      <c r="G2048" s="232"/>
      <c r="I2048" s="232"/>
      <c r="K2048" s="232"/>
      <c r="M2048" s="232"/>
      <c r="P2048" s="232"/>
      <c r="R2048" s="232"/>
      <c r="T2048" s="232"/>
    </row>
    <row r="2049" spans="3:20">
      <c r="C2049" s="232"/>
      <c r="E2049" s="232"/>
      <c r="G2049" s="232"/>
      <c r="I2049" s="232"/>
      <c r="K2049" s="232"/>
      <c r="M2049" s="232"/>
      <c r="P2049" s="232"/>
      <c r="R2049" s="232"/>
      <c r="T2049" s="232"/>
    </row>
    <row r="2050" spans="3:20">
      <c r="C2050" s="232"/>
      <c r="E2050" s="232"/>
      <c r="G2050" s="232"/>
      <c r="I2050" s="232"/>
      <c r="K2050" s="232"/>
      <c r="M2050" s="232"/>
      <c r="P2050" s="232"/>
      <c r="R2050" s="232"/>
      <c r="T2050" s="232"/>
    </row>
    <row r="2051" spans="3:20">
      <c r="C2051" s="232"/>
      <c r="E2051" s="232"/>
      <c r="G2051" s="232"/>
      <c r="I2051" s="232"/>
      <c r="K2051" s="232"/>
      <c r="M2051" s="232"/>
      <c r="P2051" s="232"/>
      <c r="R2051" s="232"/>
      <c r="T2051" s="232"/>
    </row>
    <row r="2052" spans="3:20">
      <c r="C2052" s="232"/>
      <c r="E2052" s="232"/>
      <c r="G2052" s="232"/>
      <c r="I2052" s="232"/>
      <c r="K2052" s="232"/>
      <c r="M2052" s="232"/>
      <c r="P2052" s="232"/>
      <c r="R2052" s="232"/>
      <c r="T2052" s="232"/>
    </row>
    <row r="2053" spans="3:20">
      <c r="C2053" s="232"/>
      <c r="E2053" s="232"/>
      <c r="G2053" s="232"/>
      <c r="I2053" s="232"/>
      <c r="K2053" s="232"/>
      <c r="M2053" s="232"/>
      <c r="P2053" s="232"/>
      <c r="R2053" s="232"/>
      <c r="T2053" s="232"/>
    </row>
    <row r="2054" spans="3:20">
      <c r="C2054" s="232"/>
      <c r="E2054" s="232"/>
      <c r="G2054" s="232"/>
      <c r="I2054" s="232"/>
      <c r="K2054" s="232"/>
      <c r="M2054" s="232"/>
      <c r="P2054" s="232"/>
      <c r="R2054" s="232"/>
      <c r="T2054" s="232"/>
    </row>
    <row r="2055" spans="3:20">
      <c r="C2055" s="232"/>
      <c r="E2055" s="232"/>
      <c r="G2055" s="232"/>
      <c r="I2055" s="232"/>
      <c r="K2055" s="232"/>
      <c r="M2055" s="232"/>
      <c r="P2055" s="232"/>
      <c r="R2055" s="232"/>
      <c r="T2055" s="232"/>
    </row>
    <row r="2056" spans="3:20">
      <c r="C2056" s="232"/>
      <c r="E2056" s="232"/>
      <c r="G2056" s="232"/>
      <c r="I2056" s="232"/>
      <c r="K2056" s="232"/>
      <c r="M2056" s="232"/>
      <c r="P2056" s="232"/>
      <c r="R2056" s="232"/>
      <c r="T2056" s="232"/>
    </row>
    <row r="2057" spans="3:20">
      <c r="C2057" s="232"/>
      <c r="E2057" s="232"/>
      <c r="G2057" s="232"/>
      <c r="I2057" s="232"/>
      <c r="K2057" s="232"/>
      <c r="M2057" s="232"/>
      <c r="P2057" s="232"/>
      <c r="R2057" s="232"/>
      <c r="T2057" s="232"/>
    </row>
    <row r="2058" spans="3:20">
      <c r="C2058" s="232"/>
      <c r="E2058" s="232"/>
      <c r="G2058" s="232"/>
      <c r="I2058" s="232"/>
      <c r="K2058" s="232"/>
      <c r="M2058" s="232"/>
      <c r="P2058" s="232"/>
      <c r="R2058" s="232"/>
      <c r="T2058" s="232"/>
    </row>
    <row r="2059" spans="3:20">
      <c r="C2059" s="232"/>
      <c r="E2059" s="232"/>
      <c r="G2059" s="232"/>
      <c r="I2059" s="232"/>
      <c r="K2059" s="232"/>
      <c r="M2059" s="232"/>
      <c r="P2059" s="232"/>
      <c r="R2059" s="232"/>
      <c r="T2059" s="232"/>
    </row>
    <row r="2060" spans="3:20">
      <c r="C2060" s="232"/>
      <c r="E2060" s="232"/>
      <c r="G2060" s="232"/>
      <c r="I2060" s="232"/>
      <c r="K2060" s="232"/>
      <c r="M2060" s="232"/>
      <c r="P2060" s="232"/>
      <c r="R2060" s="232"/>
      <c r="T2060" s="232"/>
    </row>
    <row r="2061" spans="3:20">
      <c r="C2061" s="232"/>
      <c r="E2061" s="232"/>
      <c r="G2061" s="232"/>
      <c r="I2061" s="232"/>
      <c r="K2061" s="232"/>
      <c r="M2061" s="232"/>
      <c r="P2061" s="232"/>
      <c r="R2061" s="232"/>
      <c r="T2061" s="232"/>
    </row>
    <row r="2062" spans="3:20">
      <c r="C2062" s="232"/>
      <c r="E2062" s="232"/>
      <c r="G2062" s="232"/>
      <c r="I2062" s="232"/>
      <c r="K2062" s="232"/>
      <c r="M2062" s="232"/>
      <c r="P2062" s="232"/>
      <c r="R2062" s="232"/>
      <c r="T2062" s="232"/>
    </row>
    <row r="2063" spans="3:20">
      <c r="C2063" s="232"/>
      <c r="E2063" s="232"/>
      <c r="G2063" s="232"/>
      <c r="I2063" s="232"/>
      <c r="K2063" s="232"/>
      <c r="M2063" s="232"/>
      <c r="P2063" s="232"/>
      <c r="R2063" s="232"/>
      <c r="T2063" s="232"/>
    </row>
    <row r="2064" spans="3:20">
      <c r="C2064" s="232"/>
      <c r="E2064" s="232"/>
      <c r="G2064" s="232"/>
      <c r="I2064" s="232"/>
      <c r="K2064" s="232"/>
      <c r="M2064" s="232"/>
      <c r="P2064" s="232"/>
      <c r="R2064" s="232"/>
      <c r="T2064" s="232"/>
    </row>
    <row r="2065" spans="3:20">
      <c r="C2065" s="232"/>
      <c r="E2065" s="232"/>
      <c r="G2065" s="232"/>
      <c r="I2065" s="232"/>
      <c r="K2065" s="232"/>
      <c r="M2065" s="232"/>
      <c r="P2065" s="232"/>
      <c r="R2065" s="232"/>
      <c r="T2065" s="232"/>
    </row>
    <row r="2066" spans="3:20">
      <c r="C2066" s="232"/>
      <c r="E2066" s="232"/>
      <c r="G2066" s="232"/>
      <c r="I2066" s="232"/>
      <c r="K2066" s="232"/>
      <c r="M2066" s="232"/>
      <c r="P2066" s="232"/>
      <c r="R2066" s="232"/>
      <c r="T2066" s="232"/>
    </row>
    <row r="2067" spans="3:20">
      <c r="C2067" s="232"/>
      <c r="E2067" s="232"/>
      <c r="G2067" s="232"/>
      <c r="I2067" s="232"/>
      <c r="K2067" s="232"/>
      <c r="M2067" s="232"/>
      <c r="P2067" s="232"/>
      <c r="R2067" s="232"/>
      <c r="T2067" s="232"/>
    </row>
    <row r="2068" spans="3:20">
      <c r="C2068" s="232"/>
      <c r="E2068" s="232"/>
      <c r="G2068" s="232"/>
      <c r="I2068" s="232"/>
      <c r="K2068" s="232"/>
      <c r="M2068" s="232"/>
      <c r="P2068" s="232"/>
      <c r="R2068" s="232"/>
      <c r="T2068" s="232"/>
    </row>
    <row r="2069" spans="3:20">
      <c r="C2069" s="232"/>
      <c r="E2069" s="232"/>
      <c r="G2069" s="232"/>
      <c r="I2069" s="232"/>
      <c r="K2069" s="232"/>
      <c r="M2069" s="232"/>
      <c r="P2069" s="232"/>
      <c r="R2069" s="232"/>
      <c r="T2069" s="232"/>
    </row>
    <row r="2070" spans="3:20">
      <c r="C2070" s="232"/>
      <c r="E2070" s="232"/>
      <c r="G2070" s="232"/>
      <c r="I2070" s="232"/>
      <c r="K2070" s="232"/>
      <c r="M2070" s="232"/>
      <c r="P2070" s="232"/>
      <c r="R2070" s="232"/>
      <c r="T2070" s="232"/>
    </row>
    <row r="2071" spans="3:20">
      <c r="C2071" s="232"/>
      <c r="E2071" s="232"/>
      <c r="G2071" s="232"/>
      <c r="I2071" s="232"/>
      <c r="K2071" s="232"/>
      <c r="M2071" s="232"/>
      <c r="P2071" s="232"/>
      <c r="R2071" s="232"/>
      <c r="T2071" s="232"/>
    </row>
    <row r="2072" spans="3:20">
      <c r="C2072" s="232"/>
      <c r="E2072" s="232"/>
      <c r="G2072" s="232"/>
      <c r="I2072" s="232"/>
      <c r="K2072" s="232"/>
      <c r="M2072" s="232"/>
      <c r="P2072" s="232"/>
      <c r="R2072" s="232"/>
      <c r="T2072" s="232"/>
    </row>
    <row r="2073" spans="3:20">
      <c r="C2073" s="232"/>
      <c r="E2073" s="232"/>
      <c r="G2073" s="232"/>
      <c r="I2073" s="232"/>
      <c r="K2073" s="232"/>
      <c r="M2073" s="232"/>
      <c r="P2073" s="232"/>
      <c r="R2073" s="232"/>
      <c r="T2073" s="232"/>
    </row>
    <row r="2074" spans="3:20">
      <c r="C2074" s="232"/>
      <c r="E2074" s="232"/>
      <c r="G2074" s="232"/>
      <c r="I2074" s="232"/>
      <c r="K2074" s="232"/>
      <c r="M2074" s="232"/>
      <c r="P2074" s="232"/>
      <c r="R2074" s="232"/>
      <c r="T2074" s="232"/>
    </row>
    <row r="2075" spans="3:20">
      <c r="C2075" s="232"/>
      <c r="E2075" s="232"/>
      <c r="G2075" s="232"/>
      <c r="I2075" s="232"/>
      <c r="K2075" s="232"/>
      <c r="M2075" s="232"/>
      <c r="P2075" s="232"/>
      <c r="R2075" s="232"/>
      <c r="T2075" s="232"/>
    </row>
    <row r="2076" spans="3:20">
      <c r="C2076" s="232"/>
      <c r="E2076" s="232"/>
      <c r="G2076" s="232"/>
      <c r="I2076" s="232"/>
      <c r="K2076" s="232"/>
      <c r="M2076" s="232"/>
      <c r="P2076" s="232"/>
      <c r="R2076" s="232"/>
      <c r="T2076" s="232"/>
    </row>
    <row r="2077" spans="3:20">
      <c r="C2077" s="232"/>
      <c r="E2077" s="232"/>
      <c r="G2077" s="232"/>
      <c r="I2077" s="232"/>
      <c r="K2077" s="232"/>
      <c r="M2077" s="232"/>
      <c r="P2077" s="232"/>
      <c r="R2077" s="232"/>
      <c r="T2077" s="232"/>
    </row>
    <row r="2078" spans="3:20">
      <c r="C2078" s="232"/>
      <c r="E2078" s="232"/>
      <c r="G2078" s="232"/>
      <c r="I2078" s="232"/>
      <c r="K2078" s="232"/>
      <c r="M2078" s="232"/>
      <c r="P2078" s="232"/>
      <c r="R2078" s="232"/>
      <c r="T2078" s="232"/>
    </row>
    <row r="2079" spans="3:20">
      <c r="C2079" s="232"/>
      <c r="E2079" s="232"/>
      <c r="G2079" s="232"/>
      <c r="I2079" s="232"/>
      <c r="K2079" s="232"/>
      <c r="M2079" s="232"/>
      <c r="P2079" s="232"/>
      <c r="R2079" s="232"/>
      <c r="T2079" s="232"/>
    </row>
    <row r="2080" spans="3:20">
      <c r="C2080" s="232"/>
      <c r="E2080" s="232"/>
      <c r="G2080" s="232"/>
      <c r="I2080" s="232"/>
      <c r="K2080" s="232"/>
      <c r="M2080" s="232"/>
      <c r="P2080" s="232"/>
      <c r="R2080" s="232"/>
      <c r="T2080" s="232"/>
    </row>
    <row r="2081" spans="3:20">
      <c r="C2081" s="232"/>
      <c r="E2081" s="232"/>
      <c r="G2081" s="232"/>
      <c r="I2081" s="232"/>
      <c r="K2081" s="232"/>
      <c r="M2081" s="232"/>
      <c r="P2081" s="232"/>
      <c r="R2081" s="232"/>
      <c r="T2081" s="232"/>
    </row>
    <row r="2082" spans="3:20">
      <c r="C2082" s="232"/>
      <c r="E2082" s="232"/>
      <c r="G2082" s="232"/>
      <c r="I2082" s="232"/>
      <c r="K2082" s="232"/>
      <c r="M2082" s="232"/>
      <c r="P2082" s="232"/>
      <c r="R2082" s="232"/>
      <c r="T2082" s="232"/>
    </row>
    <row r="2083" spans="3:20">
      <c r="C2083" s="232"/>
      <c r="E2083" s="232"/>
      <c r="G2083" s="232"/>
      <c r="I2083" s="232"/>
      <c r="K2083" s="232"/>
      <c r="M2083" s="232"/>
      <c r="P2083" s="232"/>
      <c r="R2083" s="232"/>
      <c r="T2083" s="232"/>
    </row>
    <row r="2084" spans="3:20">
      <c r="C2084" s="232"/>
      <c r="E2084" s="232"/>
      <c r="G2084" s="232"/>
      <c r="I2084" s="232"/>
      <c r="K2084" s="232"/>
      <c r="M2084" s="232"/>
      <c r="P2084" s="232"/>
      <c r="R2084" s="232"/>
      <c r="T2084" s="232"/>
    </row>
    <row r="2085" spans="3:20">
      <c r="C2085" s="232"/>
      <c r="E2085" s="232"/>
      <c r="G2085" s="232"/>
      <c r="I2085" s="232"/>
      <c r="K2085" s="232"/>
      <c r="M2085" s="232"/>
      <c r="P2085" s="232"/>
      <c r="R2085" s="232"/>
      <c r="T2085" s="232"/>
    </row>
    <row r="2086" spans="3:20">
      <c r="C2086" s="232"/>
      <c r="E2086" s="232"/>
      <c r="G2086" s="232"/>
      <c r="I2086" s="232"/>
      <c r="K2086" s="232"/>
      <c r="M2086" s="232"/>
      <c r="P2086" s="232"/>
      <c r="R2086" s="232"/>
      <c r="T2086" s="232"/>
    </row>
    <row r="2087" spans="3:20">
      <c r="C2087" s="232"/>
      <c r="E2087" s="232"/>
      <c r="G2087" s="232"/>
      <c r="I2087" s="232"/>
      <c r="K2087" s="232"/>
      <c r="M2087" s="232"/>
      <c r="P2087" s="232"/>
      <c r="R2087" s="232"/>
      <c r="T2087" s="232"/>
    </row>
    <row r="2088" spans="3:20">
      <c r="C2088" s="232"/>
      <c r="E2088" s="232"/>
      <c r="G2088" s="232"/>
      <c r="I2088" s="232"/>
      <c r="K2088" s="232"/>
      <c r="M2088" s="232"/>
      <c r="P2088" s="232"/>
      <c r="R2088" s="232"/>
      <c r="T2088" s="232"/>
    </row>
    <row r="2089" spans="3:20">
      <c r="C2089" s="232"/>
      <c r="E2089" s="232"/>
      <c r="G2089" s="232"/>
      <c r="I2089" s="232"/>
      <c r="K2089" s="232"/>
      <c r="M2089" s="232"/>
      <c r="P2089" s="232"/>
      <c r="R2089" s="232"/>
      <c r="T2089" s="232"/>
    </row>
    <row r="2090" spans="3:20">
      <c r="C2090" s="232"/>
      <c r="E2090" s="232"/>
      <c r="G2090" s="232"/>
      <c r="I2090" s="232"/>
      <c r="K2090" s="232"/>
      <c r="M2090" s="232"/>
      <c r="P2090" s="232"/>
      <c r="R2090" s="232"/>
      <c r="T2090" s="232"/>
    </row>
    <row r="2091" spans="3:20">
      <c r="C2091" s="232"/>
      <c r="E2091" s="232"/>
      <c r="G2091" s="232"/>
      <c r="I2091" s="232"/>
      <c r="K2091" s="232"/>
      <c r="M2091" s="232"/>
      <c r="P2091" s="232"/>
      <c r="R2091" s="232"/>
      <c r="T2091" s="232"/>
    </row>
    <row r="2092" spans="3:20">
      <c r="C2092" s="232"/>
      <c r="E2092" s="232"/>
      <c r="G2092" s="232"/>
      <c r="I2092" s="232"/>
      <c r="K2092" s="232"/>
      <c r="M2092" s="232"/>
      <c r="P2092" s="232"/>
      <c r="R2092" s="232"/>
      <c r="T2092" s="232"/>
    </row>
    <row r="2093" spans="3:20">
      <c r="C2093" s="232"/>
      <c r="E2093" s="232"/>
      <c r="G2093" s="232"/>
      <c r="I2093" s="232"/>
      <c r="K2093" s="232"/>
      <c r="M2093" s="232"/>
      <c r="P2093" s="232"/>
      <c r="R2093" s="232"/>
      <c r="T2093" s="232"/>
    </row>
    <row r="2094" spans="3:20">
      <c r="C2094" s="232"/>
      <c r="E2094" s="232"/>
      <c r="G2094" s="232"/>
      <c r="I2094" s="232"/>
      <c r="K2094" s="232"/>
      <c r="M2094" s="232"/>
      <c r="P2094" s="232"/>
      <c r="R2094" s="232"/>
      <c r="T2094" s="232"/>
    </row>
    <row r="2095" spans="3:20">
      <c r="C2095" s="232"/>
      <c r="E2095" s="232"/>
      <c r="G2095" s="232"/>
      <c r="I2095" s="232"/>
      <c r="K2095" s="232"/>
      <c r="M2095" s="232"/>
      <c r="P2095" s="232"/>
      <c r="R2095" s="232"/>
      <c r="T2095" s="232"/>
    </row>
    <row r="2096" spans="3:20">
      <c r="C2096" s="232"/>
      <c r="E2096" s="232"/>
      <c r="G2096" s="232"/>
      <c r="I2096" s="232"/>
      <c r="K2096" s="232"/>
      <c r="M2096" s="232"/>
      <c r="P2096" s="232"/>
      <c r="R2096" s="232"/>
      <c r="T2096" s="232"/>
    </row>
    <row r="2097" spans="3:20">
      <c r="C2097" s="232"/>
      <c r="E2097" s="232"/>
      <c r="G2097" s="232"/>
      <c r="I2097" s="232"/>
      <c r="K2097" s="232"/>
      <c r="M2097" s="232"/>
      <c r="P2097" s="232"/>
      <c r="R2097" s="232"/>
      <c r="T2097" s="232"/>
    </row>
    <row r="2098" spans="3:20">
      <c r="C2098" s="232"/>
      <c r="E2098" s="232"/>
      <c r="G2098" s="232"/>
      <c r="I2098" s="232"/>
      <c r="K2098" s="232"/>
      <c r="M2098" s="232"/>
      <c r="P2098" s="232"/>
      <c r="R2098" s="232"/>
      <c r="T2098" s="232"/>
    </row>
    <row r="2099" spans="3:20">
      <c r="C2099" s="232"/>
      <c r="E2099" s="232"/>
      <c r="G2099" s="232"/>
      <c r="I2099" s="232"/>
      <c r="K2099" s="232"/>
      <c r="M2099" s="232"/>
      <c r="P2099" s="232"/>
      <c r="R2099" s="232"/>
      <c r="T2099" s="232"/>
    </row>
    <row r="2100" spans="3:20">
      <c r="C2100" s="232"/>
      <c r="E2100" s="232"/>
      <c r="G2100" s="232"/>
      <c r="I2100" s="232"/>
      <c r="K2100" s="232"/>
      <c r="M2100" s="232"/>
      <c r="P2100" s="232"/>
      <c r="R2100" s="232"/>
      <c r="T2100" s="232"/>
    </row>
    <row r="2101" spans="3:20">
      <c r="C2101" s="232"/>
      <c r="E2101" s="232"/>
      <c r="G2101" s="232"/>
      <c r="I2101" s="232"/>
      <c r="K2101" s="232"/>
      <c r="M2101" s="232"/>
      <c r="P2101" s="232"/>
      <c r="R2101" s="232"/>
      <c r="T2101" s="232"/>
    </row>
    <row r="2102" spans="3:20">
      <c r="C2102" s="232"/>
      <c r="E2102" s="232"/>
      <c r="G2102" s="232"/>
      <c r="I2102" s="232"/>
      <c r="K2102" s="232"/>
      <c r="M2102" s="232"/>
      <c r="P2102" s="232"/>
      <c r="R2102" s="232"/>
      <c r="T2102" s="232"/>
    </row>
    <row r="2103" spans="3:20">
      <c r="C2103" s="232"/>
      <c r="E2103" s="232"/>
      <c r="G2103" s="232"/>
      <c r="I2103" s="232"/>
      <c r="K2103" s="232"/>
      <c r="M2103" s="232"/>
      <c r="P2103" s="232"/>
      <c r="R2103" s="232"/>
      <c r="T2103" s="232"/>
    </row>
    <row r="2104" spans="3:20">
      <c r="C2104" s="232"/>
      <c r="E2104" s="232"/>
      <c r="G2104" s="232"/>
      <c r="I2104" s="232"/>
      <c r="K2104" s="232"/>
      <c r="M2104" s="232"/>
      <c r="P2104" s="232"/>
      <c r="R2104" s="232"/>
      <c r="T2104" s="232"/>
    </row>
    <row r="2105" spans="3:20">
      <c r="C2105" s="232"/>
      <c r="E2105" s="232"/>
      <c r="G2105" s="232"/>
      <c r="I2105" s="232"/>
      <c r="K2105" s="232"/>
      <c r="M2105" s="232"/>
      <c r="P2105" s="232"/>
      <c r="R2105" s="232"/>
      <c r="T2105" s="232"/>
    </row>
    <row r="2106" spans="3:20">
      <c r="C2106" s="232"/>
      <c r="E2106" s="232"/>
      <c r="G2106" s="232"/>
      <c r="I2106" s="232"/>
      <c r="K2106" s="232"/>
      <c r="M2106" s="232"/>
      <c r="P2106" s="232"/>
      <c r="R2106" s="232"/>
      <c r="T2106" s="232"/>
    </row>
    <row r="2107" spans="3:20">
      <c r="C2107" s="232"/>
      <c r="E2107" s="232"/>
      <c r="G2107" s="232"/>
      <c r="I2107" s="232"/>
      <c r="K2107" s="232"/>
      <c r="M2107" s="232"/>
      <c r="P2107" s="232"/>
      <c r="R2107" s="232"/>
      <c r="T2107" s="232"/>
    </row>
    <row r="2108" spans="3:20">
      <c r="C2108" s="232"/>
      <c r="E2108" s="232"/>
      <c r="G2108" s="232"/>
      <c r="I2108" s="232"/>
      <c r="K2108" s="232"/>
      <c r="M2108" s="232"/>
      <c r="P2108" s="232"/>
      <c r="R2108" s="232"/>
      <c r="T2108" s="232"/>
    </row>
    <row r="2109" spans="3:20">
      <c r="C2109" s="232"/>
      <c r="E2109" s="232"/>
      <c r="G2109" s="232"/>
      <c r="I2109" s="232"/>
      <c r="K2109" s="232"/>
      <c r="M2109" s="232"/>
      <c r="P2109" s="232"/>
      <c r="R2109" s="232"/>
      <c r="T2109" s="232"/>
    </row>
    <row r="2110" spans="3:20">
      <c r="C2110" s="232"/>
      <c r="E2110" s="232"/>
      <c r="G2110" s="232"/>
      <c r="I2110" s="232"/>
      <c r="K2110" s="232"/>
      <c r="M2110" s="232"/>
      <c r="P2110" s="232"/>
      <c r="R2110" s="232"/>
      <c r="T2110" s="232"/>
    </row>
    <row r="2111" spans="3:20">
      <c r="C2111" s="232"/>
      <c r="E2111" s="232"/>
      <c r="G2111" s="232"/>
      <c r="I2111" s="232"/>
      <c r="K2111" s="232"/>
      <c r="M2111" s="232"/>
      <c r="P2111" s="232"/>
      <c r="R2111" s="232"/>
      <c r="T2111" s="232"/>
    </row>
    <row r="2112" spans="3:20">
      <c r="C2112" s="232"/>
      <c r="E2112" s="232"/>
      <c r="G2112" s="232"/>
      <c r="I2112" s="232"/>
      <c r="K2112" s="232"/>
      <c r="M2112" s="232"/>
      <c r="P2112" s="232"/>
      <c r="R2112" s="232"/>
      <c r="T2112" s="232"/>
    </row>
    <row r="2113" spans="3:20">
      <c r="C2113" s="232"/>
      <c r="E2113" s="232"/>
      <c r="G2113" s="232"/>
      <c r="I2113" s="232"/>
      <c r="K2113" s="232"/>
      <c r="M2113" s="232"/>
      <c r="P2113" s="232"/>
      <c r="R2113" s="232"/>
      <c r="T2113" s="232"/>
    </row>
    <row r="2114" spans="3:20">
      <c r="C2114" s="232"/>
      <c r="E2114" s="232"/>
      <c r="G2114" s="232"/>
      <c r="I2114" s="232"/>
      <c r="K2114" s="232"/>
      <c r="M2114" s="232"/>
      <c r="P2114" s="232"/>
      <c r="R2114" s="232"/>
      <c r="T2114" s="232"/>
    </row>
    <row r="2115" spans="3:20">
      <c r="C2115" s="232"/>
      <c r="E2115" s="232"/>
      <c r="G2115" s="232"/>
      <c r="I2115" s="232"/>
      <c r="K2115" s="232"/>
      <c r="M2115" s="232"/>
      <c r="P2115" s="232"/>
      <c r="R2115" s="232"/>
      <c r="T2115" s="232"/>
    </row>
    <row r="2116" spans="3:20">
      <c r="C2116" s="232"/>
      <c r="E2116" s="232"/>
      <c r="G2116" s="232"/>
      <c r="I2116" s="232"/>
      <c r="K2116" s="232"/>
      <c r="M2116" s="232"/>
      <c r="P2116" s="232"/>
      <c r="R2116" s="232"/>
      <c r="T2116" s="232"/>
    </row>
    <row r="2117" spans="3:20">
      <c r="C2117" s="232"/>
      <c r="E2117" s="232"/>
      <c r="G2117" s="232"/>
      <c r="I2117" s="232"/>
      <c r="K2117" s="232"/>
      <c r="M2117" s="232"/>
      <c r="P2117" s="232"/>
      <c r="R2117" s="232"/>
      <c r="T2117" s="232"/>
    </row>
    <row r="2118" spans="3:20">
      <c r="C2118" s="232"/>
      <c r="E2118" s="232"/>
      <c r="G2118" s="232"/>
      <c r="I2118" s="232"/>
      <c r="K2118" s="232"/>
      <c r="M2118" s="232"/>
      <c r="P2118" s="232"/>
      <c r="R2118" s="232"/>
      <c r="T2118" s="232"/>
    </row>
    <row r="2119" spans="3:20">
      <c r="C2119" s="232"/>
      <c r="E2119" s="232"/>
      <c r="G2119" s="232"/>
      <c r="I2119" s="232"/>
      <c r="K2119" s="232"/>
      <c r="M2119" s="232"/>
      <c r="P2119" s="232"/>
      <c r="R2119" s="232"/>
      <c r="T2119" s="232"/>
    </row>
    <row r="2120" spans="3:20">
      <c r="C2120" s="232"/>
      <c r="E2120" s="232"/>
      <c r="G2120" s="232"/>
      <c r="I2120" s="232"/>
      <c r="K2120" s="232"/>
      <c r="M2120" s="232"/>
      <c r="P2120" s="232"/>
      <c r="R2120" s="232"/>
      <c r="T2120" s="232"/>
    </row>
    <row r="2121" spans="3:20">
      <c r="C2121" s="232"/>
      <c r="E2121" s="232"/>
      <c r="G2121" s="232"/>
      <c r="I2121" s="232"/>
      <c r="K2121" s="232"/>
      <c r="M2121" s="232"/>
      <c r="P2121" s="232"/>
      <c r="R2121" s="232"/>
      <c r="T2121" s="232"/>
    </row>
    <row r="2122" spans="3:20">
      <c r="C2122" s="232"/>
      <c r="E2122" s="232"/>
      <c r="G2122" s="232"/>
      <c r="I2122" s="232"/>
      <c r="K2122" s="232"/>
      <c r="M2122" s="232"/>
      <c r="P2122" s="232"/>
      <c r="R2122" s="232"/>
      <c r="T2122" s="232"/>
    </row>
    <row r="2123" spans="3:20">
      <c r="C2123" s="232"/>
      <c r="E2123" s="232"/>
      <c r="G2123" s="232"/>
      <c r="I2123" s="232"/>
      <c r="K2123" s="232"/>
      <c r="M2123" s="232"/>
      <c r="P2123" s="232"/>
      <c r="R2123" s="232"/>
      <c r="T2123" s="232"/>
    </row>
    <row r="2124" spans="3:20">
      <c r="C2124" s="232"/>
      <c r="E2124" s="232"/>
      <c r="G2124" s="232"/>
      <c r="I2124" s="232"/>
      <c r="K2124" s="232"/>
      <c r="M2124" s="232"/>
      <c r="P2124" s="232"/>
      <c r="R2124" s="232"/>
      <c r="T2124" s="232"/>
    </row>
    <row r="2125" spans="3:20">
      <c r="C2125" s="232"/>
      <c r="E2125" s="232"/>
      <c r="G2125" s="232"/>
      <c r="I2125" s="232"/>
      <c r="K2125" s="232"/>
      <c r="M2125" s="232"/>
      <c r="P2125" s="232"/>
      <c r="R2125" s="232"/>
      <c r="T2125" s="232"/>
    </row>
    <row r="2126" spans="3:20">
      <c r="C2126" s="232"/>
      <c r="E2126" s="232"/>
      <c r="G2126" s="232"/>
      <c r="I2126" s="232"/>
      <c r="K2126" s="232"/>
      <c r="M2126" s="232"/>
      <c r="P2126" s="232"/>
      <c r="R2126" s="232"/>
      <c r="T2126" s="232"/>
    </row>
    <row r="2127" spans="3:20">
      <c r="C2127" s="232"/>
      <c r="E2127" s="232"/>
      <c r="G2127" s="232"/>
      <c r="I2127" s="232"/>
      <c r="K2127" s="232"/>
      <c r="M2127" s="232"/>
      <c r="P2127" s="232"/>
      <c r="R2127" s="232"/>
      <c r="T2127" s="232"/>
    </row>
    <row r="2128" spans="3:20">
      <c r="C2128" s="232"/>
      <c r="E2128" s="232"/>
      <c r="G2128" s="232"/>
      <c r="I2128" s="232"/>
      <c r="K2128" s="232"/>
      <c r="M2128" s="232"/>
      <c r="P2128" s="232"/>
      <c r="R2128" s="232"/>
      <c r="T2128" s="232"/>
    </row>
    <row r="2129" spans="3:20">
      <c r="C2129" s="232"/>
      <c r="E2129" s="232"/>
      <c r="G2129" s="232"/>
      <c r="I2129" s="232"/>
      <c r="K2129" s="232"/>
      <c r="M2129" s="232"/>
      <c r="P2129" s="232"/>
      <c r="R2129" s="232"/>
      <c r="T2129" s="232"/>
    </row>
    <row r="2130" spans="3:20">
      <c r="C2130" s="232"/>
      <c r="E2130" s="232"/>
      <c r="G2130" s="232"/>
      <c r="I2130" s="232"/>
      <c r="K2130" s="232"/>
      <c r="M2130" s="232"/>
      <c r="P2130" s="232"/>
      <c r="R2130" s="232"/>
      <c r="T2130" s="232"/>
    </row>
    <row r="2131" spans="3:20">
      <c r="C2131" s="232"/>
      <c r="E2131" s="232"/>
      <c r="G2131" s="232"/>
      <c r="I2131" s="232"/>
      <c r="K2131" s="232"/>
      <c r="M2131" s="232"/>
      <c r="P2131" s="232"/>
      <c r="R2131" s="232"/>
      <c r="T2131" s="232"/>
    </row>
    <row r="2132" spans="3:20">
      <c r="C2132" s="232"/>
      <c r="E2132" s="232"/>
      <c r="G2132" s="232"/>
      <c r="I2132" s="232"/>
      <c r="K2132" s="232"/>
      <c r="M2132" s="232"/>
      <c r="P2132" s="232"/>
      <c r="R2132" s="232"/>
      <c r="T2132" s="232"/>
    </row>
    <row r="2133" spans="3:20">
      <c r="C2133" s="232"/>
      <c r="E2133" s="232"/>
      <c r="G2133" s="232"/>
      <c r="I2133" s="232"/>
      <c r="K2133" s="232"/>
      <c r="M2133" s="232"/>
      <c r="P2133" s="232"/>
      <c r="R2133" s="232"/>
      <c r="T2133" s="232"/>
    </row>
    <row r="2134" spans="3:20">
      <c r="C2134" s="232"/>
      <c r="E2134" s="232"/>
      <c r="G2134" s="232"/>
      <c r="I2134" s="232"/>
      <c r="K2134" s="232"/>
      <c r="M2134" s="232"/>
      <c r="P2134" s="232"/>
      <c r="R2134" s="232"/>
      <c r="T2134" s="232"/>
    </row>
    <row r="2135" spans="3:20">
      <c r="C2135" s="232"/>
      <c r="E2135" s="232"/>
      <c r="G2135" s="232"/>
      <c r="I2135" s="232"/>
      <c r="K2135" s="232"/>
      <c r="M2135" s="232"/>
      <c r="P2135" s="232"/>
      <c r="R2135" s="232"/>
      <c r="T2135" s="232"/>
    </row>
    <row r="2136" spans="3:20">
      <c r="C2136" s="232"/>
      <c r="E2136" s="232"/>
      <c r="G2136" s="232"/>
      <c r="I2136" s="232"/>
      <c r="K2136" s="232"/>
      <c r="M2136" s="232"/>
      <c r="P2136" s="232"/>
      <c r="R2136" s="232"/>
      <c r="T2136" s="232"/>
    </row>
    <row r="2137" spans="3:20">
      <c r="C2137" s="232"/>
      <c r="E2137" s="232"/>
      <c r="G2137" s="232"/>
      <c r="I2137" s="232"/>
      <c r="K2137" s="232"/>
      <c r="M2137" s="232"/>
      <c r="P2137" s="232"/>
      <c r="R2137" s="232"/>
      <c r="T2137" s="232"/>
    </row>
    <row r="2138" spans="3:20">
      <c r="C2138" s="232"/>
      <c r="E2138" s="232"/>
      <c r="G2138" s="232"/>
      <c r="I2138" s="232"/>
      <c r="K2138" s="232"/>
      <c r="M2138" s="232"/>
      <c r="P2138" s="232"/>
      <c r="R2138" s="232"/>
      <c r="T2138" s="232"/>
    </row>
    <row r="2139" spans="3:20">
      <c r="C2139" s="232"/>
      <c r="E2139" s="232"/>
      <c r="G2139" s="232"/>
      <c r="I2139" s="232"/>
      <c r="K2139" s="232"/>
      <c r="M2139" s="232"/>
      <c r="P2139" s="232"/>
      <c r="R2139" s="232"/>
      <c r="T2139" s="232"/>
    </row>
    <row r="2140" spans="3:20">
      <c r="C2140" s="232"/>
      <c r="E2140" s="232"/>
      <c r="G2140" s="232"/>
      <c r="I2140" s="232"/>
      <c r="K2140" s="232"/>
      <c r="M2140" s="232"/>
      <c r="P2140" s="232"/>
      <c r="R2140" s="232"/>
      <c r="T2140" s="232"/>
    </row>
    <row r="2141" spans="3:20">
      <c r="C2141" s="232"/>
      <c r="E2141" s="232"/>
      <c r="G2141" s="232"/>
      <c r="I2141" s="232"/>
      <c r="K2141" s="232"/>
      <c r="M2141" s="232"/>
      <c r="P2141" s="232"/>
      <c r="R2141" s="232"/>
      <c r="T2141" s="232"/>
    </row>
    <row r="2142" spans="3:20">
      <c r="C2142" s="232"/>
      <c r="E2142" s="232"/>
      <c r="G2142" s="232"/>
      <c r="I2142" s="232"/>
      <c r="K2142" s="232"/>
      <c r="M2142" s="232"/>
      <c r="P2142" s="232"/>
      <c r="R2142" s="232"/>
      <c r="T2142" s="232"/>
    </row>
    <row r="2143" spans="3:20">
      <c r="C2143" s="232"/>
      <c r="E2143" s="232"/>
      <c r="G2143" s="232"/>
      <c r="I2143" s="232"/>
      <c r="K2143" s="232"/>
      <c r="M2143" s="232"/>
      <c r="P2143" s="232"/>
      <c r="R2143" s="232"/>
      <c r="T2143" s="232"/>
    </row>
    <row r="2144" spans="3:20">
      <c r="C2144" s="232"/>
      <c r="E2144" s="232"/>
      <c r="G2144" s="232"/>
      <c r="I2144" s="232"/>
      <c r="K2144" s="232"/>
      <c r="M2144" s="232"/>
      <c r="P2144" s="232"/>
      <c r="R2144" s="232"/>
      <c r="T2144" s="232"/>
    </row>
    <row r="2145" spans="3:20">
      <c r="C2145" s="232"/>
      <c r="E2145" s="232"/>
      <c r="G2145" s="232"/>
      <c r="I2145" s="232"/>
      <c r="K2145" s="232"/>
      <c r="M2145" s="232"/>
      <c r="P2145" s="232"/>
      <c r="R2145" s="232"/>
      <c r="T2145" s="232"/>
    </row>
    <row r="2146" spans="3:20">
      <c r="C2146" s="232"/>
      <c r="E2146" s="232"/>
      <c r="G2146" s="232"/>
      <c r="I2146" s="232"/>
      <c r="K2146" s="232"/>
      <c r="M2146" s="232"/>
      <c r="P2146" s="232"/>
      <c r="R2146" s="232"/>
      <c r="T2146" s="232"/>
    </row>
    <row r="2147" spans="3:20">
      <c r="C2147" s="232"/>
      <c r="E2147" s="232"/>
      <c r="G2147" s="232"/>
      <c r="I2147" s="232"/>
      <c r="K2147" s="232"/>
      <c r="M2147" s="232"/>
      <c r="P2147" s="232"/>
      <c r="R2147" s="232"/>
      <c r="T2147" s="232"/>
    </row>
    <row r="2148" spans="3:20">
      <c r="C2148" s="232"/>
      <c r="E2148" s="232"/>
      <c r="G2148" s="232"/>
      <c r="I2148" s="232"/>
      <c r="K2148" s="232"/>
      <c r="M2148" s="232"/>
      <c r="P2148" s="232"/>
      <c r="R2148" s="232"/>
      <c r="T2148" s="232"/>
    </row>
    <row r="2149" spans="3:20">
      <c r="C2149" s="232"/>
      <c r="E2149" s="232"/>
      <c r="G2149" s="232"/>
      <c r="I2149" s="232"/>
      <c r="K2149" s="232"/>
      <c r="M2149" s="232"/>
      <c r="P2149" s="232"/>
      <c r="R2149" s="232"/>
      <c r="T2149" s="232"/>
    </row>
    <row r="2150" spans="3:20">
      <c r="C2150" s="232"/>
      <c r="E2150" s="232"/>
      <c r="G2150" s="232"/>
      <c r="I2150" s="232"/>
      <c r="K2150" s="232"/>
      <c r="M2150" s="232"/>
      <c r="P2150" s="232"/>
      <c r="R2150" s="232"/>
      <c r="T2150" s="232"/>
    </row>
    <row r="2151" spans="3:20">
      <c r="C2151" s="232"/>
      <c r="E2151" s="232"/>
      <c r="G2151" s="232"/>
      <c r="I2151" s="232"/>
      <c r="K2151" s="232"/>
      <c r="M2151" s="232"/>
      <c r="P2151" s="232"/>
      <c r="R2151" s="232"/>
      <c r="T2151" s="232"/>
    </row>
    <row r="2152" spans="3:20">
      <c r="C2152" s="232"/>
      <c r="E2152" s="232"/>
      <c r="G2152" s="232"/>
      <c r="I2152" s="232"/>
      <c r="K2152" s="232"/>
      <c r="M2152" s="232"/>
      <c r="P2152" s="232"/>
      <c r="R2152" s="232"/>
      <c r="T2152" s="232"/>
    </row>
    <row r="2153" spans="3:20">
      <c r="C2153" s="232"/>
      <c r="E2153" s="232"/>
      <c r="G2153" s="232"/>
      <c r="I2153" s="232"/>
      <c r="K2153" s="232"/>
      <c r="M2153" s="232"/>
      <c r="P2153" s="232"/>
      <c r="R2153" s="232"/>
      <c r="T2153" s="232"/>
    </row>
    <row r="2154" spans="3:20">
      <c r="C2154" s="232"/>
      <c r="E2154" s="232"/>
      <c r="G2154" s="232"/>
      <c r="I2154" s="232"/>
      <c r="K2154" s="232"/>
      <c r="M2154" s="232"/>
      <c r="P2154" s="232"/>
      <c r="R2154" s="232"/>
      <c r="T2154" s="232"/>
    </row>
    <row r="2155" spans="3:20">
      <c r="C2155" s="232"/>
      <c r="E2155" s="232"/>
      <c r="G2155" s="232"/>
      <c r="I2155" s="232"/>
      <c r="K2155" s="232"/>
      <c r="M2155" s="232"/>
      <c r="P2155" s="232"/>
      <c r="R2155" s="232"/>
      <c r="T2155" s="232"/>
    </row>
    <row r="2156" spans="3:20">
      <c r="C2156" s="232"/>
      <c r="E2156" s="232"/>
      <c r="G2156" s="232"/>
      <c r="I2156" s="232"/>
      <c r="K2156" s="232"/>
      <c r="M2156" s="232"/>
      <c r="P2156" s="232"/>
      <c r="R2156" s="232"/>
      <c r="T2156" s="232"/>
    </row>
    <row r="2157" spans="3:20">
      <c r="C2157" s="232"/>
      <c r="E2157" s="232"/>
      <c r="G2157" s="232"/>
      <c r="I2157" s="232"/>
      <c r="K2157" s="232"/>
      <c r="M2157" s="232"/>
      <c r="P2157" s="232"/>
      <c r="R2157" s="232"/>
      <c r="T2157" s="232"/>
    </row>
    <row r="2158" spans="3:20">
      <c r="C2158" s="232"/>
      <c r="E2158" s="232"/>
      <c r="G2158" s="232"/>
      <c r="I2158" s="232"/>
      <c r="K2158" s="232"/>
      <c r="M2158" s="232"/>
      <c r="P2158" s="232"/>
      <c r="R2158" s="232"/>
      <c r="T2158" s="232"/>
    </row>
    <row r="2159" spans="3:20">
      <c r="C2159" s="232"/>
      <c r="E2159" s="232"/>
      <c r="G2159" s="232"/>
      <c r="I2159" s="232"/>
      <c r="K2159" s="232"/>
      <c r="M2159" s="232"/>
      <c r="P2159" s="232"/>
      <c r="R2159" s="232"/>
      <c r="T2159" s="232"/>
    </row>
    <row r="2160" spans="3:20">
      <c r="C2160" s="232"/>
      <c r="E2160" s="232"/>
      <c r="G2160" s="232"/>
      <c r="I2160" s="232"/>
      <c r="K2160" s="232"/>
      <c r="M2160" s="232"/>
      <c r="P2160" s="232"/>
      <c r="R2160" s="232"/>
      <c r="T2160" s="232"/>
    </row>
    <row r="2161" spans="3:20">
      <c r="C2161" s="232"/>
      <c r="E2161" s="232"/>
      <c r="G2161" s="232"/>
      <c r="I2161" s="232"/>
      <c r="K2161" s="232"/>
      <c r="M2161" s="232"/>
      <c r="P2161" s="232"/>
      <c r="R2161" s="232"/>
      <c r="T2161" s="232"/>
    </row>
    <row r="2162" spans="3:20">
      <c r="C2162" s="232"/>
      <c r="E2162" s="232"/>
      <c r="G2162" s="232"/>
      <c r="I2162" s="232"/>
      <c r="K2162" s="232"/>
      <c r="M2162" s="232"/>
      <c r="P2162" s="232"/>
      <c r="R2162" s="232"/>
      <c r="T2162" s="232"/>
    </row>
    <row r="2163" spans="3:20">
      <c r="C2163" s="232"/>
      <c r="E2163" s="232"/>
      <c r="G2163" s="232"/>
      <c r="I2163" s="232"/>
      <c r="K2163" s="232"/>
      <c r="M2163" s="232"/>
      <c r="P2163" s="232"/>
      <c r="R2163" s="232"/>
      <c r="T2163" s="232"/>
    </row>
    <row r="2164" spans="3:20">
      <c r="C2164" s="232"/>
      <c r="E2164" s="232"/>
      <c r="G2164" s="232"/>
      <c r="I2164" s="232"/>
      <c r="K2164" s="232"/>
      <c r="M2164" s="232"/>
      <c r="P2164" s="232"/>
      <c r="R2164" s="232"/>
      <c r="T2164" s="232"/>
    </row>
    <row r="2165" spans="3:20">
      <c r="C2165" s="232"/>
      <c r="E2165" s="232"/>
      <c r="G2165" s="232"/>
      <c r="I2165" s="232"/>
      <c r="K2165" s="232"/>
      <c r="M2165" s="232"/>
      <c r="P2165" s="232"/>
      <c r="R2165" s="232"/>
      <c r="T2165" s="232"/>
    </row>
    <row r="2166" spans="3:20">
      <c r="C2166" s="232"/>
      <c r="E2166" s="232"/>
      <c r="G2166" s="232"/>
      <c r="I2166" s="232"/>
      <c r="K2166" s="232"/>
      <c r="M2166" s="232"/>
      <c r="P2166" s="232"/>
      <c r="R2166" s="232"/>
      <c r="T2166" s="232"/>
    </row>
    <row r="2167" spans="3:20">
      <c r="C2167" s="232"/>
      <c r="E2167" s="232"/>
      <c r="G2167" s="232"/>
      <c r="I2167" s="232"/>
      <c r="K2167" s="232"/>
      <c r="M2167" s="232"/>
      <c r="P2167" s="232"/>
      <c r="R2167" s="232"/>
      <c r="T2167" s="232"/>
    </row>
    <row r="2168" spans="3:20">
      <c r="C2168" s="232"/>
      <c r="E2168" s="232"/>
      <c r="G2168" s="232"/>
      <c r="I2168" s="232"/>
      <c r="K2168" s="232"/>
      <c r="M2168" s="232"/>
      <c r="P2168" s="232"/>
      <c r="R2168" s="232"/>
      <c r="T2168" s="232"/>
    </row>
    <row r="2169" spans="3:20">
      <c r="C2169" s="232"/>
      <c r="E2169" s="232"/>
      <c r="G2169" s="232"/>
      <c r="I2169" s="232"/>
      <c r="K2169" s="232"/>
      <c r="M2169" s="232"/>
      <c r="P2169" s="232"/>
      <c r="R2169" s="232"/>
      <c r="T2169" s="232"/>
    </row>
    <row r="2170" spans="3:20">
      <c r="C2170" s="232"/>
      <c r="E2170" s="232"/>
      <c r="G2170" s="232"/>
      <c r="I2170" s="232"/>
      <c r="K2170" s="232"/>
      <c r="M2170" s="232"/>
      <c r="P2170" s="232"/>
      <c r="R2170" s="232"/>
      <c r="T2170" s="232"/>
    </row>
    <row r="2171" spans="3:20">
      <c r="C2171" s="232"/>
      <c r="E2171" s="232"/>
      <c r="G2171" s="232"/>
      <c r="I2171" s="232"/>
      <c r="K2171" s="232"/>
      <c r="M2171" s="232"/>
      <c r="P2171" s="232"/>
      <c r="R2171" s="232"/>
      <c r="T2171" s="232"/>
    </row>
    <row r="2172" spans="3:20">
      <c r="C2172" s="232"/>
      <c r="E2172" s="232"/>
      <c r="G2172" s="232"/>
      <c r="I2172" s="232"/>
      <c r="K2172" s="232"/>
      <c r="M2172" s="232"/>
      <c r="P2172" s="232"/>
      <c r="R2172" s="232"/>
      <c r="T2172" s="232"/>
    </row>
    <row r="2173" spans="3:20">
      <c r="C2173" s="232"/>
      <c r="E2173" s="232"/>
      <c r="G2173" s="232"/>
      <c r="I2173" s="232"/>
      <c r="K2173" s="232"/>
      <c r="M2173" s="232"/>
      <c r="P2173" s="232"/>
      <c r="R2173" s="232"/>
      <c r="T2173" s="232"/>
    </row>
    <row r="2174" spans="3:20">
      <c r="C2174" s="232"/>
      <c r="E2174" s="232"/>
      <c r="G2174" s="232"/>
      <c r="I2174" s="232"/>
      <c r="K2174" s="232"/>
      <c r="M2174" s="232"/>
      <c r="P2174" s="232"/>
      <c r="R2174" s="232"/>
      <c r="T2174" s="232"/>
    </row>
    <row r="2175" spans="3:20">
      <c r="C2175" s="232"/>
      <c r="E2175" s="232"/>
      <c r="G2175" s="232"/>
      <c r="I2175" s="232"/>
      <c r="K2175" s="232"/>
      <c r="M2175" s="232"/>
      <c r="P2175" s="232"/>
      <c r="R2175" s="232"/>
      <c r="T2175" s="232"/>
    </row>
    <row r="2176" spans="3:20">
      <c r="C2176" s="232"/>
      <c r="E2176" s="232"/>
      <c r="G2176" s="232"/>
      <c r="I2176" s="232"/>
      <c r="K2176" s="232"/>
      <c r="M2176" s="232"/>
      <c r="P2176" s="232"/>
      <c r="R2176" s="232"/>
      <c r="T2176" s="232"/>
    </row>
    <row r="2177" spans="3:20">
      <c r="C2177" s="232"/>
      <c r="E2177" s="232"/>
      <c r="G2177" s="232"/>
      <c r="I2177" s="232"/>
      <c r="K2177" s="232"/>
      <c r="M2177" s="232"/>
      <c r="P2177" s="232"/>
      <c r="R2177" s="232"/>
      <c r="T2177" s="232"/>
    </row>
    <row r="2178" spans="3:20">
      <c r="C2178" s="232"/>
      <c r="E2178" s="232"/>
      <c r="G2178" s="232"/>
      <c r="I2178" s="232"/>
      <c r="K2178" s="232"/>
      <c r="M2178" s="232"/>
      <c r="P2178" s="232"/>
      <c r="R2178" s="232"/>
      <c r="T2178" s="232"/>
    </row>
    <row r="2179" spans="3:20">
      <c r="C2179" s="232"/>
      <c r="E2179" s="232"/>
      <c r="G2179" s="232"/>
      <c r="I2179" s="232"/>
      <c r="K2179" s="232"/>
      <c r="M2179" s="232"/>
      <c r="P2179" s="232"/>
      <c r="R2179" s="232"/>
      <c r="T2179" s="232"/>
    </row>
    <row r="2180" spans="3:20">
      <c r="C2180" s="232"/>
      <c r="E2180" s="232"/>
      <c r="G2180" s="232"/>
      <c r="I2180" s="232"/>
      <c r="K2180" s="232"/>
      <c r="M2180" s="232"/>
      <c r="P2180" s="232"/>
      <c r="R2180" s="232"/>
      <c r="T2180" s="232"/>
    </row>
    <row r="2181" spans="3:20">
      <c r="C2181" s="232"/>
      <c r="E2181" s="232"/>
      <c r="G2181" s="232"/>
      <c r="I2181" s="232"/>
      <c r="K2181" s="232"/>
      <c r="M2181" s="232"/>
      <c r="P2181" s="232"/>
      <c r="R2181" s="232"/>
      <c r="T2181" s="232"/>
    </row>
    <row r="2182" spans="3:20">
      <c r="C2182" s="232"/>
      <c r="E2182" s="232"/>
      <c r="G2182" s="232"/>
      <c r="I2182" s="232"/>
      <c r="K2182" s="232"/>
      <c r="M2182" s="232"/>
      <c r="P2182" s="232"/>
      <c r="R2182" s="232"/>
      <c r="T2182" s="232"/>
    </row>
    <row r="2183" spans="3:20">
      <c r="C2183" s="232"/>
      <c r="E2183" s="232"/>
      <c r="G2183" s="232"/>
      <c r="I2183" s="232"/>
      <c r="K2183" s="232"/>
      <c r="M2183" s="232"/>
      <c r="P2183" s="232"/>
      <c r="R2183" s="232"/>
      <c r="T2183" s="232"/>
    </row>
    <row r="2184" spans="3:20">
      <c r="C2184" s="232"/>
      <c r="E2184" s="232"/>
      <c r="G2184" s="232"/>
      <c r="I2184" s="232"/>
      <c r="K2184" s="232"/>
      <c r="M2184" s="232"/>
      <c r="P2184" s="232"/>
      <c r="R2184" s="232"/>
      <c r="T2184" s="232"/>
    </row>
    <row r="2185" spans="3:20">
      <c r="C2185" s="232"/>
      <c r="E2185" s="232"/>
      <c r="G2185" s="232"/>
      <c r="I2185" s="232"/>
      <c r="K2185" s="232"/>
      <c r="M2185" s="232"/>
      <c r="P2185" s="232"/>
      <c r="R2185" s="232"/>
      <c r="T2185" s="232"/>
    </row>
    <row r="2186" spans="3:20">
      <c r="C2186" s="232"/>
      <c r="E2186" s="232"/>
      <c r="G2186" s="232"/>
      <c r="I2186" s="232"/>
      <c r="K2186" s="232"/>
      <c r="M2186" s="232"/>
      <c r="P2186" s="232"/>
      <c r="R2186" s="232"/>
      <c r="T2186" s="232"/>
    </row>
    <row r="2187" spans="3:20">
      <c r="C2187" s="232"/>
      <c r="E2187" s="232"/>
      <c r="G2187" s="232"/>
      <c r="I2187" s="232"/>
      <c r="K2187" s="232"/>
      <c r="M2187" s="232"/>
      <c r="P2187" s="232"/>
      <c r="R2187" s="232"/>
      <c r="T2187" s="232"/>
    </row>
    <row r="2188" spans="3:20">
      <c r="C2188" s="232"/>
      <c r="E2188" s="232"/>
      <c r="G2188" s="232"/>
      <c r="I2188" s="232"/>
      <c r="K2188" s="232"/>
      <c r="M2188" s="232"/>
      <c r="P2188" s="232"/>
      <c r="R2188" s="232"/>
      <c r="T2188" s="232"/>
    </row>
    <row r="2189" spans="3:20">
      <c r="C2189" s="232"/>
      <c r="E2189" s="232"/>
      <c r="G2189" s="232"/>
      <c r="I2189" s="232"/>
      <c r="K2189" s="232"/>
      <c r="M2189" s="232"/>
      <c r="P2189" s="232"/>
      <c r="R2189" s="232"/>
      <c r="T2189" s="232"/>
    </row>
    <row r="2190" spans="3:20">
      <c r="C2190" s="232"/>
      <c r="E2190" s="232"/>
      <c r="G2190" s="232"/>
      <c r="I2190" s="232"/>
      <c r="K2190" s="232"/>
      <c r="M2190" s="232"/>
      <c r="P2190" s="232"/>
      <c r="R2190" s="232"/>
      <c r="T2190" s="232"/>
    </row>
    <row r="2191" spans="3:20">
      <c r="C2191" s="232"/>
      <c r="E2191" s="232"/>
      <c r="G2191" s="232"/>
      <c r="I2191" s="232"/>
      <c r="K2191" s="232"/>
      <c r="M2191" s="232"/>
      <c r="P2191" s="232"/>
      <c r="R2191" s="232"/>
      <c r="T2191" s="232"/>
    </row>
    <row r="2192" spans="3:20">
      <c r="C2192" s="232"/>
      <c r="E2192" s="232"/>
      <c r="G2192" s="232"/>
      <c r="I2192" s="232"/>
      <c r="K2192" s="232"/>
      <c r="M2192" s="232"/>
      <c r="P2192" s="232"/>
      <c r="R2192" s="232"/>
      <c r="T2192" s="232"/>
    </row>
    <row r="2193" spans="3:20">
      <c r="C2193" s="232"/>
      <c r="E2193" s="232"/>
      <c r="G2193" s="232"/>
      <c r="I2193" s="232"/>
      <c r="K2193" s="232"/>
      <c r="M2193" s="232"/>
      <c r="P2193" s="232"/>
      <c r="R2193" s="232"/>
      <c r="T2193" s="232"/>
    </row>
    <row r="2194" spans="3:20">
      <c r="C2194" s="232"/>
      <c r="E2194" s="232"/>
      <c r="G2194" s="232"/>
      <c r="I2194" s="232"/>
      <c r="K2194" s="232"/>
      <c r="M2194" s="232"/>
      <c r="P2194" s="232"/>
      <c r="R2194" s="232"/>
      <c r="T2194" s="232"/>
    </row>
    <row r="2195" spans="3:20">
      <c r="C2195" s="232"/>
      <c r="E2195" s="232"/>
      <c r="G2195" s="232"/>
      <c r="I2195" s="232"/>
      <c r="K2195" s="232"/>
      <c r="M2195" s="232"/>
      <c r="P2195" s="232"/>
      <c r="R2195" s="232"/>
      <c r="T2195" s="232"/>
    </row>
    <row r="2196" spans="3:20">
      <c r="C2196" s="232"/>
      <c r="E2196" s="232"/>
      <c r="G2196" s="232"/>
      <c r="I2196" s="232"/>
      <c r="K2196" s="232"/>
      <c r="M2196" s="232"/>
      <c r="P2196" s="232"/>
      <c r="R2196" s="232"/>
      <c r="T2196" s="232"/>
    </row>
    <row r="2197" spans="3:20">
      <c r="C2197" s="232"/>
      <c r="E2197" s="232"/>
      <c r="G2197" s="232"/>
      <c r="I2197" s="232"/>
      <c r="K2197" s="232"/>
      <c r="M2197" s="232"/>
      <c r="P2197" s="232"/>
      <c r="R2197" s="232"/>
      <c r="T2197" s="232"/>
    </row>
    <row r="2198" spans="3:20">
      <c r="C2198" s="232"/>
      <c r="E2198" s="232"/>
      <c r="G2198" s="232"/>
      <c r="I2198" s="232"/>
      <c r="K2198" s="232"/>
      <c r="M2198" s="232"/>
      <c r="P2198" s="232"/>
      <c r="R2198" s="232"/>
      <c r="T2198" s="232"/>
    </row>
    <row r="2199" spans="3:20">
      <c r="C2199" s="232"/>
      <c r="E2199" s="232"/>
      <c r="G2199" s="232"/>
      <c r="I2199" s="232"/>
      <c r="K2199" s="232"/>
      <c r="M2199" s="232"/>
      <c r="P2199" s="232"/>
      <c r="R2199" s="232"/>
      <c r="T2199" s="232"/>
    </row>
    <row r="2200" spans="3:20">
      <c r="C2200" s="232"/>
      <c r="E2200" s="232"/>
      <c r="G2200" s="232"/>
      <c r="I2200" s="232"/>
      <c r="K2200" s="232"/>
      <c r="M2200" s="232"/>
      <c r="P2200" s="232"/>
      <c r="R2200" s="232"/>
      <c r="T2200" s="232"/>
    </row>
    <row r="2201" spans="3:20">
      <c r="C2201" s="232"/>
      <c r="E2201" s="232"/>
      <c r="G2201" s="232"/>
      <c r="I2201" s="232"/>
      <c r="K2201" s="232"/>
      <c r="M2201" s="232"/>
      <c r="P2201" s="232"/>
      <c r="R2201" s="232"/>
      <c r="T2201" s="232"/>
    </row>
    <row r="2202" spans="3:20">
      <c r="C2202" s="232"/>
      <c r="E2202" s="232"/>
      <c r="G2202" s="232"/>
      <c r="I2202" s="232"/>
      <c r="K2202" s="232"/>
      <c r="M2202" s="232"/>
      <c r="P2202" s="232"/>
      <c r="R2202" s="232"/>
      <c r="T2202" s="232"/>
    </row>
    <row r="2203" spans="3:20">
      <c r="C2203" s="232"/>
      <c r="E2203" s="232"/>
      <c r="G2203" s="232"/>
      <c r="I2203" s="232"/>
      <c r="K2203" s="232"/>
      <c r="M2203" s="232"/>
      <c r="P2203" s="232"/>
      <c r="R2203" s="232"/>
      <c r="T2203" s="232"/>
    </row>
    <row r="2204" spans="3:20">
      <c r="C2204" s="232"/>
      <c r="E2204" s="232"/>
      <c r="G2204" s="232"/>
      <c r="I2204" s="232"/>
      <c r="K2204" s="232"/>
      <c r="M2204" s="232"/>
      <c r="P2204" s="232"/>
      <c r="R2204" s="232"/>
      <c r="T2204" s="232"/>
    </row>
    <row r="2205" spans="3:20">
      <c r="C2205" s="232"/>
      <c r="E2205" s="232"/>
      <c r="G2205" s="232"/>
      <c r="I2205" s="232"/>
      <c r="K2205" s="232"/>
      <c r="M2205" s="232"/>
      <c r="P2205" s="232"/>
      <c r="R2205" s="232"/>
      <c r="T2205" s="232"/>
    </row>
    <row r="2206" spans="3:20">
      <c r="C2206" s="232"/>
      <c r="E2206" s="232"/>
      <c r="G2206" s="232"/>
      <c r="I2206" s="232"/>
      <c r="K2206" s="232"/>
      <c r="M2206" s="232"/>
      <c r="P2206" s="232"/>
      <c r="R2206" s="232"/>
      <c r="T2206" s="232"/>
    </row>
    <row r="2207" spans="3:20">
      <c r="C2207" s="232"/>
      <c r="E2207" s="232"/>
      <c r="G2207" s="232"/>
      <c r="I2207" s="232"/>
      <c r="K2207" s="232"/>
      <c r="M2207" s="232"/>
      <c r="P2207" s="232"/>
      <c r="R2207" s="232"/>
      <c r="T2207" s="232"/>
    </row>
    <row r="2208" spans="3:20">
      <c r="C2208" s="232"/>
      <c r="E2208" s="232"/>
      <c r="G2208" s="232"/>
      <c r="I2208" s="232"/>
      <c r="K2208" s="232"/>
      <c r="M2208" s="232"/>
      <c r="P2208" s="232"/>
      <c r="R2208" s="232"/>
      <c r="T2208" s="232"/>
    </row>
    <row r="2209" spans="3:20">
      <c r="C2209" s="232"/>
      <c r="E2209" s="232"/>
      <c r="G2209" s="232"/>
      <c r="I2209" s="232"/>
      <c r="K2209" s="232"/>
      <c r="M2209" s="232"/>
      <c r="P2209" s="232"/>
      <c r="R2209" s="232"/>
      <c r="T2209" s="232"/>
    </row>
    <row r="2210" spans="3:20">
      <c r="C2210" s="232"/>
      <c r="E2210" s="232"/>
      <c r="G2210" s="232"/>
      <c r="I2210" s="232"/>
      <c r="K2210" s="232"/>
      <c r="M2210" s="232"/>
      <c r="P2210" s="232"/>
      <c r="R2210" s="232"/>
      <c r="T2210" s="232"/>
    </row>
    <row r="2211" spans="3:20">
      <c r="C2211" s="232"/>
      <c r="E2211" s="232"/>
      <c r="G2211" s="232"/>
      <c r="I2211" s="232"/>
      <c r="K2211" s="232"/>
      <c r="M2211" s="232"/>
      <c r="P2211" s="232"/>
      <c r="R2211" s="232"/>
      <c r="T2211" s="232"/>
    </row>
    <row r="2212" spans="3:20">
      <c r="C2212" s="232"/>
      <c r="E2212" s="232"/>
      <c r="G2212" s="232"/>
      <c r="I2212" s="232"/>
      <c r="K2212" s="232"/>
      <c r="M2212" s="232"/>
      <c r="P2212" s="232"/>
      <c r="R2212" s="232"/>
      <c r="T2212" s="232"/>
    </row>
    <row r="2213" spans="3:20">
      <c r="C2213" s="232"/>
      <c r="E2213" s="232"/>
      <c r="G2213" s="232"/>
      <c r="I2213" s="232"/>
      <c r="K2213" s="232"/>
      <c r="M2213" s="232"/>
      <c r="P2213" s="232"/>
      <c r="R2213" s="232"/>
      <c r="T2213" s="232"/>
    </row>
    <row r="2214" spans="3:20">
      <c r="C2214" s="232"/>
      <c r="E2214" s="232"/>
      <c r="G2214" s="232"/>
      <c r="I2214" s="232"/>
      <c r="K2214" s="232"/>
      <c r="M2214" s="232"/>
      <c r="P2214" s="232"/>
      <c r="R2214" s="232"/>
      <c r="T2214" s="232"/>
    </row>
    <row r="2215" spans="3:20">
      <c r="C2215" s="232"/>
      <c r="E2215" s="232"/>
      <c r="G2215" s="232"/>
      <c r="I2215" s="232"/>
      <c r="K2215" s="232"/>
      <c r="M2215" s="232"/>
      <c r="P2215" s="232"/>
      <c r="R2215" s="232"/>
      <c r="T2215" s="232"/>
    </row>
    <row r="2216" spans="3:20">
      <c r="C2216" s="232"/>
      <c r="E2216" s="232"/>
      <c r="G2216" s="232"/>
      <c r="I2216" s="232"/>
      <c r="K2216" s="232"/>
      <c r="M2216" s="232"/>
      <c r="P2216" s="232"/>
      <c r="R2216" s="232"/>
      <c r="T2216" s="232"/>
    </row>
    <row r="2217" spans="3:20">
      <c r="C2217" s="232"/>
      <c r="E2217" s="232"/>
      <c r="G2217" s="232"/>
      <c r="I2217" s="232"/>
      <c r="K2217" s="232"/>
      <c r="M2217" s="232"/>
      <c r="P2217" s="232"/>
      <c r="R2217" s="232"/>
      <c r="T2217" s="232"/>
    </row>
    <row r="2218" spans="3:20">
      <c r="C2218" s="232"/>
      <c r="E2218" s="232"/>
      <c r="G2218" s="232"/>
      <c r="I2218" s="232"/>
      <c r="K2218" s="232"/>
      <c r="M2218" s="232"/>
      <c r="P2218" s="232"/>
      <c r="R2218" s="232"/>
      <c r="T2218" s="232"/>
    </row>
    <row r="2219" spans="3:20">
      <c r="C2219" s="232"/>
      <c r="E2219" s="232"/>
      <c r="G2219" s="232"/>
      <c r="I2219" s="232"/>
      <c r="K2219" s="232"/>
      <c r="M2219" s="232"/>
      <c r="P2219" s="232"/>
      <c r="R2219" s="232"/>
      <c r="T2219" s="232"/>
    </row>
    <row r="2220" spans="3:20">
      <c r="C2220" s="232"/>
      <c r="E2220" s="232"/>
      <c r="G2220" s="232"/>
      <c r="I2220" s="232"/>
      <c r="K2220" s="232"/>
      <c r="M2220" s="232"/>
      <c r="P2220" s="232"/>
      <c r="R2220" s="232"/>
      <c r="T2220" s="232"/>
    </row>
    <row r="2221" spans="3:20">
      <c r="C2221" s="232"/>
      <c r="E2221" s="232"/>
      <c r="G2221" s="232"/>
      <c r="I2221" s="232"/>
      <c r="K2221" s="232"/>
      <c r="M2221" s="232"/>
      <c r="P2221" s="232"/>
      <c r="R2221" s="232"/>
      <c r="T2221" s="232"/>
    </row>
    <row r="2222" spans="3:20">
      <c r="C2222" s="232"/>
      <c r="E2222" s="232"/>
      <c r="G2222" s="232"/>
      <c r="I2222" s="232"/>
      <c r="K2222" s="232"/>
      <c r="M2222" s="232"/>
      <c r="P2222" s="232"/>
      <c r="R2222" s="232"/>
      <c r="T2222" s="232"/>
    </row>
    <row r="2223" spans="3:20">
      <c r="C2223" s="232"/>
      <c r="E2223" s="232"/>
      <c r="G2223" s="232"/>
      <c r="I2223" s="232"/>
      <c r="K2223" s="232"/>
      <c r="M2223" s="232"/>
      <c r="P2223" s="232"/>
      <c r="R2223" s="232"/>
      <c r="T2223" s="232"/>
    </row>
    <row r="2224" spans="3:20">
      <c r="C2224" s="232"/>
      <c r="E2224" s="232"/>
      <c r="G2224" s="232"/>
      <c r="I2224" s="232"/>
      <c r="K2224" s="232"/>
      <c r="M2224" s="232"/>
      <c r="P2224" s="232"/>
      <c r="R2224" s="232"/>
      <c r="T2224" s="232"/>
    </row>
    <row r="2225" spans="3:20">
      <c r="C2225" s="232"/>
      <c r="E2225" s="232"/>
      <c r="G2225" s="232"/>
      <c r="I2225" s="232"/>
      <c r="K2225" s="232"/>
      <c r="M2225" s="232"/>
      <c r="P2225" s="232"/>
      <c r="R2225" s="232"/>
      <c r="T2225" s="232"/>
    </row>
    <row r="2226" spans="3:20">
      <c r="C2226" s="232"/>
      <c r="E2226" s="232"/>
      <c r="G2226" s="232"/>
      <c r="I2226" s="232"/>
      <c r="K2226" s="232"/>
      <c r="M2226" s="232"/>
      <c r="P2226" s="232"/>
      <c r="R2226" s="232"/>
      <c r="T2226" s="232"/>
    </row>
    <row r="2227" spans="3:20">
      <c r="C2227" s="232"/>
      <c r="E2227" s="232"/>
      <c r="G2227" s="232"/>
      <c r="I2227" s="232"/>
      <c r="K2227" s="232"/>
      <c r="M2227" s="232"/>
      <c r="P2227" s="232"/>
      <c r="R2227" s="232"/>
      <c r="T2227" s="232"/>
    </row>
    <row r="2228" spans="3:20">
      <c r="C2228" s="232"/>
      <c r="E2228" s="232"/>
      <c r="G2228" s="232"/>
      <c r="I2228" s="232"/>
      <c r="K2228" s="232"/>
      <c r="M2228" s="232"/>
      <c r="P2228" s="232"/>
      <c r="R2228" s="232"/>
      <c r="T2228" s="232"/>
    </row>
    <row r="2229" spans="3:20">
      <c r="C2229" s="232"/>
      <c r="E2229" s="232"/>
      <c r="G2229" s="232"/>
      <c r="I2229" s="232"/>
      <c r="K2229" s="232"/>
      <c r="M2229" s="232"/>
      <c r="P2229" s="232"/>
      <c r="R2229" s="232"/>
      <c r="T2229" s="232"/>
    </row>
    <row r="2230" spans="3:20">
      <c r="C2230" s="232"/>
      <c r="E2230" s="232"/>
      <c r="G2230" s="232"/>
      <c r="I2230" s="232"/>
      <c r="K2230" s="232"/>
      <c r="M2230" s="232"/>
      <c r="P2230" s="232"/>
      <c r="R2230" s="232"/>
      <c r="T2230" s="232"/>
    </row>
    <row r="2231" spans="3:20">
      <c r="C2231" s="232"/>
      <c r="E2231" s="232"/>
      <c r="G2231" s="232"/>
      <c r="I2231" s="232"/>
      <c r="K2231" s="232"/>
      <c r="M2231" s="232"/>
      <c r="P2231" s="232"/>
      <c r="R2231" s="232"/>
      <c r="T2231" s="232"/>
    </row>
    <row r="2232" spans="3:20">
      <c r="C2232" s="232"/>
      <c r="E2232" s="232"/>
      <c r="G2232" s="232"/>
      <c r="I2232" s="232"/>
      <c r="K2232" s="232"/>
      <c r="M2232" s="232"/>
      <c r="P2232" s="232"/>
      <c r="R2232" s="232"/>
      <c r="T2232" s="232"/>
    </row>
    <row r="2233" spans="3:20">
      <c r="C2233" s="232"/>
      <c r="E2233" s="232"/>
      <c r="G2233" s="232"/>
      <c r="I2233" s="232"/>
      <c r="K2233" s="232"/>
      <c r="M2233" s="232"/>
      <c r="P2233" s="232"/>
      <c r="R2233" s="232"/>
      <c r="T2233" s="232"/>
    </row>
    <row r="2234" spans="3:20">
      <c r="C2234" s="232"/>
      <c r="E2234" s="232"/>
      <c r="G2234" s="232"/>
      <c r="I2234" s="232"/>
      <c r="K2234" s="232"/>
      <c r="M2234" s="232"/>
      <c r="P2234" s="232"/>
      <c r="R2234" s="232"/>
      <c r="T2234" s="232"/>
    </row>
    <row r="2235" spans="3:20">
      <c r="C2235" s="232"/>
      <c r="E2235" s="232"/>
      <c r="G2235" s="232"/>
      <c r="I2235" s="232"/>
      <c r="K2235" s="232"/>
      <c r="M2235" s="232"/>
      <c r="P2235" s="232"/>
      <c r="R2235" s="232"/>
      <c r="T2235" s="232"/>
    </row>
    <row r="2236" spans="3:20">
      <c r="C2236" s="232"/>
      <c r="E2236" s="232"/>
      <c r="G2236" s="232"/>
      <c r="I2236" s="232"/>
      <c r="K2236" s="232"/>
      <c r="M2236" s="232"/>
      <c r="P2236" s="232"/>
      <c r="R2236" s="232"/>
      <c r="T2236" s="232"/>
    </row>
    <row r="2237" spans="3:20">
      <c r="C2237" s="232"/>
      <c r="E2237" s="232"/>
      <c r="G2237" s="232"/>
      <c r="I2237" s="232"/>
      <c r="K2237" s="232"/>
      <c r="M2237" s="232"/>
      <c r="P2237" s="232"/>
      <c r="R2237" s="232"/>
      <c r="T2237" s="232"/>
    </row>
    <row r="2238" spans="3:20">
      <c r="C2238" s="232"/>
      <c r="E2238" s="232"/>
      <c r="G2238" s="232"/>
      <c r="I2238" s="232"/>
      <c r="K2238" s="232"/>
      <c r="M2238" s="232"/>
      <c r="P2238" s="232"/>
      <c r="R2238" s="232"/>
      <c r="T2238" s="232"/>
    </row>
    <row r="2239" spans="3:20">
      <c r="C2239" s="232"/>
      <c r="E2239" s="232"/>
      <c r="G2239" s="232"/>
      <c r="I2239" s="232"/>
      <c r="K2239" s="232"/>
      <c r="M2239" s="232"/>
      <c r="P2239" s="232"/>
      <c r="R2239" s="232"/>
      <c r="T2239" s="232"/>
    </row>
    <row r="2240" spans="3:20">
      <c r="C2240" s="232"/>
      <c r="E2240" s="232"/>
      <c r="G2240" s="232"/>
      <c r="I2240" s="232"/>
      <c r="K2240" s="232"/>
      <c r="M2240" s="232"/>
      <c r="P2240" s="232"/>
      <c r="R2240" s="232"/>
      <c r="T2240" s="232"/>
    </row>
    <row r="2241" spans="3:20">
      <c r="C2241" s="232"/>
      <c r="E2241" s="232"/>
      <c r="G2241" s="232"/>
      <c r="I2241" s="232"/>
      <c r="K2241" s="232"/>
      <c r="M2241" s="232"/>
      <c r="P2241" s="232"/>
      <c r="R2241" s="232"/>
      <c r="T2241" s="232"/>
    </row>
    <row r="2242" spans="3:20">
      <c r="C2242" s="232"/>
      <c r="E2242" s="232"/>
      <c r="G2242" s="232"/>
      <c r="I2242" s="232"/>
      <c r="K2242" s="232"/>
      <c r="M2242" s="232"/>
      <c r="P2242" s="232"/>
      <c r="R2242" s="232"/>
      <c r="T2242" s="232"/>
    </row>
    <row r="2243" spans="3:20">
      <c r="C2243" s="232"/>
      <c r="E2243" s="232"/>
      <c r="G2243" s="232"/>
      <c r="I2243" s="232"/>
      <c r="K2243" s="232"/>
      <c r="M2243" s="232"/>
      <c r="P2243" s="232"/>
      <c r="R2243" s="232"/>
      <c r="T2243" s="232"/>
    </row>
    <row r="2244" spans="3:20">
      <c r="C2244" s="232"/>
      <c r="E2244" s="232"/>
      <c r="G2244" s="232"/>
      <c r="I2244" s="232"/>
      <c r="K2244" s="232"/>
      <c r="M2244" s="232"/>
      <c r="P2244" s="232"/>
      <c r="R2244" s="232"/>
      <c r="T2244" s="232"/>
    </row>
    <row r="2245" spans="3:20">
      <c r="C2245" s="232"/>
      <c r="E2245" s="232"/>
      <c r="G2245" s="232"/>
      <c r="I2245" s="232"/>
      <c r="K2245" s="232"/>
      <c r="M2245" s="232"/>
      <c r="P2245" s="232"/>
      <c r="R2245" s="232"/>
      <c r="T2245" s="232"/>
    </row>
    <row r="2246" spans="3:20">
      <c r="C2246" s="232"/>
      <c r="E2246" s="232"/>
      <c r="G2246" s="232"/>
      <c r="I2246" s="232"/>
      <c r="K2246" s="232"/>
      <c r="M2246" s="232"/>
      <c r="P2246" s="232"/>
      <c r="R2246" s="232"/>
      <c r="T2246" s="232"/>
    </row>
    <row r="2247" spans="3:20">
      <c r="C2247" s="232"/>
      <c r="E2247" s="232"/>
      <c r="G2247" s="232"/>
      <c r="I2247" s="232"/>
      <c r="K2247" s="232"/>
      <c r="M2247" s="232"/>
      <c r="P2247" s="232"/>
      <c r="R2247" s="232"/>
      <c r="T2247" s="232"/>
    </row>
    <row r="2248" spans="3:20">
      <c r="C2248" s="232"/>
      <c r="E2248" s="232"/>
      <c r="G2248" s="232"/>
      <c r="I2248" s="232"/>
      <c r="K2248" s="232"/>
      <c r="M2248" s="232"/>
      <c r="P2248" s="232"/>
      <c r="R2248" s="232"/>
      <c r="T2248" s="232"/>
    </row>
    <row r="2249" spans="3:20">
      <c r="C2249" s="232"/>
      <c r="E2249" s="232"/>
      <c r="G2249" s="232"/>
      <c r="I2249" s="232"/>
      <c r="K2249" s="232"/>
      <c r="M2249" s="232"/>
      <c r="P2249" s="232"/>
      <c r="R2249" s="232"/>
      <c r="T2249" s="232"/>
    </row>
    <row r="2250" spans="3:20">
      <c r="C2250" s="232"/>
      <c r="E2250" s="232"/>
      <c r="G2250" s="232"/>
      <c r="I2250" s="232"/>
      <c r="K2250" s="232"/>
      <c r="M2250" s="232"/>
      <c r="P2250" s="232"/>
      <c r="R2250" s="232"/>
      <c r="T2250" s="232"/>
    </row>
    <row r="2251" spans="3:20">
      <c r="C2251" s="232"/>
      <c r="E2251" s="232"/>
      <c r="G2251" s="232"/>
      <c r="I2251" s="232"/>
      <c r="K2251" s="232"/>
      <c r="M2251" s="232"/>
      <c r="P2251" s="232"/>
      <c r="R2251" s="232"/>
      <c r="T2251" s="232"/>
    </row>
    <row r="2252" spans="3:20">
      <c r="C2252" s="232"/>
      <c r="E2252" s="232"/>
      <c r="G2252" s="232"/>
      <c r="I2252" s="232"/>
      <c r="K2252" s="232"/>
      <c r="M2252" s="232"/>
      <c r="P2252" s="232"/>
      <c r="R2252" s="232"/>
      <c r="T2252" s="232"/>
    </row>
    <row r="2253" spans="3:20">
      <c r="C2253" s="232"/>
      <c r="E2253" s="232"/>
      <c r="G2253" s="232"/>
      <c r="I2253" s="232"/>
      <c r="K2253" s="232"/>
      <c r="M2253" s="232"/>
      <c r="P2253" s="232"/>
      <c r="R2253" s="232"/>
      <c r="T2253" s="232"/>
    </row>
    <row r="2254" spans="3:20">
      <c r="C2254" s="232"/>
      <c r="E2254" s="232"/>
      <c r="G2254" s="232"/>
      <c r="I2254" s="232"/>
      <c r="K2254" s="232"/>
      <c r="M2254" s="232"/>
      <c r="P2254" s="232"/>
      <c r="R2254" s="232"/>
      <c r="T2254" s="232"/>
    </row>
    <row r="2255" spans="3:20">
      <c r="C2255" s="232"/>
      <c r="E2255" s="232"/>
      <c r="G2255" s="232"/>
      <c r="I2255" s="232"/>
      <c r="K2255" s="232"/>
      <c r="M2255" s="232"/>
      <c r="P2255" s="232"/>
      <c r="R2255" s="232"/>
      <c r="T2255" s="232"/>
    </row>
    <row r="2256" spans="3:20">
      <c r="C2256" s="232"/>
      <c r="E2256" s="232"/>
      <c r="G2256" s="232"/>
      <c r="I2256" s="232"/>
      <c r="K2256" s="232"/>
      <c r="M2256" s="232"/>
      <c r="P2256" s="232"/>
      <c r="R2256" s="232"/>
      <c r="T2256" s="232"/>
    </row>
    <row r="2257" spans="3:20">
      <c r="C2257" s="232"/>
      <c r="E2257" s="232"/>
      <c r="G2257" s="232"/>
      <c r="I2257" s="232"/>
      <c r="K2257" s="232"/>
      <c r="M2257" s="232"/>
      <c r="P2257" s="232"/>
      <c r="R2257" s="232"/>
      <c r="T2257" s="232"/>
    </row>
    <row r="2258" spans="3:20">
      <c r="C2258" s="232"/>
      <c r="E2258" s="232"/>
      <c r="G2258" s="232"/>
      <c r="I2258" s="232"/>
      <c r="K2258" s="232"/>
      <c r="M2258" s="232"/>
      <c r="P2258" s="232"/>
      <c r="R2258" s="232"/>
      <c r="T2258" s="232"/>
    </row>
    <row r="2259" spans="3:20">
      <c r="C2259" s="232"/>
      <c r="E2259" s="232"/>
      <c r="G2259" s="232"/>
      <c r="I2259" s="232"/>
      <c r="K2259" s="232"/>
      <c r="M2259" s="232"/>
      <c r="P2259" s="232"/>
      <c r="R2259" s="232"/>
      <c r="T2259" s="232"/>
    </row>
    <row r="2260" spans="3:20">
      <c r="C2260" s="232"/>
      <c r="E2260" s="232"/>
      <c r="G2260" s="232"/>
      <c r="I2260" s="232"/>
      <c r="K2260" s="232"/>
      <c r="M2260" s="232"/>
      <c r="P2260" s="232"/>
      <c r="R2260" s="232"/>
      <c r="T2260" s="232"/>
    </row>
    <row r="2261" spans="3:20">
      <c r="C2261" s="232"/>
      <c r="E2261" s="232"/>
      <c r="G2261" s="232"/>
      <c r="I2261" s="232"/>
      <c r="K2261" s="232"/>
      <c r="M2261" s="232"/>
      <c r="P2261" s="232"/>
      <c r="R2261" s="232"/>
      <c r="T2261" s="232"/>
    </row>
    <row r="2262" spans="3:20">
      <c r="C2262" s="232"/>
      <c r="E2262" s="232"/>
      <c r="G2262" s="232"/>
      <c r="I2262" s="232"/>
      <c r="K2262" s="232"/>
      <c r="M2262" s="232"/>
      <c r="P2262" s="232"/>
      <c r="R2262" s="232"/>
      <c r="T2262" s="232"/>
    </row>
    <row r="2263" spans="3:20">
      <c r="C2263" s="232"/>
      <c r="E2263" s="232"/>
      <c r="G2263" s="232"/>
      <c r="I2263" s="232"/>
      <c r="K2263" s="232"/>
      <c r="M2263" s="232"/>
      <c r="P2263" s="232"/>
      <c r="R2263" s="232"/>
      <c r="T2263" s="232"/>
    </row>
    <row r="2264" spans="3:20">
      <c r="C2264" s="232"/>
      <c r="E2264" s="232"/>
      <c r="G2264" s="232"/>
      <c r="I2264" s="232"/>
      <c r="K2264" s="232"/>
      <c r="M2264" s="232"/>
      <c r="P2264" s="232"/>
      <c r="R2264" s="232"/>
      <c r="T2264" s="232"/>
    </row>
    <row r="2265" spans="3:20">
      <c r="C2265" s="232"/>
      <c r="E2265" s="232"/>
      <c r="G2265" s="232"/>
      <c r="I2265" s="232"/>
      <c r="K2265" s="232"/>
      <c r="M2265" s="232"/>
      <c r="P2265" s="232"/>
      <c r="R2265" s="232"/>
      <c r="T2265" s="232"/>
    </row>
    <row r="2266" spans="3:20">
      <c r="C2266" s="232"/>
      <c r="E2266" s="232"/>
      <c r="G2266" s="232"/>
      <c r="I2266" s="232"/>
      <c r="K2266" s="232"/>
      <c r="M2266" s="232"/>
      <c r="P2266" s="232"/>
      <c r="R2266" s="232"/>
      <c r="T2266" s="232"/>
    </row>
    <row r="2267" spans="3:20">
      <c r="C2267" s="232"/>
      <c r="E2267" s="232"/>
      <c r="G2267" s="232"/>
      <c r="I2267" s="232"/>
      <c r="K2267" s="232"/>
      <c r="M2267" s="232"/>
      <c r="P2267" s="232"/>
      <c r="R2267" s="232"/>
      <c r="T2267" s="232"/>
    </row>
    <row r="2268" spans="3:20">
      <c r="C2268" s="232"/>
      <c r="E2268" s="232"/>
      <c r="G2268" s="232"/>
      <c r="I2268" s="232"/>
      <c r="K2268" s="232"/>
      <c r="M2268" s="232"/>
      <c r="P2268" s="232"/>
      <c r="R2268" s="232"/>
      <c r="T2268" s="232"/>
    </row>
    <row r="2269" spans="3:20">
      <c r="C2269" s="232"/>
      <c r="E2269" s="232"/>
      <c r="G2269" s="232"/>
      <c r="I2269" s="232"/>
      <c r="K2269" s="232"/>
      <c r="M2269" s="232"/>
      <c r="P2269" s="232"/>
      <c r="R2269" s="232"/>
      <c r="T2269" s="232"/>
    </row>
    <row r="2270" spans="3:20">
      <c r="C2270" s="232"/>
      <c r="E2270" s="232"/>
      <c r="G2270" s="232"/>
      <c r="I2270" s="232"/>
      <c r="K2270" s="232"/>
      <c r="M2270" s="232"/>
      <c r="P2270" s="232"/>
      <c r="R2270" s="232"/>
      <c r="T2270" s="232"/>
    </row>
    <row r="2271" spans="3:20">
      <c r="C2271" s="232"/>
      <c r="E2271" s="232"/>
      <c r="G2271" s="232"/>
      <c r="I2271" s="232"/>
      <c r="K2271" s="232"/>
      <c r="M2271" s="232"/>
      <c r="P2271" s="232"/>
      <c r="R2271" s="232"/>
      <c r="T2271" s="232"/>
    </row>
    <row r="2272" spans="3:20">
      <c r="C2272" s="232"/>
      <c r="E2272" s="232"/>
      <c r="G2272" s="232"/>
      <c r="I2272" s="232"/>
      <c r="K2272" s="232"/>
      <c r="M2272" s="232"/>
      <c r="P2272" s="232"/>
      <c r="R2272" s="232"/>
      <c r="T2272" s="232"/>
    </row>
    <row r="2273" spans="3:20">
      <c r="C2273" s="232"/>
      <c r="E2273" s="232"/>
      <c r="G2273" s="232"/>
      <c r="I2273" s="232"/>
      <c r="K2273" s="232"/>
      <c r="M2273" s="232"/>
      <c r="P2273" s="232"/>
      <c r="R2273" s="232"/>
      <c r="T2273" s="232"/>
    </row>
    <row r="2274" spans="3:20">
      <c r="C2274" s="232"/>
      <c r="E2274" s="232"/>
      <c r="G2274" s="232"/>
      <c r="I2274" s="232"/>
      <c r="K2274" s="232"/>
      <c r="M2274" s="232"/>
      <c r="P2274" s="232"/>
      <c r="R2274" s="232"/>
      <c r="T2274" s="232"/>
    </row>
    <row r="2275" spans="3:20">
      <c r="C2275" s="232"/>
      <c r="E2275" s="232"/>
      <c r="G2275" s="232"/>
      <c r="I2275" s="232"/>
      <c r="K2275" s="232"/>
      <c r="M2275" s="232"/>
      <c r="P2275" s="232"/>
      <c r="R2275" s="232"/>
      <c r="T2275" s="232"/>
    </row>
    <row r="2276" spans="3:20">
      <c r="C2276" s="232"/>
      <c r="E2276" s="232"/>
      <c r="G2276" s="232"/>
      <c r="I2276" s="232"/>
      <c r="K2276" s="232"/>
      <c r="M2276" s="232"/>
      <c r="P2276" s="232"/>
      <c r="R2276" s="232"/>
      <c r="T2276" s="232"/>
    </row>
    <row r="2277" spans="3:20">
      <c r="C2277" s="232"/>
      <c r="E2277" s="232"/>
      <c r="G2277" s="232"/>
      <c r="I2277" s="232"/>
      <c r="K2277" s="232"/>
      <c r="M2277" s="232"/>
      <c r="P2277" s="232"/>
      <c r="R2277" s="232"/>
      <c r="T2277" s="232"/>
    </row>
    <row r="2278" spans="3:20">
      <c r="C2278" s="232"/>
      <c r="E2278" s="232"/>
      <c r="G2278" s="232"/>
      <c r="I2278" s="232"/>
      <c r="K2278" s="232"/>
      <c r="M2278" s="232"/>
      <c r="P2278" s="232"/>
      <c r="R2278" s="232"/>
      <c r="T2278" s="232"/>
    </row>
    <row r="2279" spans="3:20">
      <c r="C2279" s="232"/>
      <c r="E2279" s="232"/>
      <c r="G2279" s="232"/>
      <c r="I2279" s="232"/>
      <c r="K2279" s="232"/>
      <c r="M2279" s="232"/>
      <c r="P2279" s="232"/>
      <c r="R2279" s="232"/>
      <c r="T2279" s="232"/>
    </row>
    <row r="2280" spans="3:20">
      <c r="C2280" s="232"/>
      <c r="E2280" s="232"/>
      <c r="G2280" s="232"/>
      <c r="I2280" s="232"/>
      <c r="K2280" s="232"/>
      <c r="M2280" s="232"/>
      <c r="P2280" s="232"/>
      <c r="R2280" s="232"/>
      <c r="T2280" s="232"/>
    </row>
    <row r="2281" spans="3:20">
      <c r="C2281" s="232"/>
      <c r="E2281" s="232"/>
      <c r="G2281" s="232"/>
      <c r="I2281" s="232"/>
      <c r="K2281" s="232"/>
      <c r="M2281" s="232"/>
      <c r="P2281" s="232"/>
      <c r="R2281" s="232"/>
      <c r="T2281" s="232"/>
    </row>
    <row r="2282" spans="3:20">
      <c r="C2282" s="232"/>
      <c r="E2282" s="232"/>
      <c r="G2282" s="232"/>
      <c r="I2282" s="232"/>
      <c r="K2282" s="232"/>
      <c r="M2282" s="232"/>
      <c r="P2282" s="232"/>
      <c r="R2282" s="232"/>
      <c r="T2282" s="232"/>
    </row>
    <row r="2283" spans="3:20">
      <c r="C2283" s="232"/>
      <c r="E2283" s="232"/>
      <c r="G2283" s="232"/>
      <c r="I2283" s="232"/>
      <c r="K2283" s="232"/>
      <c r="M2283" s="232"/>
      <c r="P2283" s="232"/>
      <c r="R2283" s="232"/>
      <c r="T2283" s="232"/>
    </row>
    <row r="2284" spans="3:20">
      <c r="C2284" s="232"/>
      <c r="E2284" s="232"/>
      <c r="G2284" s="232"/>
      <c r="I2284" s="232"/>
      <c r="K2284" s="232"/>
      <c r="M2284" s="232"/>
      <c r="P2284" s="232"/>
      <c r="R2284" s="232"/>
      <c r="T2284" s="232"/>
    </row>
    <row r="2285" spans="3:20">
      <c r="C2285" s="232"/>
      <c r="E2285" s="232"/>
      <c r="G2285" s="232"/>
      <c r="I2285" s="232"/>
      <c r="K2285" s="232"/>
      <c r="M2285" s="232"/>
      <c r="P2285" s="232"/>
      <c r="R2285" s="232"/>
      <c r="T2285" s="232"/>
    </row>
    <row r="2286" spans="3:20">
      <c r="C2286" s="232"/>
      <c r="E2286" s="232"/>
      <c r="G2286" s="232"/>
      <c r="I2286" s="232"/>
      <c r="K2286" s="232"/>
      <c r="M2286" s="232"/>
      <c r="P2286" s="232"/>
      <c r="R2286" s="232"/>
      <c r="T2286" s="232"/>
    </row>
    <row r="2287" spans="3:20">
      <c r="C2287" s="232"/>
      <c r="E2287" s="232"/>
      <c r="G2287" s="232"/>
      <c r="I2287" s="232"/>
      <c r="K2287" s="232"/>
      <c r="M2287" s="232"/>
      <c r="P2287" s="232"/>
      <c r="R2287" s="232"/>
      <c r="T2287" s="232"/>
    </row>
    <row r="2288" spans="3:20">
      <c r="C2288" s="232"/>
      <c r="E2288" s="232"/>
      <c r="G2288" s="232"/>
      <c r="I2288" s="232"/>
      <c r="K2288" s="232"/>
      <c r="M2288" s="232"/>
      <c r="P2288" s="232"/>
      <c r="R2288" s="232"/>
      <c r="T2288" s="232"/>
    </row>
    <row r="2289" spans="3:20">
      <c r="C2289" s="232"/>
      <c r="E2289" s="232"/>
      <c r="G2289" s="232"/>
      <c r="I2289" s="232"/>
      <c r="K2289" s="232"/>
      <c r="M2289" s="232"/>
      <c r="P2289" s="232"/>
      <c r="R2289" s="232"/>
      <c r="T2289" s="232"/>
    </row>
    <row r="2290" spans="3:20">
      <c r="C2290" s="232"/>
      <c r="E2290" s="232"/>
      <c r="G2290" s="232"/>
      <c r="I2290" s="232"/>
      <c r="K2290" s="232"/>
      <c r="M2290" s="232"/>
      <c r="P2290" s="232"/>
      <c r="R2290" s="232"/>
      <c r="T2290" s="232"/>
    </row>
    <row r="2291" spans="3:20">
      <c r="C2291" s="232"/>
      <c r="E2291" s="232"/>
      <c r="G2291" s="232"/>
      <c r="I2291" s="232"/>
      <c r="K2291" s="232"/>
      <c r="M2291" s="232"/>
      <c r="P2291" s="232"/>
      <c r="R2291" s="232"/>
      <c r="T2291" s="232"/>
    </row>
    <row r="2292" spans="3:20">
      <c r="C2292" s="232"/>
      <c r="E2292" s="232"/>
      <c r="G2292" s="232"/>
      <c r="I2292" s="232"/>
      <c r="K2292" s="232"/>
      <c r="M2292" s="232"/>
      <c r="P2292" s="232"/>
      <c r="R2292" s="232"/>
      <c r="T2292" s="232"/>
    </row>
    <row r="2293" spans="3:20">
      <c r="C2293" s="232"/>
      <c r="E2293" s="232"/>
      <c r="G2293" s="232"/>
      <c r="I2293" s="232"/>
      <c r="K2293" s="232"/>
      <c r="M2293" s="232"/>
      <c r="P2293" s="232"/>
      <c r="R2293" s="232"/>
      <c r="T2293" s="232"/>
    </row>
    <row r="2294" spans="3:20">
      <c r="C2294" s="232"/>
      <c r="E2294" s="232"/>
      <c r="G2294" s="232"/>
      <c r="I2294" s="232"/>
      <c r="K2294" s="232"/>
      <c r="M2294" s="232"/>
      <c r="P2294" s="232"/>
      <c r="R2294" s="232"/>
      <c r="T2294" s="232"/>
    </row>
    <row r="2295" spans="3:20">
      <c r="C2295" s="232"/>
      <c r="E2295" s="232"/>
      <c r="G2295" s="232"/>
      <c r="I2295" s="232"/>
      <c r="K2295" s="232"/>
      <c r="M2295" s="232"/>
      <c r="P2295" s="232"/>
      <c r="R2295" s="232"/>
      <c r="T2295" s="232"/>
    </row>
    <row r="2296" spans="3:20">
      <c r="C2296" s="232"/>
      <c r="E2296" s="232"/>
      <c r="G2296" s="232"/>
      <c r="I2296" s="232"/>
      <c r="K2296" s="232"/>
      <c r="M2296" s="232"/>
      <c r="P2296" s="232"/>
      <c r="R2296" s="232"/>
      <c r="T2296" s="232"/>
    </row>
    <row r="2297" spans="3:20">
      <c r="C2297" s="232"/>
      <c r="E2297" s="232"/>
      <c r="G2297" s="232"/>
      <c r="I2297" s="232"/>
      <c r="K2297" s="232"/>
      <c r="M2297" s="232"/>
      <c r="P2297" s="232"/>
      <c r="R2297" s="232"/>
      <c r="T2297" s="232"/>
    </row>
    <row r="2298" spans="3:20">
      <c r="C2298" s="232"/>
      <c r="E2298" s="232"/>
      <c r="G2298" s="232"/>
      <c r="I2298" s="232"/>
      <c r="K2298" s="232"/>
      <c r="M2298" s="232"/>
      <c r="P2298" s="232"/>
      <c r="R2298" s="232"/>
      <c r="T2298" s="232"/>
    </row>
    <row r="2299" spans="3:20">
      <c r="C2299" s="232"/>
      <c r="E2299" s="232"/>
      <c r="G2299" s="232"/>
      <c r="I2299" s="232"/>
      <c r="K2299" s="232"/>
      <c r="M2299" s="232"/>
      <c r="P2299" s="232"/>
      <c r="R2299" s="232"/>
      <c r="T2299" s="232"/>
    </row>
    <row r="2300" spans="3:20">
      <c r="C2300" s="232"/>
      <c r="E2300" s="232"/>
      <c r="G2300" s="232"/>
      <c r="I2300" s="232"/>
      <c r="K2300" s="232"/>
      <c r="M2300" s="232"/>
      <c r="P2300" s="232"/>
      <c r="R2300" s="232"/>
      <c r="T2300" s="232"/>
    </row>
    <row r="2301" spans="3:20">
      <c r="C2301" s="232"/>
      <c r="E2301" s="232"/>
      <c r="G2301" s="232"/>
      <c r="I2301" s="232"/>
      <c r="K2301" s="232"/>
      <c r="M2301" s="232"/>
      <c r="P2301" s="232"/>
      <c r="R2301" s="232"/>
      <c r="T2301" s="232"/>
    </row>
    <row r="2302" spans="3:20">
      <c r="C2302" s="232"/>
      <c r="E2302" s="232"/>
      <c r="G2302" s="232"/>
      <c r="I2302" s="232"/>
      <c r="K2302" s="232"/>
      <c r="M2302" s="232"/>
      <c r="P2302" s="232"/>
      <c r="R2302" s="232"/>
      <c r="T2302" s="232"/>
    </row>
    <row r="2303" spans="3:20">
      <c r="C2303" s="232"/>
      <c r="E2303" s="232"/>
      <c r="G2303" s="232"/>
      <c r="I2303" s="232"/>
      <c r="K2303" s="232"/>
      <c r="M2303" s="232"/>
      <c r="P2303" s="232"/>
      <c r="R2303" s="232"/>
      <c r="T2303" s="232"/>
    </row>
    <row r="2304" spans="3:20">
      <c r="C2304" s="232"/>
      <c r="E2304" s="232"/>
      <c r="G2304" s="232"/>
      <c r="I2304" s="232"/>
      <c r="K2304" s="232"/>
      <c r="M2304" s="232"/>
      <c r="P2304" s="232"/>
      <c r="R2304" s="232"/>
      <c r="T2304" s="232"/>
    </row>
    <row r="2305" spans="3:20">
      <c r="C2305" s="232"/>
      <c r="E2305" s="232"/>
      <c r="G2305" s="232"/>
      <c r="I2305" s="232"/>
      <c r="K2305" s="232"/>
      <c r="M2305" s="232"/>
      <c r="P2305" s="232"/>
      <c r="R2305" s="232"/>
      <c r="T2305" s="232"/>
    </row>
    <row r="2306" spans="3:20">
      <c r="C2306" s="232"/>
      <c r="E2306" s="232"/>
      <c r="G2306" s="232"/>
      <c r="I2306" s="232"/>
      <c r="K2306" s="232"/>
      <c r="M2306" s="232"/>
      <c r="P2306" s="232"/>
      <c r="R2306" s="232"/>
      <c r="T2306" s="232"/>
    </row>
    <row r="2307" spans="3:20">
      <c r="C2307" s="232"/>
      <c r="E2307" s="232"/>
      <c r="G2307" s="232"/>
      <c r="I2307" s="232"/>
      <c r="K2307" s="232"/>
      <c r="M2307" s="232"/>
      <c r="P2307" s="232"/>
      <c r="R2307" s="232"/>
      <c r="T2307" s="232"/>
    </row>
    <row r="2308" spans="3:20">
      <c r="C2308" s="232"/>
      <c r="E2308" s="232"/>
      <c r="G2308" s="232"/>
      <c r="I2308" s="232"/>
      <c r="K2308" s="232"/>
      <c r="M2308" s="232"/>
      <c r="P2308" s="232"/>
      <c r="R2308" s="232"/>
      <c r="T2308" s="232"/>
    </row>
    <row r="2309" spans="3:20">
      <c r="C2309" s="232"/>
      <c r="E2309" s="232"/>
      <c r="G2309" s="232"/>
      <c r="I2309" s="232"/>
      <c r="K2309" s="232"/>
      <c r="M2309" s="232"/>
      <c r="P2309" s="232"/>
      <c r="R2309" s="232"/>
      <c r="T2309" s="232"/>
    </row>
    <row r="2310" spans="3:20">
      <c r="C2310" s="232"/>
      <c r="E2310" s="232"/>
      <c r="G2310" s="232"/>
      <c r="I2310" s="232"/>
      <c r="K2310" s="232"/>
      <c r="M2310" s="232"/>
      <c r="P2310" s="232"/>
      <c r="R2310" s="232"/>
      <c r="T2310" s="232"/>
    </row>
    <row r="2311" spans="3:20">
      <c r="C2311" s="232"/>
      <c r="E2311" s="232"/>
      <c r="G2311" s="232"/>
      <c r="I2311" s="232"/>
      <c r="K2311" s="232"/>
      <c r="M2311" s="232"/>
      <c r="P2311" s="232"/>
      <c r="R2311" s="232"/>
      <c r="T2311" s="232"/>
    </row>
    <row r="2312" spans="3:20">
      <c r="C2312" s="232"/>
      <c r="E2312" s="232"/>
      <c r="G2312" s="232"/>
      <c r="I2312" s="232"/>
      <c r="K2312" s="232"/>
      <c r="M2312" s="232"/>
      <c r="P2312" s="232"/>
      <c r="R2312" s="232"/>
      <c r="T2312" s="232"/>
    </row>
    <row r="2313" spans="3:20">
      <c r="C2313" s="232"/>
      <c r="E2313" s="232"/>
      <c r="G2313" s="232"/>
      <c r="I2313" s="232"/>
      <c r="K2313" s="232"/>
      <c r="M2313" s="232"/>
      <c r="P2313" s="232"/>
      <c r="R2313" s="232"/>
      <c r="T2313" s="232"/>
    </row>
    <row r="2314" spans="3:20">
      <c r="C2314" s="232"/>
      <c r="E2314" s="232"/>
      <c r="G2314" s="232"/>
      <c r="I2314" s="232"/>
      <c r="K2314" s="232"/>
      <c r="M2314" s="232"/>
      <c r="P2314" s="232"/>
      <c r="R2314" s="232"/>
      <c r="T2314" s="232"/>
    </row>
    <row r="2315" spans="3:20">
      <c r="C2315" s="232"/>
      <c r="E2315" s="232"/>
      <c r="G2315" s="232"/>
      <c r="I2315" s="232"/>
      <c r="K2315" s="232"/>
      <c r="M2315" s="232"/>
      <c r="P2315" s="232"/>
      <c r="R2315" s="232"/>
      <c r="T2315" s="232"/>
    </row>
    <row r="2316" spans="3:20">
      <c r="C2316" s="232"/>
      <c r="E2316" s="232"/>
      <c r="G2316" s="232"/>
      <c r="I2316" s="232"/>
      <c r="K2316" s="232"/>
      <c r="M2316" s="232"/>
      <c r="P2316" s="232"/>
      <c r="R2316" s="232"/>
      <c r="T2316" s="232"/>
    </row>
    <row r="2317" spans="3:20">
      <c r="C2317" s="232"/>
      <c r="E2317" s="232"/>
      <c r="G2317" s="232"/>
      <c r="I2317" s="232"/>
      <c r="K2317" s="232"/>
      <c r="M2317" s="232"/>
      <c r="P2317" s="232"/>
      <c r="R2317" s="232"/>
      <c r="T2317" s="232"/>
    </row>
    <row r="2318" spans="3:20">
      <c r="C2318" s="232"/>
      <c r="E2318" s="232"/>
      <c r="G2318" s="232"/>
      <c r="I2318" s="232"/>
      <c r="K2318" s="232"/>
      <c r="M2318" s="232"/>
      <c r="P2318" s="232"/>
      <c r="R2318" s="232"/>
      <c r="T2318" s="232"/>
    </row>
    <row r="2319" spans="3:20">
      <c r="C2319" s="232"/>
      <c r="E2319" s="232"/>
      <c r="G2319" s="232"/>
      <c r="I2319" s="232"/>
      <c r="K2319" s="232"/>
      <c r="M2319" s="232"/>
      <c r="P2319" s="232"/>
      <c r="R2319" s="232"/>
      <c r="T2319" s="232"/>
    </row>
    <row r="2320" spans="3:20">
      <c r="C2320" s="232"/>
      <c r="E2320" s="232"/>
      <c r="G2320" s="232"/>
      <c r="I2320" s="232"/>
      <c r="K2320" s="232"/>
      <c r="M2320" s="232"/>
      <c r="P2320" s="232"/>
      <c r="R2320" s="232"/>
      <c r="T2320" s="232"/>
    </row>
    <row r="2321" spans="3:20">
      <c r="C2321" s="232"/>
      <c r="E2321" s="232"/>
      <c r="G2321" s="232"/>
      <c r="I2321" s="232"/>
      <c r="K2321" s="232"/>
      <c r="M2321" s="232"/>
      <c r="P2321" s="232"/>
      <c r="R2321" s="232"/>
      <c r="T2321" s="232"/>
    </row>
    <row r="2322" spans="3:20">
      <c r="C2322" s="232"/>
      <c r="E2322" s="232"/>
      <c r="G2322" s="232"/>
      <c r="I2322" s="232"/>
      <c r="K2322" s="232"/>
      <c r="M2322" s="232"/>
      <c r="P2322" s="232"/>
      <c r="R2322" s="232"/>
      <c r="T2322" s="232"/>
    </row>
    <row r="2323" spans="3:20">
      <c r="C2323" s="232"/>
      <c r="E2323" s="232"/>
      <c r="G2323" s="232"/>
      <c r="I2323" s="232"/>
      <c r="K2323" s="232"/>
      <c r="M2323" s="232"/>
      <c r="P2323" s="232"/>
      <c r="R2323" s="232"/>
      <c r="T2323" s="232"/>
    </row>
    <row r="2324" spans="3:20">
      <c r="C2324" s="232"/>
      <c r="E2324" s="232"/>
      <c r="G2324" s="232"/>
      <c r="I2324" s="232"/>
      <c r="K2324" s="232"/>
      <c r="M2324" s="232"/>
      <c r="P2324" s="232"/>
      <c r="R2324" s="232"/>
      <c r="T2324" s="232"/>
    </row>
    <row r="2325" spans="3:20">
      <c r="C2325" s="232"/>
      <c r="E2325" s="232"/>
      <c r="G2325" s="232"/>
      <c r="I2325" s="232"/>
      <c r="K2325" s="232"/>
      <c r="M2325" s="232"/>
      <c r="P2325" s="232"/>
      <c r="R2325" s="232"/>
      <c r="T2325" s="232"/>
    </row>
    <row r="2326" spans="3:20">
      <c r="C2326" s="232"/>
      <c r="E2326" s="232"/>
      <c r="G2326" s="232"/>
      <c r="I2326" s="232"/>
      <c r="K2326" s="232"/>
      <c r="M2326" s="232"/>
      <c r="P2326" s="232"/>
      <c r="R2326" s="232"/>
      <c r="T2326" s="232"/>
    </row>
    <row r="2327" spans="3:20">
      <c r="C2327" s="232"/>
      <c r="E2327" s="232"/>
      <c r="G2327" s="232"/>
      <c r="I2327" s="232"/>
      <c r="K2327" s="232"/>
      <c r="M2327" s="232"/>
      <c r="P2327" s="232"/>
      <c r="R2327" s="232"/>
      <c r="T2327" s="232"/>
    </row>
    <row r="2328" spans="3:20">
      <c r="C2328" s="232"/>
      <c r="E2328" s="232"/>
      <c r="G2328" s="232"/>
      <c r="I2328" s="232"/>
      <c r="K2328" s="232"/>
      <c r="M2328" s="232"/>
      <c r="P2328" s="232"/>
      <c r="R2328" s="232"/>
      <c r="T2328" s="232"/>
    </row>
    <row r="2329" spans="3:20">
      <c r="C2329" s="232"/>
      <c r="E2329" s="232"/>
      <c r="G2329" s="232"/>
      <c r="I2329" s="232"/>
      <c r="K2329" s="232"/>
      <c r="M2329" s="232"/>
      <c r="P2329" s="232"/>
      <c r="R2329" s="232"/>
      <c r="T2329" s="232"/>
    </row>
    <row r="2330" spans="3:20">
      <c r="C2330" s="232"/>
      <c r="E2330" s="232"/>
      <c r="G2330" s="232"/>
      <c r="I2330" s="232"/>
      <c r="K2330" s="232"/>
      <c r="M2330" s="232"/>
      <c r="P2330" s="232"/>
      <c r="R2330" s="232"/>
      <c r="T2330" s="232"/>
    </row>
    <row r="2331" spans="3:20">
      <c r="C2331" s="232"/>
      <c r="E2331" s="232"/>
      <c r="G2331" s="232"/>
      <c r="I2331" s="232"/>
      <c r="K2331" s="232"/>
      <c r="M2331" s="232"/>
      <c r="P2331" s="232"/>
      <c r="R2331" s="232"/>
      <c r="T2331" s="232"/>
    </row>
    <row r="2332" spans="3:20">
      <c r="C2332" s="232"/>
      <c r="E2332" s="232"/>
      <c r="G2332" s="232"/>
      <c r="I2332" s="232"/>
      <c r="K2332" s="232"/>
      <c r="M2332" s="232"/>
      <c r="P2332" s="232"/>
      <c r="R2332" s="232"/>
      <c r="T2332" s="232"/>
    </row>
    <row r="2333" spans="3:20">
      <c r="C2333" s="232"/>
      <c r="E2333" s="232"/>
      <c r="G2333" s="232"/>
      <c r="I2333" s="232"/>
      <c r="K2333" s="232"/>
      <c r="M2333" s="232"/>
      <c r="P2333" s="232"/>
      <c r="R2333" s="232"/>
      <c r="T2333" s="232"/>
    </row>
    <row r="2334" spans="3:20">
      <c r="C2334" s="232"/>
      <c r="E2334" s="232"/>
      <c r="G2334" s="232"/>
      <c r="I2334" s="232"/>
      <c r="K2334" s="232"/>
      <c r="M2334" s="232"/>
      <c r="P2334" s="232"/>
      <c r="R2334" s="232"/>
      <c r="T2334" s="232"/>
    </row>
    <row r="2335" spans="3:20">
      <c r="C2335" s="232"/>
      <c r="E2335" s="232"/>
      <c r="G2335" s="232"/>
      <c r="I2335" s="232"/>
      <c r="K2335" s="232"/>
      <c r="M2335" s="232"/>
      <c r="P2335" s="232"/>
      <c r="R2335" s="232"/>
      <c r="T2335" s="232"/>
    </row>
    <row r="2336" spans="3:20">
      <c r="C2336" s="232"/>
      <c r="E2336" s="232"/>
      <c r="G2336" s="232"/>
      <c r="I2336" s="232"/>
      <c r="K2336" s="232"/>
      <c r="M2336" s="232"/>
      <c r="P2336" s="232"/>
      <c r="R2336" s="232"/>
      <c r="T2336" s="232"/>
    </row>
    <row r="2337" spans="3:20">
      <c r="C2337" s="232"/>
      <c r="E2337" s="232"/>
      <c r="G2337" s="232"/>
      <c r="I2337" s="232"/>
      <c r="K2337" s="232"/>
      <c r="M2337" s="232"/>
      <c r="P2337" s="232"/>
      <c r="R2337" s="232"/>
      <c r="T2337" s="232"/>
    </row>
    <row r="2338" spans="3:20">
      <c r="C2338" s="232"/>
      <c r="E2338" s="232"/>
      <c r="G2338" s="232"/>
      <c r="I2338" s="232"/>
      <c r="K2338" s="232"/>
      <c r="M2338" s="232"/>
      <c r="P2338" s="232"/>
      <c r="R2338" s="232"/>
      <c r="T2338" s="232"/>
    </row>
    <row r="2339" spans="3:20">
      <c r="C2339" s="232"/>
      <c r="E2339" s="232"/>
      <c r="G2339" s="232"/>
      <c r="I2339" s="232"/>
      <c r="K2339" s="232"/>
      <c r="M2339" s="232"/>
      <c r="P2339" s="232"/>
      <c r="R2339" s="232"/>
      <c r="T2339" s="232"/>
    </row>
    <row r="2340" spans="3:20">
      <c r="C2340" s="232"/>
      <c r="E2340" s="232"/>
      <c r="G2340" s="232"/>
      <c r="I2340" s="232"/>
      <c r="K2340" s="232"/>
      <c r="M2340" s="232"/>
      <c r="P2340" s="232"/>
      <c r="R2340" s="232"/>
      <c r="T2340" s="232"/>
    </row>
    <row r="2341" spans="3:20">
      <c r="C2341" s="232"/>
      <c r="E2341" s="232"/>
      <c r="G2341" s="232"/>
      <c r="I2341" s="232"/>
      <c r="K2341" s="232"/>
      <c r="M2341" s="232"/>
      <c r="P2341" s="232"/>
      <c r="R2341" s="232"/>
      <c r="T2341" s="232"/>
    </row>
    <row r="2342" spans="3:20">
      <c r="C2342" s="232"/>
      <c r="E2342" s="232"/>
      <c r="G2342" s="232"/>
      <c r="I2342" s="232"/>
      <c r="K2342" s="232"/>
      <c r="M2342" s="232"/>
      <c r="P2342" s="232"/>
      <c r="R2342" s="232"/>
      <c r="T2342" s="232"/>
    </row>
    <row r="2343" spans="3:20">
      <c r="C2343" s="232"/>
      <c r="E2343" s="232"/>
      <c r="G2343" s="232"/>
      <c r="I2343" s="232"/>
      <c r="K2343" s="232"/>
      <c r="M2343" s="232"/>
      <c r="P2343" s="232"/>
      <c r="R2343" s="232"/>
      <c r="T2343" s="232"/>
    </row>
    <row r="2344" spans="3:20">
      <c r="C2344" s="232"/>
      <c r="E2344" s="232"/>
      <c r="G2344" s="232"/>
      <c r="I2344" s="232"/>
      <c r="K2344" s="232"/>
      <c r="M2344" s="232"/>
      <c r="P2344" s="232"/>
      <c r="R2344" s="232"/>
      <c r="T2344" s="232"/>
    </row>
    <row r="2345" spans="3:20">
      <c r="C2345" s="232"/>
      <c r="E2345" s="232"/>
      <c r="G2345" s="232"/>
      <c r="I2345" s="232"/>
      <c r="K2345" s="232"/>
      <c r="M2345" s="232"/>
      <c r="P2345" s="232"/>
      <c r="R2345" s="232"/>
      <c r="T2345" s="232"/>
    </row>
    <row r="2346" spans="3:20">
      <c r="C2346" s="232"/>
      <c r="E2346" s="232"/>
      <c r="G2346" s="232"/>
      <c r="I2346" s="232"/>
      <c r="K2346" s="232"/>
      <c r="M2346" s="232"/>
      <c r="P2346" s="232"/>
      <c r="R2346" s="232"/>
      <c r="T2346" s="232"/>
    </row>
    <row r="2347" spans="3:20">
      <c r="C2347" s="232"/>
      <c r="E2347" s="232"/>
      <c r="G2347" s="232"/>
      <c r="I2347" s="232"/>
      <c r="K2347" s="232"/>
      <c r="M2347" s="232"/>
      <c r="P2347" s="232"/>
      <c r="R2347" s="232"/>
      <c r="T2347" s="232"/>
    </row>
    <row r="2348" spans="3:20">
      <c r="C2348" s="232"/>
      <c r="E2348" s="232"/>
      <c r="G2348" s="232"/>
      <c r="I2348" s="232"/>
      <c r="K2348" s="232"/>
      <c r="M2348" s="232"/>
      <c r="P2348" s="232"/>
      <c r="R2348" s="232"/>
      <c r="T2348" s="232"/>
    </row>
    <row r="2349" spans="3:20">
      <c r="C2349" s="232"/>
      <c r="E2349" s="232"/>
      <c r="G2349" s="232"/>
      <c r="I2349" s="232"/>
      <c r="K2349" s="232"/>
      <c r="M2349" s="232"/>
      <c r="P2349" s="232"/>
      <c r="R2349" s="232"/>
      <c r="T2349" s="232"/>
    </row>
    <row r="2350" spans="3:20">
      <c r="C2350" s="232"/>
      <c r="E2350" s="232"/>
      <c r="G2350" s="232"/>
      <c r="I2350" s="232"/>
      <c r="K2350" s="232"/>
      <c r="M2350" s="232"/>
      <c r="P2350" s="232"/>
      <c r="R2350" s="232"/>
      <c r="T2350" s="232"/>
    </row>
    <row r="2351" spans="3:20">
      <c r="C2351" s="232"/>
      <c r="E2351" s="232"/>
      <c r="G2351" s="232"/>
      <c r="I2351" s="232"/>
      <c r="K2351" s="232"/>
      <c r="M2351" s="232"/>
      <c r="P2351" s="232"/>
      <c r="R2351" s="232"/>
      <c r="T2351" s="232"/>
    </row>
    <row r="2352" spans="3:20">
      <c r="C2352" s="232"/>
      <c r="E2352" s="232"/>
      <c r="G2352" s="232"/>
      <c r="I2352" s="232"/>
      <c r="K2352" s="232"/>
      <c r="M2352" s="232"/>
      <c r="P2352" s="232"/>
      <c r="R2352" s="232"/>
      <c r="T2352" s="232"/>
    </row>
    <row r="2353" spans="3:20">
      <c r="C2353" s="232"/>
      <c r="E2353" s="232"/>
      <c r="G2353" s="232"/>
      <c r="I2353" s="232"/>
      <c r="K2353" s="232"/>
      <c r="M2353" s="232"/>
      <c r="P2353" s="232"/>
      <c r="R2353" s="232"/>
      <c r="T2353" s="232"/>
    </row>
    <row r="2354" spans="3:20">
      <c r="C2354" s="232"/>
      <c r="E2354" s="232"/>
      <c r="G2354" s="232"/>
      <c r="I2354" s="232"/>
      <c r="K2354" s="232"/>
      <c r="M2354" s="232"/>
      <c r="P2354" s="232"/>
      <c r="R2354" s="232"/>
      <c r="T2354" s="232"/>
    </row>
    <row r="2355" spans="3:20">
      <c r="C2355" s="232"/>
      <c r="E2355" s="232"/>
      <c r="G2355" s="232"/>
      <c r="I2355" s="232"/>
      <c r="K2355" s="232"/>
      <c r="M2355" s="232"/>
      <c r="P2355" s="232"/>
      <c r="R2355" s="232"/>
      <c r="T2355" s="232"/>
    </row>
    <row r="2356" spans="3:20">
      <c r="C2356" s="232"/>
      <c r="E2356" s="232"/>
      <c r="G2356" s="232"/>
      <c r="I2356" s="232"/>
      <c r="K2356" s="232"/>
      <c r="M2356" s="232"/>
      <c r="P2356" s="232"/>
      <c r="R2356" s="232"/>
      <c r="T2356" s="232"/>
    </row>
    <row r="2357" spans="3:20">
      <c r="C2357" s="232"/>
      <c r="E2357" s="232"/>
      <c r="G2357" s="232"/>
      <c r="I2357" s="232"/>
      <c r="K2357" s="232"/>
      <c r="M2357" s="232"/>
      <c r="P2357" s="232"/>
      <c r="R2357" s="232"/>
      <c r="T2357" s="232"/>
    </row>
    <row r="2358" spans="3:20">
      <c r="C2358" s="232"/>
      <c r="E2358" s="232"/>
      <c r="G2358" s="232"/>
      <c r="I2358" s="232"/>
      <c r="K2358" s="232"/>
      <c r="M2358" s="232"/>
      <c r="P2358" s="232"/>
      <c r="R2358" s="232"/>
      <c r="T2358" s="232"/>
    </row>
    <row r="2359" spans="3:20">
      <c r="C2359" s="232"/>
      <c r="E2359" s="232"/>
      <c r="G2359" s="232"/>
      <c r="I2359" s="232"/>
      <c r="K2359" s="232"/>
      <c r="M2359" s="232"/>
      <c r="P2359" s="232"/>
      <c r="R2359" s="232"/>
      <c r="T2359" s="232"/>
    </row>
    <row r="2360" spans="3:20">
      <c r="C2360" s="232"/>
      <c r="E2360" s="232"/>
      <c r="G2360" s="232"/>
      <c r="I2360" s="232"/>
      <c r="K2360" s="232"/>
      <c r="M2360" s="232"/>
      <c r="P2360" s="232"/>
      <c r="R2360" s="232"/>
      <c r="T2360" s="232"/>
    </row>
    <row r="2361" spans="3:20">
      <c r="C2361" s="232"/>
      <c r="E2361" s="232"/>
      <c r="G2361" s="232"/>
      <c r="I2361" s="232"/>
      <c r="K2361" s="232"/>
      <c r="M2361" s="232"/>
      <c r="P2361" s="232"/>
      <c r="R2361" s="232"/>
      <c r="T2361" s="232"/>
    </row>
    <row r="2362" spans="3:20">
      <c r="C2362" s="232"/>
      <c r="E2362" s="232"/>
      <c r="G2362" s="232"/>
      <c r="I2362" s="232"/>
      <c r="K2362" s="232"/>
      <c r="M2362" s="232"/>
      <c r="P2362" s="232"/>
      <c r="R2362" s="232"/>
      <c r="T2362" s="232"/>
    </row>
    <row r="2363" spans="3:20">
      <c r="C2363" s="232"/>
      <c r="E2363" s="232"/>
      <c r="G2363" s="232"/>
      <c r="I2363" s="232"/>
      <c r="K2363" s="232"/>
      <c r="M2363" s="232"/>
      <c r="P2363" s="232"/>
      <c r="R2363" s="232"/>
      <c r="T2363" s="232"/>
    </row>
    <row r="2364" spans="3:20">
      <c r="C2364" s="232"/>
      <c r="E2364" s="232"/>
      <c r="G2364" s="232"/>
      <c r="I2364" s="232"/>
      <c r="K2364" s="232"/>
      <c r="M2364" s="232"/>
      <c r="P2364" s="232"/>
      <c r="R2364" s="232"/>
      <c r="T2364" s="232"/>
    </row>
    <row r="2365" spans="3:20">
      <c r="C2365" s="232"/>
      <c r="E2365" s="232"/>
      <c r="G2365" s="232"/>
      <c r="I2365" s="232"/>
      <c r="K2365" s="232"/>
      <c r="M2365" s="232"/>
      <c r="P2365" s="232"/>
      <c r="R2365" s="232"/>
      <c r="T2365" s="232"/>
    </row>
    <row r="2366" spans="3:20">
      <c r="C2366" s="232"/>
      <c r="E2366" s="232"/>
      <c r="G2366" s="232"/>
      <c r="I2366" s="232"/>
      <c r="K2366" s="232"/>
      <c r="M2366" s="232"/>
      <c r="P2366" s="232"/>
      <c r="R2366" s="232"/>
      <c r="T2366" s="232"/>
    </row>
    <row r="2367" spans="3:20">
      <c r="C2367" s="232"/>
      <c r="E2367" s="232"/>
      <c r="G2367" s="232"/>
      <c r="I2367" s="232"/>
      <c r="K2367" s="232"/>
      <c r="M2367" s="232"/>
      <c r="P2367" s="232"/>
      <c r="R2367" s="232"/>
      <c r="T2367" s="232"/>
    </row>
    <row r="2368" spans="3:20">
      <c r="C2368" s="232"/>
      <c r="E2368" s="232"/>
      <c r="G2368" s="232"/>
      <c r="I2368" s="232"/>
      <c r="K2368" s="232"/>
      <c r="M2368" s="232"/>
      <c r="P2368" s="232"/>
      <c r="R2368" s="232"/>
      <c r="T2368" s="232"/>
    </row>
    <row r="2369" spans="3:20">
      <c r="C2369" s="232"/>
      <c r="E2369" s="232"/>
      <c r="G2369" s="232"/>
      <c r="I2369" s="232"/>
      <c r="K2369" s="232"/>
      <c r="M2369" s="232"/>
      <c r="P2369" s="232"/>
      <c r="R2369" s="232"/>
      <c r="T2369" s="232"/>
    </row>
    <row r="2370" spans="3:20">
      <c r="C2370" s="232"/>
      <c r="E2370" s="232"/>
      <c r="G2370" s="232"/>
      <c r="I2370" s="232"/>
      <c r="K2370" s="232"/>
      <c r="M2370" s="232"/>
      <c r="P2370" s="232"/>
      <c r="R2370" s="232"/>
      <c r="T2370" s="232"/>
    </row>
    <row r="2371" spans="3:20">
      <c r="C2371" s="232"/>
      <c r="E2371" s="232"/>
      <c r="G2371" s="232"/>
      <c r="I2371" s="232"/>
      <c r="K2371" s="232"/>
      <c r="M2371" s="232"/>
      <c r="P2371" s="232"/>
      <c r="R2371" s="232"/>
      <c r="T2371" s="232"/>
    </row>
    <row r="2372" spans="3:20">
      <c r="C2372" s="232"/>
      <c r="E2372" s="232"/>
      <c r="G2372" s="232"/>
      <c r="I2372" s="232"/>
      <c r="K2372" s="232"/>
      <c r="M2372" s="232"/>
      <c r="P2372" s="232"/>
      <c r="R2372" s="232"/>
      <c r="T2372" s="232"/>
    </row>
    <row r="2373" spans="3:20">
      <c r="C2373" s="232"/>
      <c r="E2373" s="232"/>
      <c r="G2373" s="232"/>
      <c r="I2373" s="232"/>
      <c r="K2373" s="232"/>
      <c r="M2373" s="232"/>
      <c r="P2373" s="232"/>
      <c r="R2373" s="232"/>
      <c r="T2373" s="232"/>
    </row>
    <row r="2374" spans="3:20">
      <c r="C2374" s="232"/>
      <c r="E2374" s="232"/>
      <c r="G2374" s="232"/>
      <c r="I2374" s="232"/>
      <c r="K2374" s="232"/>
      <c r="M2374" s="232"/>
      <c r="P2374" s="232"/>
      <c r="R2374" s="232"/>
      <c r="T2374" s="232"/>
    </row>
    <row r="2375" spans="3:20">
      <c r="C2375" s="232"/>
      <c r="E2375" s="232"/>
      <c r="G2375" s="232"/>
      <c r="I2375" s="232"/>
      <c r="K2375" s="232"/>
      <c r="M2375" s="232"/>
      <c r="P2375" s="232"/>
      <c r="R2375" s="232"/>
      <c r="T2375" s="232"/>
    </row>
    <row r="2376" spans="3:20">
      <c r="C2376" s="232"/>
      <c r="E2376" s="232"/>
      <c r="G2376" s="232"/>
      <c r="I2376" s="232"/>
      <c r="K2376" s="232"/>
      <c r="M2376" s="232"/>
      <c r="P2376" s="232"/>
      <c r="R2376" s="232"/>
      <c r="T2376" s="232"/>
    </row>
    <row r="2377" spans="3:20">
      <c r="C2377" s="232"/>
      <c r="E2377" s="232"/>
      <c r="G2377" s="232"/>
      <c r="I2377" s="232"/>
      <c r="K2377" s="232"/>
      <c r="M2377" s="232"/>
      <c r="P2377" s="232"/>
      <c r="R2377" s="232"/>
      <c r="T2377" s="232"/>
    </row>
    <row r="2378" spans="3:20">
      <c r="C2378" s="232"/>
      <c r="E2378" s="232"/>
      <c r="G2378" s="232"/>
      <c r="I2378" s="232"/>
      <c r="K2378" s="232"/>
      <c r="M2378" s="232"/>
      <c r="P2378" s="232"/>
      <c r="R2378" s="232"/>
      <c r="T2378" s="232"/>
    </row>
    <row r="2379" spans="3:20">
      <c r="C2379" s="232"/>
      <c r="E2379" s="232"/>
      <c r="G2379" s="232"/>
      <c r="I2379" s="232"/>
      <c r="K2379" s="232"/>
      <c r="M2379" s="232"/>
      <c r="P2379" s="232"/>
      <c r="R2379" s="232"/>
      <c r="T2379" s="232"/>
    </row>
    <row r="2380" spans="3:20">
      <c r="C2380" s="232"/>
      <c r="E2380" s="232"/>
      <c r="G2380" s="232"/>
      <c r="I2380" s="232"/>
      <c r="K2380" s="232"/>
      <c r="M2380" s="232"/>
      <c r="P2380" s="232"/>
      <c r="R2380" s="232"/>
      <c r="T2380" s="232"/>
    </row>
    <row r="2381" spans="3:20">
      <c r="C2381" s="232"/>
      <c r="E2381" s="232"/>
      <c r="G2381" s="232"/>
      <c r="I2381" s="232"/>
      <c r="K2381" s="232"/>
      <c r="M2381" s="232"/>
      <c r="P2381" s="232"/>
      <c r="R2381" s="232"/>
      <c r="T2381" s="232"/>
    </row>
    <row r="2382" spans="3:20">
      <c r="C2382" s="232"/>
      <c r="E2382" s="232"/>
      <c r="G2382" s="232"/>
      <c r="I2382" s="232"/>
      <c r="K2382" s="232"/>
      <c r="M2382" s="232"/>
      <c r="P2382" s="232"/>
      <c r="R2382" s="232"/>
      <c r="T2382" s="232"/>
    </row>
    <row r="2383" spans="3:20">
      <c r="C2383" s="232"/>
      <c r="E2383" s="232"/>
      <c r="G2383" s="232"/>
      <c r="I2383" s="232"/>
      <c r="K2383" s="232"/>
      <c r="M2383" s="232"/>
      <c r="P2383" s="232"/>
      <c r="R2383" s="232"/>
      <c r="T2383" s="232"/>
    </row>
    <row r="2384" spans="3:20">
      <c r="C2384" s="232"/>
      <c r="E2384" s="232"/>
      <c r="G2384" s="232"/>
      <c r="I2384" s="232"/>
      <c r="K2384" s="232"/>
      <c r="M2384" s="232"/>
      <c r="P2384" s="232"/>
      <c r="R2384" s="232"/>
      <c r="T2384" s="232"/>
    </row>
    <row r="2385" spans="3:20">
      <c r="C2385" s="232"/>
      <c r="E2385" s="232"/>
      <c r="G2385" s="232"/>
      <c r="I2385" s="232"/>
      <c r="K2385" s="232"/>
      <c r="M2385" s="232"/>
      <c r="P2385" s="232"/>
      <c r="R2385" s="232"/>
      <c r="T2385" s="232"/>
    </row>
    <row r="2386" spans="3:20">
      <c r="C2386" s="232"/>
      <c r="E2386" s="232"/>
      <c r="G2386" s="232"/>
      <c r="I2386" s="232"/>
      <c r="K2386" s="232"/>
      <c r="M2386" s="232"/>
      <c r="P2386" s="232"/>
      <c r="R2386" s="232"/>
      <c r="T2386" s="232"/>
    </row>
    <row r="2387" spans="3:20">
      <c r="C2387" s="232"/>
      <c r="E2387" s="232"/>
      <c r="G2387" s="232"/>
      <c r="I2387" s="232"/>
      <c r="K2387" s="232"/>
      <c r="M2387" s="232"/>
      <c r="P2387" s="232"/>
      <c r="R2387" s="232"/>
      <c r="T2387" s="232"/>
    </row>
    <row r="2388" spans="3:20">
      <c r="C2388" s="232"/>
      <c r="E2388" s="232"/>
      <c r="G2388" s="232"/>
      <c r="I2388" s="232"/>
      <c r="K2388" s="232"/>
      <c r="M2388" s="232"/>
      <c r="P2388" s="232"/>
      <c r="R2388" s="232"/>
      <c r="T2388" s="232"/>
    </row>
    <row r="2389" spans="3:20">
      <c r="C2389" s="232"/>
      <c r="E2389" s="232"/>
      <c r="G2389" s="232"/>
      <c r="I2389" s="232"/>
      <c r="K2389" s="232"/>
      <c r="M2389" s="232"/>
      <c r="P2389" s="232"/>
      <c r="R2389" s="232"/>
      <c r="T2389" s="232"/>
    </row>
    <row r="2390" spans="3:20">
      <c r="C2390" s="232"/>
      <c r="E2390" s="232"/>
      <c r="G2390" s="232"/>
      <c r="I2390" s="232"/>
      <c r="K2390" s="232"/>
      <c r="M2390" s="232"/>
      <c r="P2390" s="232"/>
      <c r="R2390" s="232"/>
      <c r="T2390" s="232"/>
    </row>
    <row r="2391" spans="3:20">
      <c r="C2391" s="232"/>
      <c r="E2391" s="232"/>
      <c r="G2391" s="232"/>
      <c r="I2391" s="232"/>
      <c r="K2391" s="232"/>
      <c r="M2391" s="232"/>
      <c r="P2391" s="232"/>
      <c r="R2391" s="232"/>
      <c r="T2391" s="232"/>
    </row>
    <row r="2392" spans="3:20">
      <c r="C2392" s="232"/>
      <c r="E2392" s="232"/>
      <c r="G2392" s="232"/>
      <c r="I2392" s="232"/>
      <c r="K2392" s="232"/>
      <c r="M2392" s="232"/>
      <c r="P2392" s="232"/>
      <c r="R2392" s="232"/>
      <c r="T2392" s="232"/>
    </row>
    <row r="2393" spans="3:20">
      <c r="C2393" s="232"/>
      <c r="E2393" s="232"/>
      <c r="G2393" s="232"/>
      <c r="I2393" s="232"/>
      <c r="K2393" s="232"/>
      <c r="M2393" s="232"/>
      <c r="P2393" s="232"/>
      <c r="R2393" s="232"/>
      <c r="T2393" s="232"/>
    </row>
    <row r="2394" spans="3:20">
      <c r="C2394" s="232"/>
      <c r="E2394" s="232"/>
      <c r="G2394" s="232"/>
      <c r="I2394" s="232"/>
      <c r="K2394" s="232"/>
      <c r="M2394" s="232"/>
      <c r="P2394" s="232"/>
      <c r="R2394" s="232"/>
      <c r="T2394" s="232"/>
    </row>
    <row r="2395" spans="3:20">
      <c r="C2395" s="232"/>
      <c r="E2395" s="232"/>
      <c r="G2395" s="232"/>
      <c r="I2395" s="232"/>
      <c r="K2395" s="232"/>
      <c r="M2395" s="232"/>
      <c r="P2395" s="232"/>
      <c r="R2395" s="232"/>
      <c r="T2395" s="232"/>
    </row>
    <row r="2396" spans="3:20">
      <c r="C2396" s="232"/>
      <c r="E2396" s="232"/>
      <c r="G2396" s="232"/>
      <c r="I2396" s="232"/>
      <c r="K2396" s="232"/>
      <c r="M2396" s="232"/>
      <c r="P2396" s="232"/>
      <c r="R2396" s="232"/>
      <c r="T2396" s="232"/>
    </row>
    <row r="2397" spans="3:20">
      <c r="C2397" s="232"/>
      <c r="E2397" s="232"/>
      <c r="G2397" s="232"/>
      <c r="I2397" s="232"/>
      <c r="K2397" s="232"/>
      <c r="M2397" s="232"/>
      <c r="P2397" s="232"/>
      <c r="R2397" s="232"/>
      <c r="T2397" s="232"/>
    </row>
    <row r="2398" spans="3:20">
      <c r="C2398" s="232"/>
      <c r="E2398" s="232"/>
      <c r="G2398" s="232"/>
      <c r="I2398" s="232"/>
      <c r="K2398" s="232"/>
      <c r="M2398" s="232"/>
      <c r="P2398" s="232"/>
      <c r="R2398" s="232"/>
      <c r="T2398" s="232"/>
    </row>
    <row r="2399" spans="3:20">
      <c r="C2399" s="232"/>
      <c r="E2399" s="232"/>
      <c r="G2399" s="232"/>
      <c r="I2399" s="232"/>
      <c r="K2399" s="232"/>
      <c r="M2399" s="232"/>
      <c r="P2399" s="232"/>
      <c r="R2399" s="232"/>
      <c r="T2399" s="232"/>
    </row>
    <row r="2400" spans="3:20">
      <c r="C2400" s="232"/>
      <c r="E2400" s="232"/>
      <c r="G2400" s="232"/>
      <c r="I2400" s="232"/>
      <c r="K2400" s="232"/>
      <c r="M2400" s="232"/>
      <c r="P2400" s="232"/>
      <c r="R2400" s="232"/>
      <c r="T2400" s="232"/>
    </row>
    <row r="2401" spans="3:20">
      <c r="C2401" s="232"/>
      <c r="E2401" s="232"/>
      <c r="G2401" s="232"/>
      <c r="I2401" s="232"/>
      <c r="K2401" s="232"/>
      <c r="M2401" s="232"/>
      <c r="P2401" s="232"/>
      <c r="R2401" s="232"/>
      <c r="T2401" s="232"/>
    </row>
    <row r="2402" spans="3:20">
      <c r="C2402" s="232"/>
      <c r="E2402" s="232"/>
      <c r="G2402" s="232"/>
      <c r="I2402" s="232"/>
      <c r="K2402" s="232"/>
      <c r="M2402" s="232"/>
      <c r="P2402" s="232"/>
      <c r="R2402" s="232"/>
      <c r="T2402" s="232"/>
    </row>
    <row r="2403" spans="3:20">
      <c r="C2403" s="232"/>
      <c r="E2403" s="232"/>
      <c r="G2403" s="232"/>
      <c r="I2403" s="232"/>
      <c r="K2403" s="232"/>
      <c r="M2403" s="232"/>
      <c r="P2403" s="232"/>
      <c r="R2403" s="232"/>
      <c r="T2403" s="232"/>
    </row>
    <row r="2404" spans="3:20">
      <c r="C2404" s="232"/>
      <c r="E2404" s="232"/>
      <c r="G2404" s="232"/>
      <c r="I2404" s="232"/>
      <c r="K2404" s="232"/>
      <c r="M2404" s="232"/>
      <c r="P2404" s="232"/>
      <c r="R2404" s="232"/>
      <c r="T2404" s="232"/>
    </row>
    <row r="2405" spans="3:20">
      <c r="C2405" s="232"/>
      <c r="E2405" s="232"/>
      <c r="G2405" s="232"/>
      <c r="I2405" s="232"/>
      <c r="K2405" s="232"/>
      <c r="M2405" s="232"/>
      <c r="P2405" s="232"/>
      <c r="R2405" s="232"/>
      <c r="T2405" s="232"/>
    </row>
    <row r="2406" spans="3:20">
      <c r="C2406" s="232"/>
      <c r="E2406" s="232"/>
      <c r="G2406" s="232"/>
      <c r="I2406" s="232"/>
      <c r="K2406" s="232"/>
      <c r="M2406" s="232"/>
      <c r="P2406" s="232"/>
      <c r="R2406" s="232"/>
      <c r="T2406" s="232"/>
    </row>
    <row r="2407" spans="3:20">
      <c r="C2407" s="232"/>
      <c r="E2407" s="232"/>
      <c r="G2407" s="232"/>
      <c r="I2407" s="232"/>
      <c r="K2407" s="232"/>
      <c r="M2407" s="232"/>
      <c r="P2407" s="232"/>
      <c r="R2407" s="232"/>
      <c r="T2407" s="232"/>
    </row>
    <row r="2408" spans="3:20">
      <c r="C2408" s="232"/>
      <c r="E2408" s="232"/>
      <c r="G2408" s="232"/>
      <c r="I2408" s="232"/>
      <c r="K2408" s="232"/>
      <c r="M2408" s="232"/>
      <c r="P2408" s="232"/>
      <c r="R2408" s="232"/>
      <c r="T2408" s="232"/>
    </row>
    <row r="2409" spans="3:20">
      <c r="C2409" s="232"/>
      <c r="E2409" s="232"/>
      <c r="G2409" s="232"/>
      <c r="I2409" s="232"/>
      <c r="K2409" s="232"/>
      <c r="M2409" s="232"/>
      <c r="P2409" s="232"/>
      <c r="R2409" s="232"/>
      <c r="T2409" s="232"/>
    </row>
    <row r="2410" spans="3:20">
      <c r="C2410" s="232"/>
      <c r="E2410" s="232"/>
      <c r="G2410" s="232"/>
      <c r="I2410" s="232"/>
      <c r="K2410" s="232"/>
      <c r="M2410" s="232"/>
      <c r="P2410" s="232"/>
      <c r="R2410" s="232"/>
      <c r="T2410" s="232"/>
    </row>
    <row r="2411" spans="3:20">
      <c r="C2411" s="232"/>
      <c r="E2411" s="232"/>
      <c r="G2411" s="232"/>
      <c r="I2411" s="232"/>
      <c r="K2411" s="232"/>
      <c r="M2411" s="232"/>
      <c r="P2411" s="232"/>
      <c r="R2411" s="232"/>
      <c r="T2411" s="232"/>
    </row>
    <row r="2412" spans="3:20">
      <c r="C2412" s="232"/>
      <c r="E2412" s="232"/>
      <c r="G2412" s="232"/>
      <c r="I2412" s="232"/>
      <c r="K2412" s="232"/>
      <c r="M2412" s="232"/>
      <c r="P2412" s="232"/>
      <c r="R2412" s="232"/>
      <c r="T2412" s="232"/>
    </row>
    <row r="2413" spans="3:20">
      <c r="C2413" s="232"/>
      <c r="E2413" s="232"/>
      <c r="G2413" s="232"/>
      <c r="I2413" s="232"/>
      <c r="K2413" s="232"/>
      <c r="M2413" s="232"/>
      <c r="P2413" s="232"/>
      <c r="R2413" s="232"/>
      <c r="T2413" s="232"/>
    </row>
    <row r="2414" spans="3:20">
      <c r="C2414" s="232"/>
      <c r="E2414" s="232"/>
      <c r="G2414" s="232"/>
      <c r="I2414" s="232"/>
      <c r="K2414" s="232"/>
      <c r="M2414" s="232"/>
      <c r="P2414" s="232"/>
      <c r="R2414" s="232"/>
      <c r="T2414" s="232"/>
    </row>
    <row r="2415" spans="3:20">
      <c r="C2415" s="232"/>
      <c r="E2415" s="232"/>
      <c r="G2415" s="232"/>
      <c r="I2415" s="232"/>
      <c r="K2415" s="232"/>
      <c r="M2415" s="232"/>
      <c r="P2415" s="232"/>
      <c r="R2415" s="232"/>
      <c r="T2415" s="232"/>
    </row>
    <row r="2416" spans="3:20">
      <c r="C2416" s="232"/>
      <c r="E2416" s="232"/>
      <c r="G2416" s="232"/>
      <c r="I2416" s="232"/>
      <c r="K2416" s="232"/>
      <c r="M2416" s="232"/>
      <c r="P2416" s="232"/>
      <c r="R2416" s="232"/>
      <c r="T2416" s="232"/>
    </row>
    <row r="2417" spans="3:20">
      <c r="C2417" s="232"/>
      <c r="E2417" s="232"/>
      <c r="G2417" s="232"/>
      <c r="I2417" s="232"/>
      <c r="K2417" s="232"/>
      <c r="M2417" s="232"/>
      <c r="P2417" s="232"/>
      <c r="R2417" s="232"/>
      <c r="T2417" s="232"/>
    </row>
    <row r="2418" spans="3:20">
      <c r="C2418" s="232"/>
      <c r="E2418" s="232"/>
      <c r="G2418" s="232"/>
      <c r="I2418" s="232"/>
      <c r="K2418" s="232"/>
      <c r="M2418" s="232"/>
      <c r="P2418" s="232"/>
      <c r="R2418" s="232"/>
      <c r="T2418" s="232"/>
    </row>
    <row r="2419" spans="3:20">
      <c r="C2419" s="232"/>
      <c r="E2419" s="232"/>
      <c r="G2419" s="232"/>
      <c r="I2419" s="232"/>
      <c r="K2419" s="232"/>
      <c r="M2419" s="232"/>
      <c r="P2419" s="232"/>
      <c r="R2419" s="232"/>
      <c r="T2419" s="232"/>
    </row>
    <row r="2420" spans="3:20">
      <c r="C2420" s="232"/>
      <c r="E2420" s="232"/>
      <c r="G2420" s="232"/>
      <c r="I2420" s="232"/>
      <c r="K2420" s="232"/>
      <c r="M2420" s="232"/>
      <c r="P2420" s="232"/>
      <c r="R2420" s="232"/>
      <c r="T2420" s="232"/>
    </row>
    <row r="2421" spans="3:20">
      <c r="C2421" s="232"/>
      <c r="E2421" s="232"/>
      <c r="G2421" s="232"/>
      <c r="I2421" s="232"/>
      <c r="K2421" s="232"/>
      <c r="M2421" s="232"/>
      <c r="P2421" s="232"/>
      <c r="R2421" s="232"/>
      <c r="T2421" s="232"/>
    </row>
    <row r="2422" spans="3:20">
      <c r="C2422" s="232"/>
      <c r="E2422" s="232"/>
      <c r="G2422" s="232"/>
      <c r="I2422" s="232"/>
      <c r="K2422" s="232"/>
      <c r="M2422" s="232"/>
      <c r="P2422" s="232"/>
      <c r="R2422" s="232"/>
      <c r="T2422" s="232"/>
    </row>
    <row r="2423" spans="3:20">
      <c r="C2423" s="232"/>
      <c r="E2423" s="232"/>
      <c r="G2423" s="232"/>
      <c r="I2423" s="232"/>
      <c r="K2423" s="232"/>
      <c r="M2423" s="232"/>
      <c r="P2423" s="232"/>
      <c r="R2423" s="232"/>
      <c r="T2423" s="232"/>
    </row>
    <row r="2424" spans="3:20">
      <c r="C2424" s="232"/>
      <c r="E2424" s="232"/>
      <c r="G2424" s="232"/>
      <c r="I2424" s="232"/>
      <c r="K2424" s="232"/>
      <c r="M2424" s="232"/>
      <c r="P2424" s="232"/>
      <c r="R2424" s="232"/>
      <c r="T2424" s="232"/>
    </row>
    <row r="2425" spans="3:20">
      <c r="C2425" s="232"/>
      <c r="E2425" s="232"/>
      <c r="G2425" s="232"/>
      <c r="I2425" s="232"/>
      <c r="K2425" s="232"/>
      <c r="M2425" s="232"/>
      <c r="P2425" s="232"/>
      <c r="R2425" s="232"/>
      <c r="T2425" s="232"/>
    </row>
    <row r="2426" spans="3:20">
      <c r="C2426" s="232"/>
      <c r="E2426" s="232"/>
      <c r="G2426" s="232"/>
      <c r="I2426" s="232"/>
      <c r="K2426" s="232"/>
      <c r="M2426" s="232"/>
      <c r="P2426" s="232"/>
      <c r="R2426" s="232"/>
      <c r="T2426" s="232"/>
    </row>
    <row r="2427" spans="3:20">
      <c r="C2427" s="232"/>
      <c r="E2427" s="232"/>
      <c r="G2427" s="232"/>
      <c r="I2427" s="232"/>
      <c r="K2427" s="232"/>
      <c r="M2427" s="232"/>
      <c r="P2427" s="232"/>
      <c r="R2427" s="232"/>
      <c r="T2427" s="232"/>
    </row>
    <row r="2428" spans="3:20">
      <c r="C2428" s="232"/>
      <c r="E2428" s="232"/>
      <c r="G2428" s="232"/>
      <c r="I2428" s="232"/>
      <c r="K2428" s="232"/>
      <c r="M2428" s="232"/>
      <c r="P2428" s="232"/>
      <c r="R2428" s="232"/>
      <c r="T2428" s="232"/>
    </row>
    <row r="2429" spans="3:20">
      <c r="C2429" s="232"/>
      <c r="E2429" s="232"/>
      <c r="G2429" s="232"/>
      <c r="I2429" s="232"/>
      <c r="K2429" s="232"/>
      <c r="M2429" s="232"/>
      <c r="P2429" s="232"/>
      <c r="R2429" s="232"/>
      <c r="T2429" s="232"/>
    </row>
    <row r="2430" spans="3:20">
      <c r="C2430" s="232"/>
      <c r="E2430" s="232"/>
      <c r="G2430" s="232"/>
      <c r="I2430" s="232"/>
      <c r="K2430" s="232"/>
      <c r="M2430" s="232"/>
      <c r="P2430" s="232"/>
      <c r="R2430" s="232"/>
      <c r="T2430" s="232"/>
    </row>
    <row r="2431" spans="3:20">
      <c r="C2431" s="232"/>
      <c r="E2431" s="232"/>
      <c r="G2431" s="232"/>
      <c r="I2431" s="232"/>
      <c r="K2431" s="232"/>
      <c r="M2431" s="232"/>
      <c r="P2431" s="232"/>
      <c r="R2431" s="232"/>
      <c r="T2431" s="232"/>
    </row>
    <row r="2432" spans="3:20">
      <c r="C2432" s="232"/>
      <c r="E2432" s="232"/>
      <c r="G2432" s="232"/>
      <c r="I2432" s="232"/>
      <c r="K2432" s="232"/>
      <c r="M2432" s="232"/>
      <c r="P2432" s="232"/>
      <c r="R2432" s="232"/>
      <c r="T2432" s="232"/>
    </row>
    <row r="2433" spans="3:20">
      <c r="C2433" s="232"/>
      <c r="E2433" s="232"/>
      <c r="G2433" s="232"/>
      <c r="I2433" s="232"/>
      <c r="K2433" s="232"/>
      <c r="M2433" s="232"/>
      <c r="P2433" s="232"/>
      <c r="R2433" s="232"/>
      <c r="T2433" s="232"/>
    </row>
    <row r="2434" spans="3:20">
      <c r="C2434" s="232"/>
      <c r="E2434" s="232"/>
      <c r="G2434" s="232"/>
      <c r="I2434" s="232"/>
      <c r="K2434" s="232"/>
      <c r="M2434" s="232"/>
      <c r="P2434" s="232"/>
      <c r="R2434" s="232"/>
      <c r="T2434" s="232"/>
    </row>
    <row r="2435" spans="3:20">
      <c r="C2435" s="232"/>
      <c r="E2435" s="232"/>
      <c r="G2435" s="232"/>
      <c r="I2435" s="232"/>
      <c r="K2435" s="232"/>
      <c r="M2435" s="232"/>
      <c r="P2435" s="232"/>
      <c r="R2435" s="232"/>
      <c r="T2435" s="232"/>
    </row>
    <row r="2436" spans="3:20">
      <c r="C2436" s="232"/>
      <c r="E2436" s="232"/>
      <c r="G2436" s="232"/>
      <c r="I2436" s="232"/>
      <c r="K2436" s="232"/>
      <c r="M2436" s="232"/>
      <c r="P2436" s="232"/>
      <c r="R2436" s="232"/>
      <c r="T2436" s="232"/>
    </row>
    <row r="2437" spans="3:20">
      <c r="C2437" s="232"/>
      <c r="E2437" s="232"/>
      <c r="G2437" s="232"/>
      <c r="I2437" s="232"/>
      <c r="K2437" s="232"/>
      <c r="M2437" s="232"/>
      <c r="P2437" s="232"/>
      <c r="R2437" s="232"/>
      <c r="T2437" s="232"/>
    </row>
    <row r="2438" spans="3:20">
      <c r="C2438" s="232"/>
      <c r="E2438" s="232"/>
      <c r="G2438" s="232"/>
      <c r="I2438" s="232"/>
      <c r="K2438" s="232"/>
      <c r="M2438" s="232"/>
      <c r="P2438" s="232"/>
      <c r="R2438" s="232"/>
      <c r="T2438" s="232"/>
    </row>
    <row r="2439" spans="3:20">
      <c r="C2439" s="232"/>
      <c r="E2439" s="232"/>
      <c r="G2439" s="232"/>
      <c r="I2439" s="232"/>
      <c r="K2439" s="232"/>
      <c r="M2439" s="232"/>
      <c r="P2439" s="232"/>
      <c r="R2439" s="232"/>
      <c r="T2439" s="232"/>
    </row>
    <row r="2440" spans="3:20">
      <c r="C2440" s="232"/>
      <c r="E2440" s="232"/>
      <c r="G2440" s="232"/>
      <c r="I2440" s="232"/>
      <c r="K2440" s="232"/>
      <c r="M2440" s="232"/>
      <c r="P2440" s="232"/>
      <c r="R2440" s="232"/>
      <c r="T2440" s="232"/>
    </row>
    <row r="2441" spans="3:20">
      <c r="C2441" s="232"/>
      <c r="E2441" s="232"/>
      <c r="G2441" s="232"/>
      <c r="I2441" s="232"/>
      <c r="K2441" s="232"/>
      <c r="M2441" s="232"/>
      <c r="P2441" s="232"/>
      <c r="R2441" s="232"/>
      <c r="T2441" s="232"/>
    </row>
    <row r="2442" spans="3:20">
      <c r="C2442" s="232"/>
      <c r="E2442" s="232"/>
      <c r="G2442" s="232"/>
      <c r="I2442" s="232"/>
      <c r="K2442" s="232"/>
      <c r="M2442" s="232"/>
      <c r="P2442" s="232"/>
      <c r="R2442" s="232"/>
      <c r="T2442" s="232"/>
    </row>
    <row r="2443" spans="3:20">
      <c r="C2443" s="232"/>
      <c r="E2443" s="232"/>
      <c r="G2443" s="232"/>
      <c r="I2443" s="232"/>
      <c r="K2443" s="232"/>
      <c r="M2443" s="232"/>
      <c r="P2443" s="232"/>
      <c r="R2443" s="232"/>
      <c r="T2443" s="232"/>
    </row>
    <row r="2444" spans="3:20">
      <c r="C2444" s="232"/>
      <c r="E2444" s="232"/>
      <c r="G2444" s="232"/>
      <c r="I2444" s="232"/>
      <c r="K2444" s="232"/>
      <c r="M2444" s="232"/>
      <c r="P2444" s="232"/>
      <c r="R2444" s="232"/>
      <c r="T2444" s="232"/>
    </row>
    <row r="2445" spans="3:20">
      <c r="C2445" s="232"/>
      <c r="E2445" s="232"/>
      <c r="G2445" s="232"/>
      <c r="I2445" s="232"/>
      <c r="K2445" s="232"/>
      <c r="M2445" s="232"/>
      <c r="P2445" s="232"/>
      <c r="R2445" s="232"/>
      <c r="T2445" s="232"/>
    </row>
    <row r="2446" spans="3:20">
      <c r="C2446" s="232"/>
      <c r="E2446" s="232"/>
      <c r="G2446" s="232"/>
      <c r="I2446" s="232"/>
      <c r="K2446" s="232"/>
      <c r="M2446" s="232"/>
      <c r="P2446" s="232"/>
      <c r="R2446" s="232"/>
      <c r="T2446" s="232"/>
    </row>
    <row r="2447" spans="3:20">
      <c r="C2447" s="232"/>
      <c r="E2447" s="232"/>
      <c r="G2447" s="232"/>
      <c r="I2447" s="232"/>
      <c r="K2447" s="232"/>
      <c r="M2447" s="232"/>
      <c r="P2447" s="232"/>
      <c r="R2447" s="232"/>
      <c r="T2447" s="232"/>
    </row>
    <row r="2448" spans="3:20">
      <c r="C2448" s="232"/>
      <c r="E2448" s="232"/>
      <c r="G2448" s="232"/>
      <c r="I2448" s="232"/>
      <c r="K2448" s="232"/>
      <c r="M2448" s="232"/>
      <c r="P2448" s="232"/>
      <c r="R2448" s="232"/>
      <c r="T2448" s="232"/>
    </row>
    <row r="2449" spans="3:20">
      <c r="C2449" s="232"/>
      <c r="E2449" s="232"/>
      <c r="G2449" s="232"/>
      <c r="I2449" s="232"/>
      <c r="K2449" s="232"/>
      <c r="M2449" s="232"/>
      <c r="P2449" s="232"/>
      <c r="R2449" s="232"/>
      <c r="T2449" s="232"/>
    </row>
    <row r="2450" spans="3:20">
      <c r="C2450" s="232"/>
      <c r="E2450" s="232"/>
      <c r="G2450" s="232"/>
      <c r="I2450" s="232"/>
      <c r="K2450" s="232"/>
      <c r="M2450" s="232"/>
      <c r="P2450" s="232"/>
      <c r="R2450" s="232"/>
      <c r="T2450" s="232"/>
    </row>
    <row r="2451" spans="3:20">
      <c r="C2451" s="232"/>
      <c r="E2451" s="232"/>
      <c r="G2451" s="232"/>
      <c r="I2451" s="232"/>
      <c r="K2451" s="232"/>
      <c r="M2451" s="232"/>
      <c r="P2451" s="232"/>
      <c r="R2451" s="232"/>
      <c r="T2451" s="232"/>
    </row>
    <row r="2452" spans="3:20">
      <c r="C2452" s="232"/>
      <c r="E2452" s="232"/>
      <c r="G2452" s="232"/>
      <c r="I2452" s="232"/>
      <c r="K2452" s="232"/>
      <c r="M2452" s="232"/>
      <c r="P2452" s="232"/>
      <c r="R2452" s="232"/>
      <c r="T2452" s="232"/>
    </row>
    <row r="2453" spans="3:20">
      <c r="C2453" s="232"/>
      <c r="E2453" s="232"/>
      <c r="G2453" s="232"/>
      <c r="I2453" s="232"/>
      <c r="K2453" s="232"/>
      <c r="M2453" s="232"/>
      <c r="P2453" s="232"/>
      <c r="R2453" s="232"/>
      <c r="T2453" s="232"/>
    </row>
    <row r="2454" spans="3:20">
      <c r="C2454" s="232"/>
      <c r="E2454" s="232"/>
      <c r="G2454" s="232"/>
      <c r="I2454" s="232"/>
      <c r="K2454" s="232"/>
      <c r="M2454" s="232"/>
      <c r="P2454" s="232"/>
      <c r="R2454" s="232"/>
      <c r="T2454" s="232"/>
    </row>
    <row r="2455" spans="3:20">
      <c r="C2455" s="232"/>
      <c r="E2455" s="232"/>
      <c r="G2455" s="232"/>
      <c r="I2455" s="232"/>
      <c r="K2455" s="232"/>
      <c r="M2455" s="232"/>
      <c r="P2455" s="232"/>
      <c r="R2455" s="232"/>
      <c r="T2455" s="232"/>
    </row>
    <row r="2456" spans="3:20">
      <c r="C2456" s="232"/>
      <c r="E2456" s="232"/>
      <c r="G2456" s="232"/>
      <c r="I2456" s="232"/>
      <c r="K2456" s="232"/>
      <c r="M2456" s="232"/>
      <c r="P2456" s="232"/>
      <c r="R2456" s="232"/>
      <c r="T2456" s="232"/>
    </row>
    <row r="2457" spans="3:20">
      <c r="C2457" s="232"/>
      <c r="E2457" s="232"/>
      <c r="G2457" s="232"/>
      <c r="I2457" s="232"/>
      <c r="K2457" s="232"/>
      <c r="M2457" s="232"/>
      <c r="P2457" s="232"/>
      <c r="R2457" s="232"/>
      <c r="T2457" s="232"/>
    </row>
    <row r="2458" spans="3:20">
      <c r="C2458" s="232"/>
      <c r="E2458" s="232"/>
      <c r="G2458" s="232"/>
      <c r="I2458" s="232"/>
      <c r="K2458" s="232"/>
      <c r="M2458" s="232"/>
      <c r="P2458" s="232"/>
      <c r="R2458" s="232"/>
      <c r="T2458" s="232"/>
    </row>
    <row r="2459" spans="3:20">
      <c r="C2459" s="232"/>
      <c r="E2459" s="232"/>
      <c r="G2459" s="232"/>
      <c r="I2459" s="232"/>
      <c r="K2459" s="232"/>
      <c r="M2459" s="232"/>
      <c r="P2459" s="232"/>
      <c r="R2459" s="232"/>
      <c r="T2459" s="232"/>
    </row>
    <row r="2460" spans="3:20">
      <c r="C2460" s="232"/>
      <c r="E2460" s="232"/>
      <c r="G2460" s="232"/>
      <c r="I2460" s="232"/>
      <c r="K2460" s="232"/>
      <c r="M2460" s="232"/>
      <c r="P2460" s="232"/>
      <c r="R2460" s="232"/>
      <c r="T2460" s="232"/>
    </row>
    <row r="2461" spans="3:20">
      <c r="C2461" s="232"/>
      <c r="E2461" s="232"/>
      <c r="G2461" s="232"/>
      <c r="I2461" s="232"/>
      <c r="K2461" s="232"/>
      <c r="M2461" s="232"/>
      <c r="P2461" s="232"/>
      <c r="R2461" s="232"/>
      <c r="T2461" s="232"/>
    </row>
    <row r="2462" spans="3:20">
      <c r="C2462" s="232"/>
      <c r="E2462" s="232"/>
      <c r="G2462" s="232"/>
      <c r="I2462" s="232"/>
      <c r="K2462" s="232"/>
      <c r="M2462" s="232"/>
      <c r="P2462" s="232"/>
      <c r="R2462" s="232"/>
      <c r="T2462" s="232"/>
    </row>
    <row r="2463" spans="3:20">
      <c r="C2463" s="232"/>
      <c r="E2463" s="232"/>
      <c r="G2463" s="232"/>
      <c r="I2463" s="232"/>
      <c r="K2463" s="232"/>
      <c r="M2463" s="232"/>
      <c r="P2463" s="232"/>
      <c r="R2463" s="232"/>
      <c r="T2463" s="232"/>
    </row>
    <row r="2464" spans="3:20">
      <c r="C2464" s="232"/>
      <c r="E2464" s="232"/>
      <c r="G2464" s="232"/>
      <c r="I2464" s="232"/>
      <c r="K2464" s="232"/>
      <c r="M2464" s="232"/>
      <c r="P2464" s="232"/>
      <c r="R2464" s="232"/>
      <c r="T2464" s="232"/>
    </row>
    <row r="2465" spans="3:20">
      <c r="C2465" s="232"/>
      <c r="E2465" s="232"/>
      <c r="G2465" s="232"/>
      <c r="I2465" s="232"/>
      <c r="K2465" s="232"/>
      <c r="M2465" s="232"/>
      <c r="P2465" s="232"/>
      <c r="R2465" s="232"/>
      <c r="T2465" s="232"/>
    </row>
    <row r="2466" spans="3:20">
      <c r="C2466" s="232"/>
      <c r="E2466" s="232"/>
      <c r="G2466" s="232"/>
      <c r="I2466" s="232"/>
      <c r="K2466" s="232"/>
      <c r="M2466" s="232"/>
      <c r="P2466" s="232"/>
      <c r="R2466" s="232"/>
      <c r="T2466" s="232"/>
    </row>
    <row r="2467" spans="3:20">
      <c r="C2467" s="232"/>
      <c r="E2467" s="232"/>
      <c r="G2467" s="232"/>
      <c r="I2467" s="232"/>
      <c r="K2467" s="232"/>
      <c r="M2467" s="232"/>
      <c r="P2467" s="232"/>
      <c r="R2467" s="232"/>
      <c r="T2467" s="232"/>
    </row>
    <row r="2468" spans="3:20">
      <c r="C2468" s="232"/>
      <c r="E2468" s="232"/>
      <c r="G2468" s="232"/>
      <c r="I2468" s="232"/>
      <c r="K2468" s="232"/>
      <c r="M2468" s="232"/>
      <c r="P2468" s="232"/>
      <c r="R2468" s="232"/>
      <c r="T2468" s="232"/>
    </row>
    <row r="2469" spans="3:20">
      <c r="C2469" s="232"/>
      <c r="E2469" s="232"/>
      <c r="G2469" s="232"/>
      <c r="I2469" s="232"/>
      <c r="K2469" s="232"/>
      <c r="M2469" s="232"/>
      <c r="P2469" s="232"/>
      <c r="R2469" s="232"/>
      <c r="T2469" s="232"/>
    </row>
    <row r="2470" spans="3:20">
      <c r="C2470" s="232"/>
      <c r="E2470" s="232"/>
      <c r="G2470" s="232"/>
      <c r="I2470" s="232"/>
      <c r="K2470" s="232"/>
      <c r="M2470" s="232"/>
      <c r="P2470" s="232"/>
      <c r="R2470" s="232"/>
      <c r="T2470" s="232"/>
    </row>
    <row r="2471" spans="3:20">
      <c r="C2471" s="232"/>
      <c r="E2471" s="232"/>
      <c r="G2471" s="232"/>
      <c r="I2471" s="232"/>
      <c r="K2471" s="232"/>
      <c r="M2471" s="232"/>
      <c r="P2471" s="232"/>
      <c r="R2471" s="232"/>
      <c r="T2471" s="232"/>
    </row>
    <row r="2472" spans="3:20">
      <c r="C2472" s="232"/>
      <c r="E2472" s="232"/>
      <c r="G2472" s="232"/>
      <c r="I2472" s="232"/>
      <c r="K2472" s="232"/>
      <c r="M2472" s="232"/>
      <c r="P2472" s="232"/>
      <c r="R2472" s="232"/>
      <c r="T2472" s="232"/>
    </row>
    <row r="2473" spans="3:20">
      <c r="C2473" s="232"/>
      <c r="E2473" s="232"/>
      <c r="G2473" s="232"/>
      <c r="I2473" s="232"/>
      <c r="K2473" s="232"/>
      <c r="M2473" s="232"/>
      <c r="P2473" s="232"/>
      <c r="R2473" s="232"/>
      <c r="T2473" s="232"/>
    </row>
    <row r="2474" spans="3:20">
      <c r="C2474" s="232"/>
      <c r="E2474" s="232"/>
      <c r="G2474" s="232"/>
      <c r="I2474" s="232"/>
      <c r="K2474" s="232"/>
      <c r="M2474" s="232"/>
      <c r="P2474" s="232"/>
      <c r="R2474" s="232"/>
      <c r="T2474" s="232"/>
    </row>
    <row r="2475" spans="3:20">
      <c r="C2475" s="232"/>
      <c r="E2475" s="232"/>
      <c r="G2475" s="232"/>
      <c r="I2475" s="232"/>
      <c r="K2475" s="232"/>
      <c r="M2475" s="232"/>
      <c r="P2475" s="232"/>
      <c r="R2475" s="232"/>
      <c r="T2475" s="232"/>
    </row>
    <row r="2476" spans="3:20">
      <c r="C2476" s="232"/>
      <c r="E2476" s="232"/>
      <c r="G2476" s="232"/>
      <c r="I2476" s="232"/>
      <c r="K2476" s="232"/>
      <c r="M2476" s="232"/>
      <c r="P2476" s="232"/>
      <c r="R2476" s="232"/>
      <c r="T2476" s="232"/>
    </row>
    <row r="2477" spans="3:20">
      <c r="C2477" s="232"/>
      <c r="E2477" s="232"/>
      <c r="G2477" s="232"/>
      <c r="I2477" s="232"/>
      <c r="K2477" s="232"/>
      <c r="M2477" s="232"/>
      <c r="P2477" s="232"/>
      <c r="R2477" s="232"/>
      <c r="T2477" s="232"/>
    </row>
    <row r="2478" spans="3:20">
      <c r="C2478" s="232"/>
      <c r="E2478" s="232"/>
      <c r="G2478" s="232"/>
      <c r="I2478" s="232"/>
      <c r="K2478" s="232"/>
      <c r="M2478" s="232"/>
      <c r="P2478" s="232"/>
      <c r="R2478" s="232"/>
      <c r="T2478" s="232"/>
    </row>
    <row r="2479" spans="3:20">
      <c r="C2479" s="232"/>
      <c r="E2479" s="232"/>
      <c r="G2479" s="232"/>
      <c r="I2479" s="232"/>
      <c r="K2479" s="232"/>
      <c r="M2479" s="232"/>
      <c r="P2479" s="232"/>
      <c r="R2479" s="232"/>
      <c r="T2479" s="232"/>
    </row>
    <row r="2480" spans="3:20">
      <c r="C2480" s="232"/>
      <c r="E2480" s="232"/>
      <c r="G2480" s="232"/>
      <c r="I2480" s="232"/>
      <c r="K2480" s="232"/>
      <c r="M2480" s="232"/>
      <c r="P2480" s="232"/>
      <c r="R2480" s="232"/>
      <c r="T2480" s="232"/>
    </row>
    <row r="2481" spans="3:20">
      <c r="C2481" s="232"/>
      <c r="E2481" s="232"/>
      <c r="G2481" s="232"/>
      <c r="I2481" s="232"/>
      <c r="K2481" s="232"/>
      <c r="M2481" s="232"/>
      <c r="P2481" s="232"/>
      <c r="R2481" s="232"/>
      <c r="T2481" s="232"/>
    </row>
    <row r="2482" spans="3:20">
      <c r="C2482" s="232"/>
      <c r="E2482" s="232"/>
      <c r="G2482" s="232"/>
      <c r="I2482" s="232"/>
      <c r="K2482" s="232"/>
      <c r="M2482" s="232"/>
      <c r="P2482" s="232"/>
      <c r="R2482" s="232"/>
      <c r="T2482" s="232"/>
    </row>
    <row r="2483" spans="3:20">
      <c r="C2483" s="232"/>
      <c r="E2483" s="232"/>
      <c r="G2483" s="232"/>
      <c r="I2483" s="232"/>
      <c r="K2483" s="232"/>
      <c r="M2483" s="232"/>
      <c r="P2483" s="232"/>
      <c r="R2483" s="232"/>
      <c r="T2483" s="232"/>
    </row>
    <row r="2484" spans="3:20">
      <c r="C2484" s="232"/>
      <c r="E2484" s="232"/>
      <c r="G2484" s="232"/>
      <c r="I2484" s="232"/>
      <c r="K2484" s="232"/>
      <c r="M2484" s="232"/>
      <c r="P2484" s="232"/>
      <c r="R2484" s="232"/>
      <c r="T2484" s="232"/>
    </row>
    <row r="2485" spans="3:20">
      <c r="C2485" s="232"/>
      <c r="E2485" s="232"/>
      <c r="G2485" s="232"/>
      <c r="I2485" s="232"/>
      <c r="K2485" s="232"/>
      <c r="M2485" s="232"/>
      <c r="P2485" s="232"/>
      <c r="R2485" s="232"/>
      <c r="T2485" s="232"/>
    </row>
    <row r="2486" spans="3:20">
      <c r="C2486" s="232"/>
      <c r="E2486" s="232"/>
      <c r="G2486" s="232"/>
      <c r="I2486" s="232"/>
      <c r="K2486" s="232"/>
      <c r="M2486" s="232"/>
      <c r="P2486" s="232"/>
      <c r="R2486" s="232"/>
      <c r="T2486" s="232"/>
    </row>
    <row r="2487" spans="3:20">
      <c r="C2487" s="232"/>
      <c r="E2487" s="232"/>
      <c r="G2487" s="232"/>
      <c r="I2487" s="232"/>
      <c r="K2487" s="232"/>
      <c r="M2487" s="232"/>
      <c r="P2487" s="232"/>
      <c r="R2487" s="232"/>
      <c r="T2487" s="232"/>
    </row>
    <row r="2488" spans="3:20">
      <c r="C2488" s="232"/>
      <c r="E2488" s="232"/>
      <c r="G2488" s="232"/>
      <c r="I2488" s="232"/>
      <c r="K2488" s="232"/>
      <c r="M2488" s="232"/>
      <c r="P2488" s="232"/>
      <c r="R2488" s="232"/>
      <c r="T2488" s="232"/>
    </row>
    <row r="2489" spans="3:20">
      <c r="C2489" s="232"/>
      <c r="E2489" s="232"/>
      <c r="G2489" s="232"/>
      <c r="I2489" s="232"/>
      <c r="K2489" s="232"/>
      <c r="M2489" s="232"/>
      <c r="P2489" s="232"/>
      <c r="R2489" s="232"/>
      <c r="T2489" s="232"/>
    </row>
    <row r="2490" spans="3:20">
      <c r="C2490" s="232"/>
      <c r="E2490" s="232"/>
      <c r="G2490" s="232"/>
      <c r="I2490" s="232"/>
      <c r="K2490" s="232"/>
      <c r="M2490" s="232"/>
      <c r="P2490" s="232"/>
      <c r="R2490" s="232"/>
      <c r="T2490" s="232"/>
    </row>
    <row r="2491" spans="3:20">
      <c r="C2491" s="232"/>
      <c r="E2491" s="232"/>
      <c r="G2491" s="232"/>
      <c r="I2491" s="232"/>
      <c r="K2491" s="232"/>
      <c r="M2491" s="232"/>
      <c r="P2491" s="232"/>
      <c r="R2491" s="232"/>
      <c r="T2491" s="232"/>
    </row>
    <row r="2492" spans="3:20">
      <c r="C2492" s="232"/>
      <c r="E2492" s="232"/>
      <c r="G2492" s="232"/>
      <c r="I2492" s="232"/>
      <c r="K2492" s="232"/>
      <c r="M2492" s="232"/>
      <c r="P2492" s="232"/>
      <c r="R2492" s="232"/>
      <c r="T2492" s="232"/>
    </row>
    <row r="2493" spans="3:20">
      <c r="C2493" s="232"/>
      <c r="E2493" s="232"/>
      <c r="G2493" s="232"/>
      <c r="I2493" s="232"/>
      <c r="K2493" s="232"/>
      <c r="M2493" s="232"/>
      <c r="P2493" s="232"/>
      <c r="R2493" s="232"/>
      <c r="T2493" s="232"/>
    </row>
    <row r="2494" spans="3:20">
      <c r="C2494" s="232"/>
      <c r="E2494" s="232"/>
      <c r="G2494" s="232"/>
      <c r="I2494" s="232"/>
      <c r="K2494" s="232"/>
      <c r="M2494" s="232"/>
      <c r="P2494" s="232"/>
      <c r="R2494" s="232"/>
      <c r="T2494" s="232"/>
    </row>
    <row r="2495" spans="3:20">
      <c r="C2495" s="232"/>
      <c r="E2495" s="232"/>
      <c r="G2495" s="232"/>
      <c r="I2495" s="232"/>
      <c r="K2495" s="232"/>
      <c r="M2495" s="232"/>
      <c r="P2495" s="232"/>
      <c r="R2495" s="232"/>
      <c r="T2495" s="232"/>
    </row>
    <row r="2496" spans="3:20">
      <c r="C2496" s="232"/>
      <c r="E2496" s="232"/>
      <c r="G2496" s="232"/>
      <c r="I2496" s="232"/>
      <c r="K2496" s="232"/>
      <c r="M2496" s="232"/>
      <c r="P2496" s="232"/>
      <c r="R2496" s="232"/>
      <c r="T2496" s="232"/>
    </row>
    <row r="2497" spans="3:20">
      <c r="C2497" s="232"/>
      <c r="E2497" s="232"/>
      <c r="G2497" s="232"/>
      <c r="I2497" s="232"/>
      <c r="K2497" s="232"/>
      <c r="M2497" s="232"/>
      <c r="P2497" s="232"/>
      <c r="R2497" s="232"/>
      <c r="T2497" s="232"/>
    </row>
    <row r="2498" spans="3:20">
      <c r="C2498" s="232"/>
      <c r="E2498" s="232"/>
      <c r="G2498" s="232"/>
      <c r="I2498" s="232"/>
      <c r="K2498" s="232"/>
      <c r="M2498" s="232"/>
      <c r="P2498" s="232"/>
      <c r="R2498" s="232"/>
      <c r="T2498" s="232"/>
    </row>
    <row r="2499" spans="3:20">
      <c r="C2499" s="232"/>
      <c r="E2499" s="232"/>
      <c r="G2499" s="232"/>
      <c r="I2499" s="232"/>
      <c r="K2499" s="232"/>
      <c r="M2499" s="232"/>
      <c r="P2499" s="232"/>
      <c r="R2499" s="232"/>
      <c r="T2499" s="232"/>
    </row>
    <row r="2500" spans="3:20">
      <c r="C2500" s="232"/>
      <c r="E2500" s="232"/>
      <c r="G2500" s="232"/>
      <c r="I2500" s="232"/>
      <c r="K2500" s="232"/>
      <c r="M2500" s="232"/>
      <c r="P2500" s="232"/>
      <c r="R2500" s="232"/>
      <c r="T2500" s="232"/>
    </row>
    <row r="2501" spans="3:20">
      <c r="C2501" s="232"/>
      <c r="E2501" s="232"/>
      <c r="G2501" s="232"/>
      <c r="I2501" s="232"/>
      <c r="K2501" s="232"/>
      <c r="M2501" s="232"/>
      <c r="P2501" s="232"/>
      <c r="R2501" s="232"/>
      <c r="T2501" s="232"/>
    </row>
    <row r="2502" spans="3:20">
      <c r="C2502" s="232"/>
      <c r="E2502" s="232"/>
      <c r="G2502" s="232"/>
      <c r="I2502" s="232"/>
      <c r="K2502" s="232"/>
      <c r="M2502" s="232"/>
      <c r="P2502" s="232"/>
      <c r="R2502" s="232"/>
      <c r="T2502" s="232"/>
    </row>
    <row r="2503" spans="3:20">
      <c r="C2503" s="232"/>
      <c r="E2503" s="232"/>
      <c r="G2503" s="232"/>
      <c r="I2503" s="232"/>
      <c r="K2503" s="232"/>
      <c r="M2503" s="232"/>
      <c r="P2503" s="232"/>
      <c r="R2503" s="232"/>
      <c r="T2503" s="232"/>
    </row>
    <row r="2504" spans="3:20">
      <c r="C2504" s="232"/>
      <c r="E2504" s="232"/>
      <c r="G2504" s="232"/>
      <c r="I2504" s="232"/>
      <c r="K2504" s="232"/>
      <c r="M2504" s="232"/>
      <c r="P2504" s="232"/>
      <c r="R2504" s="232"/>
      <c r="T2504" s="232"/>
    </row>
    <row r="2505" spans="3:20">
      <c r="C2505" s="232"/>
      <c r="E2505" s="232"/>
      <c r="G2505" s="232"/>
      <c r="I2505" s="232"/>
      <c r="K2505" s="232"/>
      <c r="M2505" s="232"/>
      <c r="P2505" s="232"/>
      <c r="R2505" s="232"/>
      <c r="T2505" s="232"/>
    </row>
    <row r="2506" spans="3:20">
      <c r="C2506" s="232"/>
      <c r="E2506" s="232"/>
      <c r="G2506" s="232"/>
      <c r="I2506" s="232"/>
      <c r="K2506" s="232"/>
      <c r="M2506" s="232"/>
      <c r="P2506" s="232"/>
      <c r="R2506" s="232"/>
      <c r="T2506" s="232"/>
    </row>
    <row r="2507" spans="3:20">
      <c r="C2507" s="232"/>
      <c r="E2507" s="232"/>
      <c r="G2507" s="232"/>
      <c r="I2507" s="232"/>
      <c r="K2507" s="232"/>
      <c r="M2507" s="232"/>
      <c r="P2507" s="232"/>
      <c r="R2507" s="232"/>
      <c r="T2507" s="232"/>
    </row>
    <row r="2508" spans="3:20">
      <c r="C2508" s="232"/>
      <c r="E2508" s="232"/>
      <c r="G2508" s="232"/>
      <c r="I2508" s="232"/>
      <c r="K2508" s="232"/>
      <c r="M2508" s="232"/>
      <c r="P2508" s="232"/>
      <c r="R2508" s="232"/>
      <c r="T2508" s="232"/>
    </row>
    <row r="2509" spans="3:20">
      <c r="C2509" s="232"/>
      <c r="E2509" s="232"/>
      <c r="G2509" s="232"/>
      <c r="I2509" s="232"/>
      <c r="K2509" s="232"/>
      <c r="M2509" s="232"/>
      <c r="P2509" s="232"/>
      <c r="R2509" s="232"/>
      <c r="T2509" s="232"/>
    </row>
    <row r="2510" spans="3:20">
      <c r="C2510" s="232"/>
      <c r="E2510" s="232"/>
      <c r="G2510" s="232"/>
      <c r="I2510" s="232"/>
      <c r="K2510" s="232"/>
      <c r="M2510" s="232"/>
      <c r="P2510" s="232"/>
      <c r="R2510" s="232"/>
      <c r="T2510" s="232"/>
    </row>
    <row r="2511" spans="3:20">
      <c r="C2511" s="232"/>
      <c r="E2511" s="232"/>
      <c r="G2511" s="232"/>
      <c r="I2511" s="232"/>
      <c r="K2511" s="232"/>
      <c r="M2511" s="232"/>
      <c r="P2511" s="232"/>
      <c r="R2511" s="232"/>
      <c r="T2511" s="232"/>
    </row>
    <row r="2512" spans="3:20">
      <c r="C2512" s="232"/>
      <c r="E2512" s="232"/>
      <c r="G2512" s="232"/>
      <c r="I2512" s="232"/>
      <c r="K2512" s="232"/>
      <c r="M2512" s="232"/>
      <c r="P2512" s="232"/>
      <c r="R2512" s="232"/>
      <c r="T2512" s="232"/>
    </row>
    <row r="2513" spans="3:20">
      <c r="C2513" s="232"/>
      <c r="E2513" s="232"/>
      <c r="G2513" s="232"/>
      <c r="I2513" s="232"/>
      <c r="K2513" s="232"/>
      <c r="M2513" s="232"/>
      <c r="P2513" s="232"/>
      <c r="R2513" s="232"/>
      <c r="T2513" s="232"/>
    </row>
    <row r="2514" spans="3:20">
      <c r="C2514" s="232"/>
      <c r="E2514" s="232"/>
      <c r="G2514" s="232"/>
      <c r="I2514" s="232"/>
      <c r="K2514" s="232"/>
      <c r="M2514" s="232"/>
      <c r="P2514" s="232"/>
      <c r="R2514" s="232"/>
      <c r="T2514" s="232"/>
    </row>
    <row r="2515" spans="3:20">
      <c r="C2515" s="232"/>
      <c r="E2515" s="232"/>
      <c r="G2515" s="232"/>
      <c r="I2515" s="232"/>
      <c r="K2515" s="232"/>
      <c r="M2515" s="232"/>
      <c r="P2515" s="232"/>
      <c r="R2515" s="232"/>
      <c r="T2515" s="232"/>
    </row>
    <row r="2516" spans="3:20">
      <c r="C2516" s="232"/>
      <c r="E2516" s="232"/>
      <c r="G2516" s="232"/>
      <c r="I2516" s="232"/>
      <c r="K2516" s="232"/>
      <c r="M2516" s="232"/>
      <c r="P2516" s="232"/>
      <c r="R2516" s="232"/>
      <c r="T2516" s="232"/>
    </row>
    <row r="2517" spans="3:20">
      <c r="C2517" s="232"/>
      <c r="E2517" s="232"/>
      <c r="G2517" s="232"/>
      <c r="I2517" s="232"/>
      <c r="K2517" s="232"/>
      <c r="M2517" s="232"/>
      <c r="P2517" s="232"/>
      <c r="R2517" s="232"/>
      <c r="T2517" s="232"/>
    </row>
    <row r="2518" spans="3:20">
      <c r="C2518" s="232"/>
      <c r="E2518" s="232"/>
      <c r="G2518" s="232"/>
      <c r="I2518" s="232"/>
      <c r="K2518" s="232"/>
      <c r="M2518" s="232"/>
      <c r="P2518" s="232"/>
      <c r="R2518" s="232"/>
      <c r="T2518" s="232"/>
    </row>
    <row r="2519" spans="3:20">
      <c r="C2519" s="232"/>
      <c r="E2519" s="232"/>
      <c r="G2519" s="232"/>
      <c r="I2519" s="232"/>
      <c r="K2519" s="232"/>
      <c r="M2519" s="232"/>
      <c r="P2519" s="232"/>
      <c r="R2519" s="232"/>
      <c r="T2519" s="232"/>
    </row>
    <row r="2520" spans="3:20">
      <c r="C2520" s="232"/>
      <c r="E2520" s="232"/>
      <c r="G2520" s="232"/>
      <c r="I2520" s="232"/>
      <c r="K2520" s="232"/>
      <c r="M2520" s="232"/>
      <c r="P2520" s="232"/>
      <c r="R2520" s="232"/>
      <c r="T2520" s="232"/>
    </row>
    <row r="2521" spans="3:20">
      <c r="C2521" s="232"/>
      <c r="E2521" s="232"/>
      <c r="G2521" s="232"/>
      <c r="I2521" s="232"/>
      <c r="K2521" s="232"/>
      <c r="M2521" s="232"/>
      <c r="P2521" s="232"/>
      <c r="R2521" s="232"/>
      <c r="T2521" s="232"/>
    </row>
    <row r="2522" spans="3:20">
      <c r="C2522" s="232"/>
      <c r="E2522" s="232"/>
      <c r="G2522" s="232"/>
      <c r="I2522" s="232"/>
      <c r="K2522" s="232"/>
      <c r="M2522" s="232"/>
      <c r="P2522" s="232"/>
      <c r="R2522" s="232"/>
      <c r="T2522" s="232"/>
    </row>
    <row r="2523" spans="3:20">
      <c r="C2523" s="232"/>
      <c r="E2523" s="232"/>
      <c r="G2523" s="232"/>
      <c r="I2523" s="232"/>
      <c r="K2523" s="232"/>
      <c r="M2523" s="232"/>
      <c r="P2523" s="232"/>
      <c r="R2523" s="232"/>
      <c r="T2523" s="232"/>
    </row>
    <row r="2524" spans="3:20">
      <c r="C2524" s="232"/>
      <c r="E2524" s="232"/>
      <c r="G2524" s="232"/>
      <c r="I2524" s="232"/>
      <c r="K2524" s="232"/>
      <c r="M2524" s="232"/>
      <c r="P2524" s="232"/>
      <c r="R2524" s="232"/>
      <c r="T2524" s="232"/>
    </row>
    <row r="2525" spans="3:20">
      <c r="C2525" s="232"/>
      <c r="E2525" s="232"/>
      <c r="G2525" s="232"/>
      <c r="I2525" s="232"/>
      <c r="K2525" s="232"/>
      <c r="M2525" s="232"/>
      <c r="P2525" s="232"/>
      <c r="R2525" s="232"/>
      <c r="T2525" s="232"/>
    </row>
    <row r="2526" spans="3:20">
      <c r="C2526" s="232"/>
      <c r="E2526" s="232"/>
      <c r="G2526" s="232"/>
      <c r="I2526" s="232"/>
      <c r="K2526" s="232"/>
      <c r="M2526" s="232"/>
      <c r="P2526" s="232"/>
      <c r="R2526" s="232"/>
      <c r="T2526" s="232"/>
    </row>
    <row r="2527" spans="3:20">
      <c r="C2527" s="232"/>
      <c r="E2527" s="232"/>
      <c r="G2527" s="232"/>
      <c r="I2527" s="232"/>
      <c r="K2527" s="232"/>
      <c r="M2527" s="232"/>
      <c r="P2527" s="232"/>
      <c r="R2527" s="232"/>
      <c r="T2527" s="232"/>
    </row>
    <row r="2528" spans="3:20">
      <c r="C2528" s="232"/>
      <c r="E2528" s="232"/>
      <c r="G2528" s="232"/>
      <c r="I2528" s="232"/>
      <c r="K2528" s="232"/>
      <c r="M2528" s="232"/>
      <c r="P2528" s="232"/>
      <c r="R2528" s="232"/>
      <c r="T2528" s="232"/>
    </row>
    <row r="2529" spans="3:20">
      <c r="C2529" s="232"/>
      <c r="E2529" s="232"/>
      <c r="G2529" s="232"/>
      <c r="I2529" s="232"/>
      <c r="K2529" s="232"/>
      <c r="M2529" s="232"/>
      <c r="P2529" s="232"/>
      <c r="R2529" s="232"/>
      <c r="T2529" s="232"/>
    </row>
    <row r="2530" spans="3:20">
      <c r="C2530" s="232"/>
      <c r="E2530" s="232"/>
      <c r="G2530" s="232"/>
      <c r="I2530" s="232"/>
      <c r="K2530" s="232"/>
      <c r="M2530" s="232"/>
      <c r="P2530" s="232"/>
      <c r="R2530" s="232"/>
      <c r="T2530" s="232"/>
    </row>
    <row r="2531" spans="3:20">
      <c r="C2531" s="232"/>
      <c r="E2531" s="232"/>
      <c r="G2531" s="232"/>
      <c r="I2531" s="232"/>
      <c r="K2531" s="232"/>
      <c r="M2531" s="232"/>
      <c r="P2531" s="232"/>
      <c r="R2531" s="232"/>
      <c r="T2531" s="232"/>
    </row>
    <row r="2532" spans="3:20">
      <c r="C2532" s="232"/>
      <c r="E2532" s="232"/>
      <c r="G2532" s="232"/>
      <c r="I2532" s="232"/>
      <c r="K2532" s="232"/>
      <c r="M2532" s="232"/>
      <c r="P2532" s="232"/>
      <c r="R2532" s="232"/>
      <c r="T2532" s="232"/>
    </row>
    <row r="2533" spans="3:20">
      <c r="C2533" s="232"/>
      <c r="E2533" s="232"/>
      <c r="G2533" s="232"/>
      <c r="I2533" s="232"/>
      <c r="K2533" s="232"/>
      <c r="M2533" s="232"/>
      <c r="P2533" s="232"/>
      <c r="R2533" s="232"/>
      <c r="T2533" s="232"/>
    </row>
    <row r="2534" spans="3:20">
      <c r="C2534" s="232"/>
      <c r="E2534" s="232"/>
      <c r="G2534" s="232"/>
      <c r="I2534" s="232"/>
      <c r="K2534" s="232"/>
      <c r="M2534" s="232"/>
      <c r="P2534" s="232"/>
      <c r="R2534" s="232"/>
      <c r="T2534" s="232"/>
    </row>
    <row r="2535" spans="3:20">
      <c r="C2535" s="232"/>
      <c r="E2535" s="232"/>
      <c r="G2535" s="232"/>
      <c r="I2535" s="232"/>
      <c r="K2535" s="232"/>
      <c r="M2535" s="232"/>
      <c r="P2535" s="232"/>
      <c r="R2535" s="232"/>
      <c r="T2535" s="232"/>
    </row>
    <row r="2536" spans="3:20">
      <c r="C2536" s="232"/>
      <c r="E2536" s="232"/>
      <c r="G2536" s="232"/>
      <c r="I2536" s="232"/>
      <c r="K2536" s="232"/>
      <c r="M2536" s="232"/>
      <c r="P2536" s="232"/>
      <c r="R2536" s="232"/>
      <c r="T2536" s="232"/>
    </row>
    <row r="2537" spans="3:20">
      <c r="C2537" s="232"/>
      <c r="E2537" s="232"/>
      <c r="G2537" s="232"/>
      <c r="I2537" s="232"/>
      <c r="K2537" s="232"/>
      <c r="M2537" s="232"/>
      <c r="P2537" s="232"/>
      <c r="R2537" s="232"/>
      <c r="T2537" s="232"/>
    </row>
    <row r="2538" spans="3:20">
      <c r="C2538" s="232"/>
      <c r="E2538" s="232"/>
      <c r="G2538" s="232"/>
      <c r="I2538" s="232"/>
      <c r="K2538" s="232"/>
      <c r="M2538" s="232"/>
      <c r="P2538" s="232"/>
      <c r="R2538" s="232"/>
      <c r="T2538" s="232"/>
    </row>
    <row r="2539" spans="3:20">
      <c r="C2539" s="232"/>
      <c r="E2539" s="232"/>
      <c r="G2539" s="232"/>
      <c r="I2539" s="232"/>
      <c r="K2539" s="232"/>
      <c r="M2539" s="232"/>
      <c r="P2539" s="232"/>
      <c r="R2539" s="232"/>
      <c r="T2539" s="232"/>
    </row>
    <row r="2540" spans="3:20">
      <c r="C2540" s="232"/>
      <c r="E2540" s="232"/>
      <c r="G2540" s="232"/>
      <c r="I2540" s="232"/>
      <c r="K2540" s="232"/>
      <c r="M2540" s="232"/>
      <c r="P2540" s="232"/>
      <c r="R2540" s="232"/>
      <c r="T2540" s="232"/>
    </row>
    <row r="2541" spans="3:20">
      <c r="C2541" s="232"/>
      <c r="E2541" s="232"/>
      <c r="G2541" s="232"/>
      <c r="I2541" s="232"/>
      <c r="K2541" s="232"/>
      <c r="M2541" s="232"/>
      <c r="P2541" s="232"/>
      <c r="R2541" s="232"/>
      <c r="T2541" s="232"/>
    </row>
    <row r="2542" spans="3:20">
      <c r="C2542" s="232"/>
      <c r="E2542" s="232"/>
      <c r="G2542" s="232"/>
      <c r="I2542" s="232"/>
      <c r="K2542" s="232"/>
      <c r="M2542" s="232"/>
      <c r="P2542" s="232"/>
      <c r="R2542" s="232"/>
      <c r="T2542" s="232"/>
    </row>
    <row r="2543" spans="3:20">
      <c r="C2543" s="232"/>
      <c r="E2543" s="232"/>
      <c r="G2543" s="232"/>
      <c r="I2543" s="232"/>
      <c r="K2543" s="232"/>
      <c r="M2543" s="232"/>
      <c r="P2543" s="232"/>
      <c r="R2543" s="232"/>
      <c r="T2543" s="232"/>
    </row>
    <row r="2544" spans="3:20">
      <c r="C2544" s="232"/>
      <c r="E2544" s="232"/>
      <c r="G2544" s="232"/>
      <c r="I2544" s="232"/>
      <c r="K2544" s="232"/>
      <c r="M2544" s="232"/>
      <c r="P2544" s="232"/>
      <c r="R2544" s="232"/>
      <c r="T2544" s="232"/>
    </row>
    <row r="2545" spans="3:20">
      <c r="C2545" s="232"/>
      <c r="E2545" s="232"/>
      <c r="G2545" s="232"/>
      <c r="I2545" s="232"/>
      <c r="K2545" s="232"/>
      <c r="M2545" s="232"/>
      <c r="P2545" s="232"/>
      <c r="R2545" s="232"/>
      <c r="T2545" s="232"/>
    </row>
    <row r="2546" spans="3:20">
      <c r="C2546" s="232"/>
      <c r="E2546" s="232"/>
      <c r="G2546" s="232"/>
      <c r="I2546" s="232"/>
      <c r="K2546" s="232"/>
      <c r="M2546" s="232"/>
      <c r="P2546" s="232"/>
      <c r="R2546" s="232"/>
      <c r="T2546" s="232"/>
    </row>
    <row r="2547" spans="3:20">
      <c r="C2547" s="232"/>
      <c r="E2547" s="232"/>
      <c r="G2547" s="232"/>
      <c r="I2547" s="232"/>
      <c r="K2547" s="232"/>
      <c r="M2547" s="232"/>
      <c r="P2547" s="232"/>
      <c r="R2547" s="232"/>
      <c r="T2547" s="232"/>
    </row>
    <row r="2548" spans="3:20">
      <c r="C2548" s="232"/>
      <c r="E2548" s="232"/>
      <c r="G2548" s="232"/>
      <c r="I2548" s="232"/>
      <c r="K2548" s="232"/>
      <c r="M2548" s="232"/>
      <c r="P2548" s="232"/>
      <c r="R2548" s="232"/>
      <c r="T2548" s="232"/>
    </row>
    <row r="2549" spans="3:20">
      <c r="C2549" s="232"/>
      <c r="E2549" s="232"/>
      <c r="G2549" s="232"/>
      <c r="I2549" s="232"/>
      <c r="K2549" s="232"/>
      <c r="M2549" s="232"/>
      <c r="P2549" s="232"/>
      <c r="R2549" s="232"/>
      <c r="T2549" s="232"/>
    </row>
    <row r="2550" spans="3:20">
      <c r="C2550" s="232"/>
      <c r="E2550" s="232"/>
      <c r="G2550" s="232"/>
      <c r="I2550" s="232"/>
      <c r="K2550" s="232"/>
      <c r="M2550" s="232"/>
      <c r="P2550" s="232"/>
      <c r="R2550" s="232"/>
      <c r="T2550" s="232"/>
    </row>
    <row r="2551" spans="3:20">
      <c r="C2551" s="232"/>
      <c r="E2551" s="232"/>
      <c r="G2551" s="232"/>
      <c r="I2551" s="232"/>
      <c r="K2551" s="232"/>
      <c r="M2551" s="232"/>
      <c r="P2551" s="232"/>
      <c r="R2551" s="232"/>
      <c r="T2551" s="232"/>
    </row>
    <row r="2552" spans="3:20">
      <c r="C2552" s="232"/>
      <c r="E2552" s="232"/>
      <c r="G2552" s="232"/>
      <c r="I2552" s="232"/>
      <c r="K2552" s="232"/>
      <c r="M2552" s="232"/>
      <c r="P2552" s="232"/>
      <c r="R2552" s="232"/>
      <c r="T2552" s="232"/>
    </row>
    <row r="2553" spans="3:20">
      <c r="C2553" s="232"/>
      <c r="E2553" s="232"/>
      <c r="G2553" s="232"/>
      <c r="I2553" s="232"/>
      <c r="K2553" s="232"/>
      <c r="M2553" s="232"/>
      <c r="P2553" s="232"/>
      <c r="R2553" s="232"/>
      <c r="T2553" s="232"/>
    </row>
    <row r="2554" spans="3:20">
      <c r="C2554" s="232"/>
      <c r="E2554" s="232"/>
      <c r="G2554" s="232"/>
      <c r="I2554" s="232"/>
      <c r="K2554" s="232"/>
      <c r="M2554" s="232"/>
      <c r="P2554" s="232"/>
      <c r="R2554" s="232"/>
      <c r="T2554" s="232"/>
    </row>
    <row r="2555" spans="3:20">
      <c r="C2555" s="232"/>
      <c r="E2555" s="232"/>
      <c r="G2555" s="232"/>
      <c r="I2555" s="232"/>
      <c r="K2555" s="232"/>
      <c r="M2555" s="232"/>
      <c r="P2555" s="232"/>
      <c r="R2555" s="232"/>
      <c r="T2555" s="232"/>
    </row>
    <row r="2556" spans="3:20">
      <c r="C2556" s="232"/>
      <c r="E2556" s="232"/>
      <c r="G2556" s="232"/>
      <c r="I2556" s="232"/>
      <c r="K2556" s="232"/>
      <c r="M2556" s="232"/>
      <c r="P2556" s="232"/>
      <c r="R2556" s="232"/>
      <c r="T2556" s="232"/>
    </row>
    <row r="2557" spans="3:20">
      <c r="C2557" s="232"/>
      <c r="E2557" s="232"/>
      <c r="G2557" s="232"/>
      <c r="I2557" s="232"/>
      <c r="K2557" s="232"/>
      <c r="M2557" s="232"/>
      <c r="P2557" s="232"/>
      <c r="R2557" s="232"/>
      <c r="T2557" s="232"/>
    </row>
    <row r="2558" spans="3:20">
      <c r="C2558" s="232"/>
      <c r="E2558" s="232"/>
      <c r="G2558" s="232"/>
      <c r="I2558" s="232"/>
      <c r="K2558" s="232"/>
      <c r="M2558" s="232"/>
      <c r="P2558" s="232"/>
      <c r="R2558" s="232"/>
      <c r="T2558" s="232"/>
    </row>
    <row r="2559" spans="3:20">
      <c r="C2559" s="232"/>
      <c r="E2559" s="232"/>
      <c r="G2559" s="232"/>
      <c r="I2559" s="232"/>
      <c r="K2559" s="232"/>
      <c r="M2559" s="232"/>
      <c r="P2559" s="232"/>
      <c r="R2559" s="232"/>
      <c r="T2559" s="232"/>
    </row>
    <row r="2560" spans="3:20">
      <c r="C2560" s="232"/>
      <c r="E2560" s="232"/>
      <c r="G2560" s="232"/>
      <c r="I2560" s="232"/>
      <c r="K2560" s="232"/>
      <c r="M2560" s="232"/>
      <c r="P2560" s="232"/>
      <c r="R2560" s="232"/>
      <c r="T2560" s="232"/>
    </row>
    <row r="2561" spans="3:20">
      <c r="C2561" s="232"/>
      <c r="E2561" s="232"/>
      <c r="G2561" s="232"/>
      <c r="I2561" s="232"/>
      <c r="K2561" s="232"/>
      <c r="M2561" s="232"/>
      <c r="P2561" s="232"/>
      <c r="R2561" s="232"/>
      <c r="T2561" s="232"/>
    </row>
    <row r="2562" spans="3:20">
      <c r="C2562" s="232"/>
      <c r="E2562" s="232"/>
      <c r="G2562" s="232"/>
      <c r="I2562" s="232"/>
      <c r="K2562" s="232"/>
      <c r="M2562" s="232"/>
      <c r="P2562" s="232"/>
      <c r="R2562" s="232"/>
      <c r="T2562" s="232"/>
    </row>
    <row r="2563" spans="3:20">
      <c r="C2563" s="232"/>
      <c r="E2563" s="232"/>
      <c r="G2563" s="232"/>
      <c r="I2563" s="232"/>
      <c r="K2563" s="232"/>
      <c r="M2563" s="232"/>
      <c r="P2563" s="232"/>
      <c r="R2563" s="232"/>
      <c r="T2563" s="232"/>
    </row>
    <row r="2564" spans="3:20">
      <c r="C2564" s="232"/>
      <c r="E2564" s="232"/>
      <c r="G2564" s="232"/>
      <c r="I2564" s="232"/>
      <c r="K2564" s="232"/>
      <c r="M2564" s="232"/>
      <c r="P2564" s="232"/>
      <c r="R2564" s="232"/>
      <c r="T2564" s="232"/>
    </row>
    <row r="2565" spans="3:20">
      <c r="C2565" s="232"/>
      <c r="E2565" s="232"/>
      <c r="G2565" s="232"/>
      <c r="I2565" s="232"/>
      <c r="K2565" s="232"/>
      <c r="M2565" s="232"/>
      <c r="P2565" s="232"/>
      <c r="R2565" s="232"/>
      <c r="T2565" s="232"/>
    </row>
    <row r="2566" spans="3:20">
      <c r="C2566" s="232"/>
      <c r="E2566" s="232"/>
      <c r="G2566" s="232"/>
      <c r="I2566" s="232"/>
      <c r="K2566" s="232"/>
      <c r="M2566" s="232"/>
      <c r="P2566" s="232"/>
      <c r="R2566" s="232"/>
      <c r="T2566" s="232"/>
    </row>
    <row r="2567" spans="3:20">
      <c r="C2567" s="232"/>
      <c r="E2567" s="232"/>
      <c r="G2567" s="232"/>
      <c r="I2567" s="232"/>
      <c r="K2567" s="232"/>
      <c r="M2567" s="232"/>
      <c r="P2567" s="232"/>
      <c r="R2567" s="232"/>
      <c r="T2567" s="232"/>
    </row>
    <row r="2568" spans="3:20">
      <c r="C2568" s="232"/>
      <c r="E2568" s="232"/>
      <c r="G2568" s="232"/>
      <c r="I2568" s="232"/>
      <c r="K2568" s="232"/>
      <c r="M2568" s="232"/>
      <c r="P2568" s="232"/>
      <c r="R2568" s="232"/>
      <c r="T2568" s="232"/>
    </row>
    <row r="2569" spans="3:20">
      <c r="C2569" s="232"/>
      <c r="E2569" s="232"/>
      <c r="G2569" s="232"/>
      <c r="I2569" s="232"/>
      <c r="K2569" s="232"/>
      <c r="M2569" s="232"/>
      <c r="P2569" s="232"/>
      <c r="R2569" s="232"/>
      <c r="T2569" s="232"/>
    </row>
    <row r="2570" spans="3:20">
      <c r="C2570" s="232"/>
      <c r="E2570" s="232"/>
      <c r="G2570" s="232"/>
      <c r="I2570" s="232"/>
      <c r="K2570" s="232"/>
      <c r="M2570" s="232"/>
      <c r="P2570" s="232"/>
      <c r="R2570" s="232"/>
      <c r="T2570" s="232"/>
    </row>
    <row r="2571" spans="3:20">
      <c r="C2571" s="232"/>
      <c r="E2571" s="232"/>
      <c r="G2571" s="232"/>
      <c r="I2571" s="232"/>
      <c r="K2571" s="232"/>
      <c r="M2571" s="232"/>
      <c r="P2571" s="232"/>
      <c r="R2571" s="232"/>
      <c r="T2571" s="232"/>
    </row>
    <row r="2572" spans="3:20">
      <c r="C2572" s="232"/>
      <c r="E2572" s="232"/>
      <c r="G2572" s="232"/>
      <c r="I2572" s="232"/>
      <c r="K2572" s="232"/>
      <c r="M2572" s="232"/>
      <c r="P2572" s="232"/>
      <c r="R2572" s="232"/>
      <c r="T2572" s="232"/>
    </row>
    <row r="2573" spans="3:20">
      <c r="C2573" s="232"/>
      <c r="E2573" s="232"/>
      <c r="G2573" s="232"/>
      <c r="I2573" s="232"/>
      <c r="K2573" s="232"/>
      <c r="M2573" s="232"/>
      <c r="P2573" s="232"/>
      <c r="R2573" s="232"/>
      <c r="T2573" s="232"/>
    </row>
    <row r="2574" spans="3:20">
      <c r="C2574" s="232"/>
      <c r="E2574" s="232"/>
      <c r="G2574" s="232"/>
      <c r="I2574" s="232"/>
      <c r="K2574" s="232"/>
      <c r="M2574" s="232"/>
      <c r="P2574" s="232"/>
      <c r="R2574" s="232"/>
      <c r="T2574" s="232"/>
    </row>
    <row r="2575" spans="3:20">
      <c r="C2575" s="232"/>
      <c r="E2575" s="232"/>
      <c r="G2575" s="232"/>
      <c r="I2575" s="232"/>
      <c r="K2575" s="232"/>
      <c r="M2575" s="232"/>
      <c r="P2575" s="232"/>
      <c r="R2575" s="232"/>
      <c r="T2575" s="232"/>
    </row>
    <row r="2576" spans="3:20">
      <c r="C2576" s="232"/>
      <c r="E2576" s="232"/>
      <c r="G2576" s="232"/>
      <c r="I2576" s="232"/>
      <c r="K2576" s="232"/>
      <c r="M2576" s="232"/>
      <c r="P2576" s="232"/>
      <c r="R2576" s="232"/>
      <c r="T2576" s="232"/>
    </row>
    <row r="2577" spans="3:20">
      <c r="C2577" s="232"/>
      <c r="E2577" s="232"/>
      <c r="G2577" s="232"/>
      <c r="I2577" s="232"/>
      <c r="K2577" s="232"/>
      <c r="M2577" s="232"/>
      <c r="P2577" s="232"/>
      <c r="R2577" s="232"/>
      <c r="T2577" s="232"/>
    </row>
    <row r="2578" spans="3:20">
      <c r="C2578" s="232"/>
      <c r="E2578" s="232"/>
      <c r="G2578" s="232"/>
      <c r="I2578" s="232"/>
      <c r="K2578" s="232"/>
      <c r="M2578" s="232"/>
      <c r="P2578" s="232"/>
      <c r="R2578" s="232"/>
      <c r="T2578" s="232"/>
    </row>
    <row r="2579" spans="3:20">
      <c r="C2579" s="232"/>
      <c r="E2579" s="232"/>
      <c r="G2579" s="232"/>
      <c r="I2579" s="232"/>
      <c r="K2579" s="232"/>
      <c r="M2579" s="232"/>
      <c r="P2579" s="232"/>
      <c r="R2579" s="232"/>
      <c r="T2579" s="232"/>
    </row>
    <row r="2580" spans="3:20">
      <c r="C2580" s="232"/>
      <c r="E2580" s="232"/>
      <c r="G2580" s="232"/>
      <c r="I2580" s="232"/>
      <c r="K2580" s="232"/>
      <c r="M2580" s="232"/>
      <c r="P2580" s="232"/>
      <c r="R2580" s="232"/>
      <c r="T2580" s="232"/>
    </row>
    <row r="2581" spans="3:20">
      <c r="C2581" s="232"/>
      <c r="E2581" s="232"/>
      <c r="G2581" s="232"/>
      <c r="I2581" s="232"/>
      <c r="K2581" s="232"/>
      <c r="M2581" s="232"/>
      <c r="P2581" s="232"/>
      <c r="R2581" s="232"/>
      <c r="T2581" s="232"/>
    </row>
    <row r="2582" spans="3:20">
      <c r="C2582" s="232"/>
      <c r="E2582" s="232"/>
      <c r="G2582" s="232"/>
      <c r="I2582" s="232"/>
      <c r="K2582" s="232"/>
      <c r="M2582" s="232"/>
      <c r="P2582" s="232"/>
      <c r="R2582" s="232"/>
      <c r="T2582" s="232"/>
    </row>
    <row r="2583" spans="3:20">
      <c r="C2583" s="232"/>
      <c r="E2583" s="232"/>
      <c r="G2583" s="232"/>
      <c r="I2583" s="232"/>
      <c r="K2583" s="232"/>
      <c r="M2583" s="232"/>
      <c r="P2583" s="232"/>
      <c r="R2583" s="232"/>
      <c r="T2583" s="232"/>
    </row>
    <row r="2584" spans="3:20">
      <c r="C2584" s="232"/>
      <c r="E2584" s="232"/>
      <c r="G2584" s="232"/>
      <c r="I2584" s="232"/>
      <c r="K2584" s="232"/>
      <c r="M2584" s="232"/>
      <c r="P2584" s="232"/>
      <c r="R2584" s="232"/>
      <c r="T2584" s="232"/>
    </row>
    <row r="2585" spans="3:20">
      <c r="C2585" s="232"/>
      <c r="E2585" s="232"/>
      <c r="G2585" s="232"/>
      <c r="I2585" s="232"/>
      <c r="K2585" s="232"/>
      <c r="M2585" s="232"/>
      <c r="P2585" s="232"/>
      <c r="R2585" s="232"/>
      <c r="T2585" s="232"/>
    </row>
    <row r="2586" spans="3:20">
      <c r="C2586" s="232"/>
      <c r="E2586" s="232"/>
      <c r="G2586" s="232"/>
      <c r="I2586" s="232"/>
      <c r="K2586" s="232"/>
      <c r="M2586" s="232"/>
      <c r="P2586" s="232"/>
      <c r="R2586" s="232"/>
      <c r="T2586" s="232"/>
    </row>
    <row r="2587" spans="3:20">
      <c r="C2587" s="232"/>
      <c r="E2587" s="232"/>
      <c r="G2587" s="232"/>
      <c r="I2587" s="232"/>
      <c r="K2587" s="232"/>
      <c r="M2587" s="232"/>
      <c r="P2587" s="232"/>
      <c r="R2587" s="232"/>
      <c r="T2587" s="232"/>
    </row>
    <row r="2588" spans="3:20">
      <c r="C2588" s="232"/>
      <c r="E2588" s="232"/>
      <c r="G2588" s="232"/>
      <c r="I2588" s="232"/>
      <c r="K2588" s="232"/>
      <c r="M2588" s="232"/>
      <c r="P2588" s="232"/>
      <c r="R2588" s="232"/>
      <c r="T2588" s="232"/>
    </row>
    <row r="2589" spans="3:20">
      <c r="C2589" s="232"/>
      <c r="E2589" s="232"/>
      <c r="G2589" s="232"/>
      <c r="I2589" s="232"/>
      <c r="K2589" s="232"/>
      <c r="M2589" s="232"/>
      <c r="P2589" s="232"/>
      <c r="R2589" s="232"/>
      <c r="T2589" s="232"/>
    </row>
    <row r="2590" spans="3:20">
      <c r="C2590" s="232"/>
      <c r="E2590" s="232"/>
      <c r="G2590" s="232"/>
      <c r="I2590" s="232"/>
      <c r="K2590" s="232"/>
      <c r="M2590" s="232"/>
      <c r="P2590" s="232"/>
      <c r="R2590" s="232"/>
      <c r="T2590" s="232"/>
    </row>
    <row r="2591" spans="3:20">
      <c r="C2591" s="232"/>
      <c r="E2591" s="232"/>
      <c r="G2591" s="232"/>
      <c r="I2591" s="232"/>
      <c r="K2591" s="232"/>
      <c r="M2591" s="232"/>
      <c r="P2591" s="232"/>
      <c r="R2591" s="232"/>
      <c r="T2591" s="232"/>
    </row>
    <row r="2592" spans="3:20">
      <c r="C2592" s="232"/>
      <c r="E2592" s="232"/>
      <c r="G2592" s="232"/>
      <c r="I2592" s="232"/>
      <c r="K2592" s="232"/>
      <c r="M2592" s="232"/>
      <c r="P2592" s="232"/>
      <c r="R2592" s="232"/>
      <c r="T2592" s="232"/>
    </row>
    <row r="2593" spans="3:20">
      <c r="C2593" s="232"/>
      <c r="E2593" s="232"/>
      <c r="G2593" s="232"/>
      <c r="I2593" s="232"/>
      <c r="K2593" s="232"/>
      <c r="M2593" s="232"/>
      <c r="P2593" s="232"/>
      <c r="R2593" s="232"/>
      <c r="T2593" s="232"/>
    </row>
    <row r="2594" spans="3:20">
      <c r="C2594" s="232"/>
      <c r="E2594" s="232"/>
      <c r="G2594" s="232"/>
      <c r="I2594" s="232"/>
      <c r="K2594" s="232"/>
      <c r="M2594" s="232"/>
      <c r="P2594" s="232"/>
      <c r="R2594" s="232"/>
      <c r="T2594" s="232"/>
    </row>
    <row r="2595" spans="3:20">
      <c r="C2595" s="232"/>
      <c r="E2595" s="232"/>
      <c r="G2595" s="232"/>
      <c r="I2595" s="232"/>
      <c r="K2595" s="232"/>
      <c r="M2595" s="232"/>
      <c r="P2595" s="232"/>
      <c r="R2595" s="232"/>
      <c r="T2595" s="232"/>
    </row>
    <row r="2596" spans="3:20">
      <c r="C2596" s="232"/>
      <c r="E2596" s="232"/>
      <c r="G2596" s="232"/>
      <c r="I2596" s="232"/>
      <c r="K2596" s="232"/>
      <c r="M2596" s="232"/>
      <c r="P2596" s="232"/>
      <c r="R2596" s="232"/>
      <c r="T2596" s="232"/>
    </row>
    <row r="2597" spans="3:20">
      <c r="C2597" s="232"/>
      <c r="E2597" s="232"/>
      <c r="G2597" s="232"/>
      <c r="I2597" s="232"/>
      <c r="K2597" s="232"/>
      <c r="M2597" s="232"/>
      <c r="P2597" s="232"/>
      <c r="R2597" s="232"/>
      <c r="T2597" s="232"/>
    </row>
    <row r="2598" spans="3:20">
      <c r="C2598" s="232"/>
      <c r="E2598" s="232"/>
      <c r="G2598" s="232"/>
      <c r="I2598" s="232"/>
      <c r="K2598" s="232"/>
      <c r="M2598" s="232"/>
      <c r="P2598" s="232"/>
      <c r="R2598" s="232"/>
      <c r="T2598" s="232"/>
    </row>
    <row r="2599" spans="3:20">
      <c r="C2599" s="232"/>
      <c r="E2599" s="232"/>
      <c r="G2599" s="232"/>
      <c r="I2599" s="232"/>
      <c r="K2599" s="232"/>
      <c r="M2599" s="232"/>
      <c r="P2599" s="232"/>
      <c r="R2599" s="232"/>
      <c r="T2599" s="232"/>
    </row>
    <row r="2600" spans="3:20">
      <c r="C2600" s="232"/>
      <c r="E2600" s="232"/>
      <c r="G2600" s="232"/>
      <c r="I2600" s="232"/>
      <c r="K2600" s="232"/>
      <c r="M2600" s="232"/>
      <c r="P2600" s="232"/>
      <c r="R2600" s="232"/>
      <c r="T2600" s="232"/>
    </row>
    <row r="2601" spans="3:20">
      <c r="C2601" s="232"/>
      <c r="E2601" s="232"/>
      <c r="G2601" s="232"/>
      <c r="I2601" s="232"/>
      <c r="K2601" s="232"/>
      <c r="M2601" s="232"/>
      <c r="P2601" s="232"/>
      <c r="R2601" s="232"/>
      <c r="T2601" s="232"/>
    </row>
    <row r="2602" spans="3:20">
      <c r="C2602" s="232"/>
      <c r="E2602" s="232"/>
      <c r="G2602" s="232"/>
      <c r="I2602" s="232"/>
      <c r="K2602" s="232"/>
      <c r="M2602" s="232"/>
      <c r="P2602" s="232"/>
      <c r="R2602" s="232"/>
      <c r="T2602" s="232"/>
    </row>
    <row r="2603" spans="3:20">
      <c r="C2603" s="232"/>
      <c r="E2603" s="232"/>
      <c r="G2603" s="232"/>
      <c r="I2603" s="232"/>
      <c r="K2603" s="232"/>
      <c r="M2603" s="232"/>
      <c r="P2603" s="232"/>
      <c r="R2603" s="232"/>
      <c r="T2603" s="232"/>
    </row>
    <row r="2604" spans="3:20">
      <c r="C2604" s="232"/>
      <c r="E2604" s="232"/>
      <c r="G2604" s="232"/>
      <c r="I2604" s="232"/>
      <c r="K2604" s="232"/>
      <c r="M2604" s="232"/>
      <c r="P2604" s="232"/>
      <c r="R2604" s="232"/>
      <c r="T2604" s="232"/>
    </row>
    <row r="2605" spans="3:20">
      <c r="C2605" s="232"/>
      <c r="E2605" s="232"/>
      <c r="G2605" s="232"/>
      <c r="I2605" s="232"/>
      <c r="K2605" s="232"/>
      <c r="M2605" s="232"/>
      <c r="P2605" s="232"/>
      <c r="R2605" s="232"/>
      <c r="T2605" s="232"/>
    </row>
    <row r="2606" spans="3:20">
      <c r="C2606" s="232"/>
      <c r="E2606" s="232"/>
      <c r="G2606" s="232"/>
      <c r="I2606" s="232"/>
      <c r="K2606" s="232"/>
      <c r="M2606" s="232"/>
      <c r="P2606" s="232"/>
      <c r="R2606" s="232"/>
      <c r="T2606" s="232"/>
    </row>
    <row r="2607" spans="3:20">
      <c r="C2607" s="232"/>
      <c r="E2607" s="232"/>
      <c r="G2607" s="232"/>
      <c r="I2607" s="232"/>
      <c r="K2607" s="232"/>
      <c r="M2607" s="232"/>
      <c r="P2607" s="232"/>
      <c r="R2607" s="232"/>
      <c r="T2607" s="232"/>
    </row>
    <row r="2608" spans="3:20">
      <c r="C2608" s="232"/>
      <c r="E2608" s="232"/>
      <c r="G2608" s="232"/>
      <c r="I2608" s="232"/>
      <c r="K2608" s="232"/>
      <c r="M2608" s="232"/>
      <c r="P2608" s="232"/>
      <c r="R2608" s="232"/>
      <c r="T2608" s="232"/>
    </row>
    <row r="2609" spans="3:20">
      <c r="C2609" s="232"/>
      <c r="E2609" s="232"/>
      <c r="G2609" s="232"/>
      <c r="I2609" s="232"/>
      <c r="K2609" s="232"/>
      <c r="M2609" s="232"/>
      <c r="P2609" s="232"/>
      <c r="R2609" s="232"/>
      <c r="T2609" s="232"/>
    </row>
    <row r="2610" spans="3:20">
      <c r="C2610" s="232"/>
      <c r="E2610" s="232"/>
      <c r="G2610" s="232"/>
      <c r="I2610" s="232"/>
      <c r="K2610" s="232"/>
      <c r="M2610" s="232"/>
      <c r="P2610" s="232"/>
      <c r="R2610" s="232"/>
      <c r="T2610" s="232"/>
    </row>
    <row r="2611" spans="3:20">
      <c r="C2611" s="232"/>
      <c r="E2611" s="232"/>
      <c r="G2611" s="232"/>
      <c r="I2611" s="232"/>
      <c r="K2611" s="232"/>
      <c r="M2611" s="232"/>
      <c r="P2611" s="232"/>
      <c r="R2611" s="232"/>
      <c r="T2611" s="232"/>
    </row>
    <row r="2612" spans="3:20">
      <c r="C2612" s="232"/>
      <c r="E2612" s="232"/>
      <c r="G2612" s="232"/>
      <c r="I2612" s="232"/>
      <c r="K2612" s="232"/>
      <c r="M2612" s="232"/>
      <c r="P2612" s="232"/>
      <c r="R2612" s="232"/>
      <c r="T2612" s="232"/>
    </row>
    <row r="2613" spans="3:20">
      <c r="C2613" s="232"/>
      <c r="E2613" s="232"/>
      <c r="G2613" s="232"/>
      <c r="I2613" s="232"/>
      <c r="K2613" s="232"/>
      <c r="M2613" s="232"/>
      <c r="P2613" s="232"/>
      <c r="R2613" s="232"/>
      <c r="T2613" s="232"/>
    </row>
    <row r="2614" spans="3:20">
      <c r="C2614" s="232"/>
      <c r="E2614" s="232"/>
      <c r="G2614" s="232"/>
      <c r="I2614" s="232"/>
      <c r="K2614" s="232"/>
      <c r="M2614" s="232"/>
      <c r="P2614" s="232"/>
      <c r="R2614" s="232"/>
      <c r="T2614" s="232"/>
    </row>
    <row r="2615" spans="3:20">
      <c r="C2615" s="232"/>
      <c r="E2615" s="232"/>
      <c r="G2615" s="232"/>
      <c r="I2615" s="232"/>
      <c r="K2615" s="232"/>
      <c r="M2615" s="232"/>
      <c r="P2615" s="232"/>
      <c r="R2615" s="232"/>
      <c r="T2615" s="232"/>
    </row>
    <row r="2616" spans="3:20">
      <c r="C2616" s="232"/>
      <c r="E2616" s="232"/>
      <c r="G2616" s="232"/>
      <c r="I2616" s="232"/>
      <c r="K2616" s="232"/>
      <c r="M2616" s="232"/>
      <c r="P2616" s="232"/>
      <c r="R2616" s="232"/>
      <c r="T2616" s="232"/>
    </row>
    <row r="2617" spans="3:20">
      <c r="C2617" s="232"/>
      <c r="E2617" s="232"/>
      <c r="G2617" s="232"/>
      <c r="I2617" s="232"/>
      <c r="K2617" s="232"/>
      <c r="M2617" s="232"/>
      <c r="P2617" s="232"/>
      <c r="R2617" s="232"/>
      <c r="T2617" s="232"/>
    </row>
    <row r="2618" spans="3:20">
      <c r="C2618" s="232"/>
      <c r="E2618" s="232"/>
      <c r="G2618" s="232"/>
      <c r="I2618" s="232"/>
      <c r="K2618" s="232"/>
      <c r="M2618" s="232"/>
      <c r="P2618" s="232"/>
      <c r="R2618" s="232"/>
      <c r="T2618" s="232"/>
    </row>
    <row r="2619" spans="3:20">
      <c r="C2619" s="232"/>
      <c r="E2619" s="232"/>
      <c r="G2619" s="232"/>
      <c r="I2619" s="232"/>
      <c r="K2619" s="232"/>
      <c r="M2619" s="232"/>
      <c r="P2619" s="232"/>
      <c r="R2619" s="232"/>
      <c r="T2619" s="232"/>
    </row>
    <row r="2620" spans="3:20">
      <c r="C2620" s="232"/>
      <c r="E2620" s="232"/>
      <c r="G2620" s="232"/>
      <c r="I2620" s="232"/>
      <c r="K2620" s="232"/>
      <c r="M2620" s="232"/>
      <c r="P2620" s="232"/>
      <c r="R2620" s="232"/>
      <c r="T2620" s="232"/>
    </row>
    <row r="2621" spans="3:20">
      <c r="C2621" s="232"/>
      <c r="E2621" s="232"/>
      <c r="G2621" s="232"/>
      <c r="I2621" s="232"/>
      <c r="K2621" s="232"/>
      <c r="M2621" s="232"/>
      <c r="P2621" s="232"/>
      <c r="R2621" s="232"/>
      <c r="T2621" s="232"/>
    </row>
    <row r="2622" spans="3:20">
      <c r="C2622" s="232"/>
      <c r="E2622" s="232"/>
      <c r="G2622" s="232"/>
      <c r="I2622" s="232"/>
      <c r="K2622" s="232"/>
      <c r="M2622" s="232"/>
      <c r="P2622" s="232"/>
      <c r="R2622" s="232"/>
      <c r="T2622" s="232"/>
    </row>
    <row r="2623" spans="3:20">
      <c r="C2623" s="232"/>
      <c r="E2623" s="232"/>
      <c r="G2623" s="232"/>
      <c r="I2623" s="232"/>
      <c r="K2623" s="232"/>
      <c r="M2623" s="232"/>
      <c r="P2623" s="232"/>
      <c r="R2623" s="232"/>
      <c r="T2623" s="232"/>
    </row>
    <row r="2624" spans="3:20">
      <c r="C2624" s="232"/>
      <c r="E2624" s="232"/>
      <c r="G2624" s="232"/>
      <c r="I2624" s="232"/>
      <c r="K2624" s="232"/>
      <c r="M2624" s="232"/>
      <c r="P2624" s="232"/>
      <c r="R2624" s="232"/>
      <c r="T2624" s="232"/>
    </row>
    <row r="2625" spans="3:20">
      <c r="C2625" s="232"/>
      <c r="E2625" s="232"/>
      <c r="G2625" s="232"/>
      <c r="I2625" s="232"/>
      <c r="K2625" s="232"/>
      <c r="M2625" s="232"/>
      <c r="P2625" s="232"/>
      <c r="R2625" s="232"/>
      <c r="T2625" s="232"/>
    </row>
    <row r="2626" spans="3:20">
      <c r="C2626" s="232"/>
      <c r="E2626" s="232"/>
      <c r="G2626" s="232"/>
      <c r="I2626" s="232"/>
      <c r="K2626" s="232"/>
      <c r="M2626" s="232"/>
      <c r="P2626" s="232"/>
      <c r="R2626" s="232"/>
      <c r="T2626" s="232"/>
    </row>
    <row r="2627" spans="3:20">
      <c r="C2627" s="232"/>
      <c r="E2627" s="232"/>
      <c r="G2627" s="232"/>
      <c r="I2627" s="232"/>
      <c r="K2627" s="232"/>
      <c r="M2627" s="232"/>
      <c r="P2627" s="232"/>
      <c r="R2627" s="232"/>
      <c r="T2627" s="232"/>
    </row>
    <row r="2628" spans="3:20">
      <c r="C2628" s="232"/>
      <c r="E2628" s="232"/>
      <c r="G2628" s="232"/>
      <c r="I2628" s="232"/>
      <c r="K2628" s="232"/>
      <c r="M2628" s="232"/>
      <c r="P2628" s="232"/>
      <c r="R2628" s="232"/>
      <c r="T2628" s="232"/>
    </row>
    <row r="2629" spans="3:20">
      <c r="C2629" s="232"/>
      <c r="E2629" s="232"/>
      <c r="G2629" s="232"/>
      <c r="I2629" s="232"/>
      <c r="K2629" s="232"/>
      <c r="M2629" s="232"/>
      <c r="P2629" s="232"/>
      <c r="R2629" s="232"/>
      <c r="T2629" s="232"/>
    </row>
    <row r="2630" spans="3:20">
      <c r="C2630" s="232"/>
      <c r="E2630" s="232"/>
      <c r="G2630" s="232"/>
      <c r="I2630" s="232"/>
      <c r="K2630" s="232"/>
      <c r="M2630" s="232"/>
      <c r="P2630" s="232"/>
      <c r="R2630" s="232"/>
      <c r="T2630" s="232"/>
    </row>
    <row r="2631" spans="3:20">
      <c r="C2631" s="232"/>
      <c r="E2631" s="232"/>
      <c r="G2631" s="232"/>
      <c r="I2631" s="232"/>
      <c r="K2631" s="232"/>
      <c r="M2631" s="232"/>
      <c r="P2631" s="232"/>
      <c r="R2631" s="232"/>
      <c r="T2631" s="232"/>
    </row>
    <row r="2632" spans="3:20">
      <c r="C2632" s="232"/>
      <c r="E2632" s="232"/>
      <c r="G2632" s="232"/>
      <c r="I2632" s="232"/>
      <c r="K2632" s="232"/>
      <c r="M2632" s="232"/>
      <c r="P2632" s="232"/>
      <c r="R2632" s="232"/>
      <c r="T2632" s="232"/>
    </row>
    <row r="2633" spans="3:20">
      <c r="C2633" s="232"/>
      <c r="E2633" s="232"/>
      <c r="G2633" s="232"/>
      <c r="I2633" s="232"/>
      <c r="K2633" s="232"/>
      <c r="M2633" s="232"/>
      <c r="P2633" s="232"/>
      <c r="R2633" s="232"/>
      <c r="T2633" s="232"/>
    </row>
    <row r="2634" spans="3:20">
      <c r="C2634" s="232"/>
      <c r="E2634" s="232"/>
      <c r="G2634" s="232"/>
      <c r="I2634" s="232"/>
      <c r="K2634" s="232"/>
      <c r="M2634" s="232"/>
      <c r="P2634" s="232"/>
      <c r="R2634" s="232"/>
      <c r="T2634" s="232"/>
    </row>
    <row r="2635" spans="3:20">
      <c r="C2635" s="232"/>
      <c r="E2635" s="232"/>
      <c r="G2635" s="232"/>
      <c r="I2635" s="232"/>
      <c r="K2635" s="232"/>
      <c r="M2635" s="232"/>
      <c r="P2635" s="232"/>
      <c r="R2635" s="232"/>
      <c r="T2635" s="232"/>
    </row>
    <row r="2636" spans="3:20">
      <c r="C2636" s="232"/>
      <c r="E2636" s="232"/>
      <c r="G2636" s="232"/>
      <c r="I2636" s="232"/>
      <c r="K2636" s="232"/>
      <c r="M2636" s="232"/>
      <c r="P2636" s="232"/>
      <c r="R2636" s="232"/>
      <c r="T2636" s="232"/>
    </row>
    <row r="2637" spans="3:20">
      <c r="C2637" s="232"/>
      <c r="E2637" s="232"/>
      <c r="G2637" s="232"/>
      <c r="I2637" s="232"/>
      <c r="K2637" s="232"/>
      <c r="M2637" s="232"/>
      <c r="P2637" s="232"/>
      <c r="R2637" s="232"/>
      <c r="T2637" s="232"/>
    </row>
    <row r="2638" spans="3:20">
      <c r="C2638" s="232"/>
      <c r="E2638" s="232"/>
      <c r="G2638" s="232"/>
      <c r="I2638" s="232"/>
      <c r="K2638" s="232"/>
      <c r="M2638" s="232"/>
      <c r="P2638" s="232"/>
      <c r="R2638" s="232"/>
      <c r="T2638" s="232"/>
    </row>
    <row r="2639" spans="3:20">
      <c r="C2639" s="232"/>
      <c r="E2639" s="232"/>
      <c r="G2639" s="232"/>
      <c r="I2639" s="232"/>
      <c r="K2639" s="232"/>
      <c r="M2639" s="232"/>
      <c r="P2639" s="232"/>
      <c r="R2639" s="232"/>
      <c r="T2639" s="232"/>
    </row>
    <row r="2640" spans="3:20">
      <c r="C2640" s="232"/>
      <c r="E2640" s="232"/>
      <c r="G2640" s="232"/>
      <c r="I2640" s="232"/>
      <c r="K2640" s="232"/>
      <c r="M2640" s="232"/>
      <c r="P2640" s="232"/>
      <c r="R2640" s="232"/>
      <c r="T2640" s="232"/>
    </row>
    <row r="2641" spans="3:20">
      <c r="C2641" s="232"/>
      <c r="E2641" s="232"/>
      <c r="G2641" s="232"/>
      <c r="I2641" s="232"/>
      <c r="K2641" s="232"/>
      <c r="M2641" s="232"/>
      <c r="P2641" s="232"/>
      <c r="R2641" s="232"/>
      <c r="T2641" s="232"/>
    </row>
    <row r="2642" spans="3:20">
      <c r="C2642" s="232"/>
      <c r="E2642" s="232"/>
      <c r="G2642" s="232"/>
      <c r="I2642" s="232"/>
      <c r="K2642" s="232"/>
      <c r="M2642" s="232"/>
      <c r="P2642" s="232"/>
      <c r="R2642" s="232"/>
      <c r="T2642" s="232"/>
    </row>
    <row r="2643" spans="3:20">
      <c r="C2643" s="232"/>
      <c r="E2643" s="232"/>
      <c r="G2643" s="232"/>
      <c r="I2643" s="232"/>
      <c r="K2643" s="232"/>
      <c r="M2643" s="232"/>
      <c r="P2643" s="232"/>
      <c r="R2643" s="232"/>
      <c r="T2643" s="232"/>
    </row>
    <row r="2644" spans="3:20">
      <c r="C2644" s="232"/>
      <c r="E2644" s="232"/>
      <c r="G2644" s="232"/>
      <c r="I2644" s="232"/>
      <c r="K2644" s="232"/>
      <c r="M2644" s="232"/>
      <c r="P2644" s="232"/>
      <c r="R2644" s="232"/>
      <c r="T2644" s="232"/>
    </row>
    <row r="2645" spans="3:20">
      <c r="C2645" s="232"/>
      <c r="E2645" s="232"/>
      <c r="G2645" s="232"/>
      <c r="I2645" s="232"/>
      <c r="K2645" s="232"/>
      <c r="M2645" s="232"/>
      <c r="P2645" s="232"/>
      <c r="R2645" s="232"/>
      <c r="T2645" s="232"/>
    </row>
    <row r="2646" spans="3:20">
      <c r="C2646" s="232"/>
      <c r="E2646" s="232"/>
      <c r="G2646" s="232"/>
      <c r="I2646" s="232"/>
      <c r="K2646" s="232"/>
      <c r="M2646" s="232"/>
      <c r="P2646" s="232"/>
      <c r="R2646" s="232"/>
      <c r="T2646" s="232"/>
    </row>
    <row r="2647" spans="3:20">
      <c r="C2647" s="232"/>
      <c r="E2647" s="232"/>
      <c r="G2647" s="232"/>
      <c r="I2647" s="232"/>
      <c r="K2647" s="232"/>
      <c r="M2647" s="232"/>
      <c r="P2647" s="232"/>
      <c r="R2647" s="232"/>
      <c r="T2647" s="232"/>
    </row>
    <row r="2648" spans="3:20">
      <c r="C2648" s="232"/>
      <c r="E2648" s="232"/>
      <c r="G2648" s="232"/>
      <c r="I2648" s="232"/>
      <c r="K2648" s="232"/>
      <c r="M2648" s="232"/>
      <c r="P2648" s="232"/>
      <c r="R2648" s="232"/>
      <c r="T2648" s="232"/>
    </row>
    <row r="2649" spans="3:20">
      <c r="C2649" s="232"/>
      <c r="E2649" s="232"/>
      <c r="G2649" s="232"/>
      <c r="I2649" s="232"/>
      <c r="K2649" s="232"/>
      <c r="M2649" s="232"/>
      <c r="P2649" s="232"/>
      <c r="R2649" s="232"/>
      <c r="T2649" s="232"/>
    </row>
    <row r="2650" spans="3:20">
      <c r="C2650" s="232"/>
      <c r="E2650" s="232"/>
      <c r="G2650" s="232"/>
      <c r="I2650" s="232"/>
      <c r="K2650" s="232"/>
      <c r="M2650" s="232"/>
      <c r="P2650" s="232"/>
      <c r="R2650" s="232"/>
      <c r="T2650" s="232"/>
    </row>
    <row r="2651" spans="3:20">
      <c r="C2651" s="232"/>
      <c r="E2651" s="232"/>
      <c r="G2651" s="232"/>
      <c r="I2651" s="232"/>
      <c r="K2651" s="232"/>
      <c r="M2651" s="232"/>
      <c r="P2651" s="232"/>
      <c r="R2651" s="232"/>
      <c r="T2651" s="232"/>
    </row>
    <row r="2652" spans="3:20">
      <c r="C2652" s="232"/>
      <c r="E2652" s="232"/>
      <c r="G2652" s="232"/>
      <c r="I2652" s="232"/>
      <c r="K2652" s="232"/>
      <c r="M2652" s="232"/>
      <c r="P2652" s="232"/>
      <c r="R2652" s="232"/>
      <c r="T2652" s="232"/>
    </row>
    <row r="2653" spans="3:20">
      <c r="C2653" s="232"/>
      <c r="E2653" s="232"/>
      <c r="G2653" s="232"/>
      <c r="I2653" s="232"/>
      <c r="K2653" s="232"/>
      <c r="M2653" s="232"/>
      <c r="P2653" s="232"/>
      <c r="R2653" s="232"/>
      <c r="T2653" s="232"/>
    </row>
    <row r="2654" spans="3:20">
      <c r="C2654" s="232"/>
      <c r="E2654" s="232"/>
      <c r="G2654" s="232"/>
      <c r="I2654" s="232"/>
      <c r="K2654" s="232"/>
      <c r="M2654" s="232"/>
      <c r="P2654" s="232"/>
      <c r="R2654" s="232"/>
      <c r="T2654" s="232"/>
    </row>
    <row r="2655" spans="3:20">
      <c r="C2655" s="232"/>
      <c r="E2655" s="232"/>
      <c r="G2655" s="232"/>
      <c r="I2655" s="232"/>
      <c r="K2655" s="232"/>
      <c r="M2655" s="232"/>
      <c r="P2655" s="232"/>
      <c r="R2655" s="232"/>
      <c r="T2655" s="232"/>
    </row>
    <row r="2656" spans="3:20">
      <c r="C2656" s="232"/>
      <c r="E2656" s="232"/>
      <c r="G2656" s="232"/>
      <c r="I2656" s="232"/>
      <c r="K2656" s="232"/>
      <c r="M2656" s="232"/>
      <c r="P2656" s="232"/>
      <c r="R2656" s="232"/>
      <c r="T2656" s="232"/>
    </row>
    <row r="2657" spans="3:20">
      <c r="C2657" s="232"/>
      <c r="E2657" s="232"/>
      <c r="G2657" s="232"/>
      <c r="I2657" s="232"/>
      <c r="K2657" s="232"/>
      <c r="M2657" s="232"/>
      <c r="P2657" s="232"/>
      <c r="R2657" s="232"/>
      <c r="T2657" s="232"/>
    </row>
    <row r="2658" spans="3:20">
      <c r="C2658" s="232"/>
      <c r="E2658" s="232"/>
      <c r="G2658" s="232"/>
      <c r="I2658" s="232"/>
      <c r="K2658" s="232"/>
      <c r="M2658" s="232"/>
      <c r="P2658" s="232"/>
      <c r="R2658" s="232"/>
      <c r="T2658" s="232"/>
    </row>
    <row r="2659" spans="3:20">
      <c r="C2659" s="232"/>
      <c r="E2659" s="232"/>
      <c r="G2659" s="232"/>
      <c r="I2659" s="232"/>
      <c r="K2659" s="232"/>
      <c r="M2659" s="232"/>
      <c r="P2659" s="232"/>
      <c r="R2659" s="232"/>
      <c r="T2659" s="232"/>
    </row>
    <row r="2660" spans="3:20">
      <c r="C2660" s="232"/>
      <c r="E2660" s="232"/>
      <c r="G2660" s="232"/>
      <c r="I2660" s="232"/>
      <c r="K2660" s="232"/>
      <c r="M2660" s="232"/>
      <c r="P2660" s="232"/>
      <c r="R2660" s="232"/>
      <c r="T2660" s="232"/>
    </row>
    <row r="2661" spans="3:20">
      <c r="C2661" s="232"/>
      <c r="E2661" s="232"/>
      <c r="G2661" s="232"/>
      <c r="I2661" s="232"/>
      <c r="K2661" s="232"/>
      <c r="M2661" s="232"/>
      <c r="P2661" s="232"/>
      <c r="R2661" s="232"/>
      <c r="T2661" s="232"/>
    </row>
    <row r="2662" spans="3:20">
      <c r="C2662" s="232"/>
      <c r="E2662" s="232"/>
      <c r="G2662" s="232"/>
      <c r="I2662" s="232"/>
      <c r="K2662" s="232"/>
      <c r="M2662" s="232"/>
      <c r="P2662" s="232"/>
      <c r="R2662" s="232"/>
      <c r="T2662" s="232"/>
    </row>
    <row r="2663" spans="3:20">
      <c r="C2663" s="232"/>
      <c r="E2663" s="232"/>
      <c r="G2663" s="232"/>
      <c r="I2663" s="232"/>
      <c r="K2663" s="232"/>
      <c r="M2663" s="232"/>
      <c r="P2663" s="232"/>
      <c r="R2663" s="232"/>
      <c r="T2663" s="232"/>
    </row>
    <row r="2664" spans="3:20">
      <c r="C2664" s="232"/>
      <c r="E2664" s="232"/>
      <c r="G2664" s="232"/>
      <c r="I2664" s="232"/>
      <c r="K2664" s="232"/>
      <c r="M2664" s="232"/>
      <c r="P2664" s="232"/>
      <c r="R2664" s="232"/>
      <c r="T2664" s="232"/>
    </row>
    <row r="2665" spans="3:20">
      <c r="C2665" s="232"/>
      <c r="E2665" s="232"/>
      <c r="G2665" s="232"/>
      <c r="I2665" s="232"/>
      <c r="K2665" s="232"/>
      <c r="M2665" s="232"/>
      <c r="P2665" s="232"/>
      <c r="R2665" s="232"/>
      <c r="T2665" s="232"/>
    </row>
    <row r="2666" spans="3:20">
      <c r="C2666" s="232"/>
      <c r="E2666" s="232"/>
      <c r="G2666" s="232"/>
      <c r="I2666" s="232"/>
      <c r="K2666" s="232"/>
      <c r="M2666" s="232"/>
      <c r="P2666" s="232"/>
      <c r="R2666" s="232"/>
      <c r="T2666" s="232"/>
    </row>
    <row r="2667" spans="3:20">
      <c r="C2667" s="232"/>
      <c r="E2667" s="232"/>
      <c r="G2667" s="232"/>
      <c r="I2667" s="232"/>
      <c r="K2667" s="232"/>
      <c r="M2667" s="232"/>
      <c r="P2667" s="232"/>
      <c r="R2667" s="232"/>
      <c r="T2667" s="232"/>
    </row>
    <row r="2668" spans="3:20">
      <c r="C2668" s="232"/>
      <c r="E2668" s="232"/>
      <c r="G2668" s="232"/>
      <c r="I2668" s="232"/>
      <c r="K2668" s="232"/>
      <c r="M2668" s="232"/>
      <c r="P2668" s="232"/>
      <c r="R2668" s="232"/>
      <c r="T2668" s="232"/>
    </row>
    <row r="2669" spans="3:20">
      <c r="C2669" s="232"/>
      <c r="E2669" s="232"/>
      <c r="G2669" s="232"/>
      <c r="I2669" s="232"/>
      <c r="K2669" s="232"/>
      <c r="M2669" s="232"/>
      <c r="P2669" s="232"/>
      <c r="R2669" s="232"/>
      <c r="T2669" s="232"/>
    </row>
    <row r="2670" spans="3:20">
      <c r="C2670" s="232"/>
      <c r="E2670" s="232"/>
      <c r="G2670" s="232"/>
      <c r="I2670" s="232"/>
      <c r="K2670" s="232"/>
      <c r="M2670" s="232"/>
      <c r="P2670" s="232"/>
      <c r="R2670" s="232"/>
      <c r="T2670" s="232"/>
    </row>
    <row r="2671" spans="3:20">
      <c r="C2671" s="232"/>
      <c r="E2671" s="232"/>
      <c r="G2671" s="232"/>
      <c r="I2671" s="232"/>
      <c r="K2671" s="232"/>
      <c r="M2671" s="232"/>
      <c r="P2671" s="232"/>
      <c r="R2671" s="232"/>
      <c r="T2671" s="232"/>
    </row>
    <row r="2672" spans="3:20">
      <c r="C2672" s="232"/>
      <c r="E2672" s="232"/>
      <c r="G2672" s="232"/>
      <c r="I2672" s="232"/>
      <c r="K2672" s="232"/>
      <c r="M2672" s="232"/>
      <c r="P2672" s="232"/>
      <c r="R2672" s="232"/>
      <c r="T2672" s="232"/>
    </row>
    <row r="2673" spans="3:20">
      <c r="C2673" s="232"/>
      <c r="E2673" s="232"/>
      <c r="G2673" s="232"/>
      <c r="I2673" s="232"/>
      <c r="K2673" s="232"/>
      <c r="M2673" s="232"/>
      <c r="P2673" s="232"/>
      <c r="R2673" s="232"/>
      <c r="T2673" s="232"/>
    </row>
    <row r="2674" spans="3:20">
      <c r="C2674" s="232"/>
      <c r="E2674" s="232"/>
      <c r="G2674" s="232"/>
      <c r="I2674" s="232"/>
      <c r="K2674" s="232"/>
      <c r="M2674" s="232"/>
      <c r="P2674" s="232"/>
      <c r="R2674" s="232"/>
      <c r="T2674" s="232"/>
    </row>
    <row r="2675" spans="3:20">
      <c r="C2675" s="232"/>
      <c r="E2675" s="232"/>
      <c r="G2675" s="232"/>
      <c r="I2675" s="232"/>
      <c r="K2675" s="232"/>
      <c r="M2675" s="232"/>
      <c r="P2675" s="232"/>
      <c r="R2675" s="232"/>
      <c r="T2675" s="232"/>
    </row>
    <row r="2676" spans="3:20">
      <c r="C2676" s="232"/>
      <c r="E2676" s="232"/>
      <c r="G2676" s="232"/>
      <c r="I2676" s="232"/>
      <c r="K2676" s="232"/>
      <c r="M2676" s="232"/>
      <c r="P2676" s="232"/>
      <c r="R2676" s="232"/>
      <c r="T2676" s="232"/>
    </row>
    <row r="2677" spans="3:20">
      <c r="C2677" s="232"/>
      <c r="E2677" s="232"/>
      <c r="G2677" s="232"/>
      <c r="I2677" s="232"/>
      <c r="K2677" s="232"/>
      <c r="M2677" s="232"/>
      <c r="P2677" s="232"/>
      <c r="R2677" s="232"/>
      <c r="T2677" s="232"/>
    </row>
    <row r="2678" spans="3:20">
      <c r="C2678" s="232"/>
      <c r="E2678" s="232"/>
      <c r="G2678" s="232"/>
      <c r="I2678" s="232"/>
      <c r="K2678" s="232"/>
      <c r="M2678" s="232"/>
      <c r="P2678" s="232"/>
      <c r="R2678" s="232"/>
      <c r="T2678" s="232"/>
    </row>
    <row r="2679" spans="3:20">
      <c r="C2679" s="232"/>
      <c r="E2679" s="232"/>
      <c r="G2679" s="232"/>
      <c r="I2679" s="232"/>
      <c r="K2679" s="232"/>
      <c r="M2679" s="232"/>
      <c r="P2679" s="232"/>
      <c r="R2679" s="232"/>
      <c r="T2679" s="232"/>
    </row>
    <row r="2680" spans="3:20">
      <c r="C2680" s="232"/>
      <c r="E2680" s="232"/>
      <c r="G2680" s="232"/>
      <c r="I2680" s="232"/>
      <c r="K2680" s="232"/>
      <c r="M2680" s="232"/>
      <c r="P2680" s="232"/>
      <c r="R2680" s="232"/>
      <c r="T2680" s="232"/>
    </row>
    <row r="2681" spans="3:20">
      <c r="C2681" s="232"/>
      <c r="E2681" s="232"/>
      <c r="G2681" s="232"/>
      <c r="I2681" s="232"/>
      <c r="K2681" s="232"/>
      <c r="M2681" s="232"/>
      <c r="P2681" s="232"/>
      <c r="R2681" s="232"/>
      <c r="T2681" s="232"/>
    </row>
    <row r="2682" spans="3:20">
      <c r="C2682" s="232"/>
      <c r="E2682" s="232"/>
      <c r="G2682" s="232"/>
      <c r="I2682" s="232"/>
      <c r="K2682" s="232"/>
      <c r="M2682" s="232"/>
      <c r="P2682" s="232"/>
      <c r="R2682" s="232"/>
      <c r="T2682" s="232"/>
    </row>
    <row r="2683" spans="3:20">
      <c r="C2683" s="232"/>
      <c r="E2683" s="232"/>
      <c r="G2683" s="232"/>
      <c r="I2683" s="232"/>
      <c r="K2683" s="232"/>
      <c r="M2683" s="232"/>
      <c r="P2683" s="232"/>
      <c r="R2683" s="232"/>
      <c r="T2683" s="232"/>
    </row>
    <row r="2684" spans="3:20">
      <c r="C2684" s="232"/>
      <c r="E2684" s="232"/>
      <c r="G2684" s="232"/>
      <c r="I2684" s="232"/>
      <c r="K2684" s="232"/>
      <c r="M2684" s="232"/>
      <c r="P2684" s="232"/>
      <c r="R2684" s="232"/>
      <c r="T2684" s="232"/>
    </row>
    <row r="2685" spans="3:20">
      <c r="C2685" s="232"/>
      <c r="E2685" s="232"/>
      <c r="G2685" s="232"/>
      <c r="I2685" s="232"/>
      <c r="K2685" s="232"/>
      <c r="M2685" s="232"/>
      <c r="P2685" s="232"/>
      <c r="R2685" s="232"/>
      <c r="T2685" s="232"/>
    </row>
    <row r="2686" spans="3:20">
      <c r="C2686" s="232"/>
      <c r="E2686" s="232"/>
      <c r="G2686" s="232"/>
      <c r="I2686" s="232"/>
      <c r="K2686" s="232"/>
      <c r="M2686" s="232"/>
      <c r="P2686" s="232"/>
      <c r="R2686" s="232"/>
      <c r="T2686" s="232"/>
    </row>
    <row r="2687" spans="3:20">
      <c r="C2687" s="232"/>
      <c r="E2687" s="232"/>
      <c r="G2687" s="232"/>
      <c r="I2687" s="232"/>
      <c r="K2687" s="232"/>
      <c r="M2687" s="232"/>
      <c r="P2687" s="232"/>
      <c r="R2687" s="232"/>
      <c r="T2687" s="232"/>
    </row>
    <row r="2688" spans="3:20">
      <c r="C2688" s="232"/>
      <c r="E2688" s="232"/>
      <c r="G2688" s="232"/>
      <c r="I2688" s="232"/>
      <c r="K2688" s="232"/>
      <c r="M2688" s="232"/>
      <c r="P2688" s="232"/>
      <c r="R2688" s="232"/>
      <c r="T2688" s="232"/>
    </row>
    <row r="2689" spans="3:20">
      <c r="C2689" s="232"/>
      <c r="E2689" s="232"/>
      <c r="G2689" s="232"/>
      <c r="I2689" s="232"/>
      <c r="K2689" s="232"/>
      <c r="M2689" s="232"/>
      <c r="P2689" s="232"/>
      <c r="R2689" s="232"/>
      <c r="T2689" s="232"/>
    </row>
    <row r="2690" spans="3:20">
      <c r="C2690" s="232"/>
      <c r="E2690" s="232"/>
      <c r="G2690" s="232"/>
      <c r="I2690" s="232"/>
      <c r="K2690" s="232"/>
      <c r="M2690" s="232"/>
      <c r="P2690" s="232"/>
      <c r="R2690" s="232"/>
      <c r="T2690" s="232"/>
    </row>
    <row r="2691" spans="3:20">
      <c r="C2691" s="232"/>
      <c r="E2691" s="232"/>
      <c r="G2691" s="232"/>
      <c r="I2691" s="232"/>
      <c r="K2691" s="232"/>
      <c r="M2691" s="232"/>
      <c r="P2691" s="232"/>
      <c r="R2691" s="232"/>
      <c r="T2691" s="232"/>
    </row>
    <row r="2692" spans="3:20">
      <c r="C2692" s="232"/>
      <c r="E2692" s="232"/>
      <c r="G2692" s="232"/>
      <c r="I2692" s="232"/>
      <c r="K2692" s="232"/>
      <c r="M2692" s="232"/>
      <c r="P2692" s="232"/>
      <c r="R2692" s="232"/>
      <c r="T2692" s="232"/>
    </row>
    <row r="2693" spans="3:20">
      <c r="C2693" s="232"/>
      <c r="E2693" s="232"/>
      <c r="G2693" s="232"/>
      <c r="I2693" s="232"/>
      <c r="K2693" s="232"/>
      <c r="M2693" s="232"/>
      <c r="P2693" s="232"/>
      <c r="R2693" s="232"/>
      <c r="T2693" s="232"/>
    </row>
    <row r="2694" spans="3:20">
      <c r="C2694" s="232"/>
      <c r="E2694" s="232"/>
      <c r="G2694" s="232"/>
      <c r="I2694" s="232"/>
      <c r="K2694" s="232"/>
      <c r="M2694" s="232"/>
      <c r="P2694" s="232"/>
      <c r="R2694" s="232"/>
      <c r="T2694" s="232"/>
    </row>
    <row r="2695" spans="3:20">
      <c r="C2695" s="232"/>
      <c r="E2695" s="232"/>
      <c r="G2695" s="232"/>
      <c r="I2695" s="232"/>
      <c r="K2695" s="232"/>
      <c r="M2695" s="232"/>
      <c r="P2695" s="232"/>
      <c r="R2695" s="232"/>
      <c r="T2695" s="232"/>
    </row>
    <row r="2696" spans="3:20">
      <c r="C2696" s="232"/>
      <c r="E2696" s="232"/>
      <c r="G2696" s="232"/>
      <c r="I2696" s="232"/>
      <c r="K2696" s="232"/>
      <c r="M2696" s="232"/>
      <c r="P2696" s="232"/>
      <c r="R2696" s="232"/>
      <c r="T2696" s="232"/>
    </row>
    <row r="2697" spans="3:20">
      <c r="C2697" s="232"/>
      <c r="E2697" s="232"/>
      <c r="G2697" s="232"/>
      <c r="I2697" s="232"/>
      <c r="K2697" s="232"/>
      <c r="M2697" s="232"/>
      <c r="P2697" s="232"/>
      <c r="R2697" s="232"/>
      <c r="T2697" s="232"/>
    </row>
    <row r="2698" spans="3:20">
      <c r="C2698" s="232"/>
      <c r="E2698" s="232"/>
      <c r="G2698" s="232"/>
      <c r="I2698" s="232"/>
      <c r="K2698" s="232"/>
      <c r="M2698" s="232"/>
      <c r="P2698" s="232"/>
      <c r="R2698" s="232"/>
      <c r="T2698" s="232"/>
    </row>
    <row r="2699" spans="3:20">
      <c r="C2699" s="232"/>
      <c r="E2699" s="232"/>
      <c r="G2699" s="232"/>
      <c r="I2699" s="232"/>
      <c r="K2699" s="232"/>
      <c r="M2699" s="232"/>
      <c r="P2699" s="232"/>
      <c r="R2699" s="232"/>
      <c r="T2699" s="232"/>
    </row>
    <row r="2700" spans="3:20">
      <c r="C2700" s="232"/>
      <c r="E2700" s="232"/>
      <c r="G2700" s="232"/>
      <c r="I2700" s="232"/>
      <c r="K2700" s="232"/>
      <c r="M2700" s="232"/>
      <c r="P2700" s="232"/>
      <c r="R2700" s="232"/>
      <c r="T2700" s="232"/>
    </row>
    <row r="2701" spans="3:20">
      <c r="C2701" s="232"/>
      <c r="E2701" s="232"/>
      <c r="G2701" s="232"/>
      <c r="I2701" s="232"/>
      <c r="K2701" s="232"/>
      <c r="M2701" s="232"/>
      <c r="P2701" s="232"/>
      <c r="R2701" s="232"/>
      <c r="T2701" s="232"/>
    </row>
    <row r="2702" spans="3:20">
      <c r="C2702" s="232"/>
      <c r="E2702" s="232"/>
      <c r="G2702" s="232"/>
      <c r="I2702" s="232"/>
      <c r="K2702" s="232"/>
      <c r="M2702" s="232"/>
      <c r="P2702" s="232"/>
      <c r="R2702" s="232"/>
      <c r="T2702" s="232"/>
    </row>
    <row r="2703" spans="3:20">
      <c r="C2703" s="232"/>
      <c r="E2703" s="232"/>
      <c r="G2703" s="232"/>
      <c r="I2703" s="232"/>
      <c r="K2703" s="232"/>
      <c r="M2703" s="232"/>
      <c r="P2703" s="232"/>
      <c r="R2703" s="232"/>
      <c r="T2703" s="232"/>
    </row>
    <row r="2704" spans="3:20">
      <c r="C2704" s="232"/>
      <c r="E2704" s="232"/>
      <c r="G2704" s="232"/>
      <c r="I2704" s="232"/>
      <c r="K2704" s="232"/>
      <c r="M2704" s="232"/>
      <c r="P2704" s="232"/>
      <c r="R2704" s="232"/>
      <c r="T2704" s="232"/>
    </row>
    <row r="2705" spans="3:20">
      <c r="C2705" s="232"/>
      <c r="E2705" s="232"/>
      <c r="G2705" s="232"/>
      <c r="I2705" s="232"/>
      <c r="K2705" s="232"/>
      <c r="M2705" s="232"/>
      <c r="P2705" s="232"/>
      <c r="R2705" s="232"/>
      <c r="T2705" s="232"/>
    </row>
    <row r="2706" spans="3:20">
      <c r="C2706" s="232"/>
      <c r="E2706" s="232"/>
      <c r="G2706" s="232"/>
      <c r="I2706" s="232"/>
      <c r="K2706" s="232"/>
      <c r="M2706" s="232"/>
      <c r="P2706" s="232"/>
      <c r="R2706" s="232"/>
      <c r="T2706" s="232"/>
    </row>
    <row r="2707" spans="3:20">
      <c r="C2707" s="232"/>
      <c r="E2707" s="232"/>
      <c r="G2707" s="232"/>
      <c r="I2707" s="232"/>
      <c r="K2707" s="232"/>
      <c r="M2707" s="232"/>
      <c r="P2707" s="232"/>
      <c r="R2707" s="232"/>
      <c r="T2707" s="232"/>
    </row>
    <row r="2708" spans="3:20">
      <c r="C2708" s="232"/>
      <c r="E2708" s="232"/>
      <c r="G2708" s="232"/>
      <c r="I2708" s="232"/>
      <c r="K2708" s="232"/>
      <c r="M2708" s="232"/>
      <c r="P2708" s="232"/>
      <c r="R2708" s="232"/>
      <c r="T2708" s="232"/>
    </row>
    <row r="2709" spans="3:20">
      <c r="C2709" s="232"/>
      <c r="E2709" s="232"/>
      <c r="G2709" s="232"/>
      <c r="I2709" s="232"/>
      <c r="K2709" s="232"/>
      <c r="M2709" s="232"/>
      <c r="P2709" s="232"/>
      <c r="R2709" s="232"/>
      <c r="T2709" s="232"/>
    </row>
    <row r="2710" spans="3:20">
      <c r="C2710" s="232"/>
      <c r="E2710" s="232"/>
      <c r="G2710" s="232"/>
      <c r="I2710" s="232"/>
      <c r="K2710" s="232"/>
      <c r="M2710" s="232"/>
      <c r="P2710" s="232"/>
      <c r="R2710" s="232"/>
      <c r="T2710" s="232"/>
    </row>
    <row r="2711" spans="3:20">
      <c r="C2711" s="232"/>
      <c r="E2711" s="232"/>
      <c r="G2711" s="232"/>
      <c r="I2711" s="232"/>
      <c r="K2711" s="232"/>
      <c r="M2711" s="232"/>
      <c r="P2711" s="232"/>
      <c r="R2711" s="232"/>
      <c r="T2711" s="232"/>
    </row>
    <row r="2712" spans="3:20">
      <c r="C2712" s="232"/>
      <c r="E2712" s="232"/>
      <c r="G2712" s="232"/>
      <c r="I2712" s="232"/>
      <c r="K2712" s="232"/>
      <c r="M2712" s="232"/>
      <c r="P2712" s="232"/>
      <c r="R2712" s="232"/>
      <c r="T2712" s="232"/>
    </row>
    <row r="2713" spans="3:20">
      <c r="C2713" s="232"/>
      <c r="E2713" s="232"/>
      <c r="G2713" s="232"/>
      <c r="I2713" s="232"/>
      <c r="K2713" s="232"/>
      <c r="M2713" s="232"/>
      <c r="P2713" s="232"/>
      <c r="R2713" s="232"/>
      <c r="T2713" s="232"/>
    </row>
    <row r="2714" spans="3:20">
      <c r="C2714" s="232"/>
      <c r="E2714" s="232"/>
      <c r="G2714" s="232"/>
      <c r="I2714" s="232"/>
      <c r="K2714" s="232"/>
      <c r="M2714" s="232"/>
      <c r="P2714" s="232"/>
      <c r="R2714" s="232"/>
      <c r="T2714" s="232"/>
    </row>
    <row r="2715" spans="3:20">
      <c r="C2715" s="232"/>
      <c r="E2715" s="232"/>
      <c r="G2715" s="232"/>
      <c r="I2715" s="232"/>
      <c r="K2715" s="232"/>
      <c r="M2715" s="232"/>
      <c r="P2715" s="232"/>
      <c r="R2715" s="232"/>
      <c r="T2715" s="232"/>
    </row>
    <row r="2716" spans="3:20">
      <c r="C2716" s="232"/>
      <c r="E2716" s="232"/>
      <c r="G2716" s="232"/>
      <c r="I2716" s="232"/>
      <c r="K2716" s="232"/>
      <c r="M2716" s="232"/>
      <c r="P2716" s="232"/>
      <c r="R2716" s="232"/>
      <c r="T2716" s="232"/>
    </row>
    <row r="2717" spans="3:20">
      <c r="C2717" s="232"/>
      <c r="E2717" s="232"/>
      <c r="G2717" s="232"/>
      <c r="I2717" s="232"/>
      <c r="K2717" s="232"/>
      <c r="M2717" s="232"/>
      <c r="P2717" s="232"/>
      <c r="R2717" s="232"/>
      <c r="T2717" s="232"/>
    </row>
    <row r="2718" spans="3:20">
      <c r="C2718" s="232"/>
      <c r="E2718" s="232"/>
      <c r="G2718" s="232"/>
      <c r="I2718" s="232"/>
      <c r="K2718" s="232"/>
      <c r="M2718" s="232"/>
      <c r="P2718" s="232"/>
      <c r="R2718" s="232"/>
      <c r="T2718" s="232"/>
    </row>
    <row r="2719" spans="3:20">
      <c r="C2719" s="232"/>
      <c r="E2719" s="232"/>
      <c r="G2719" s="232"/>
      <c r="I2719" s="232"/>
      <c r="K2719" s="232"/>
      <c r="M2719" s="232"/>
      <c r="P2719" s="232"/>
      <c r="R2719" s="232"/>
      <c r="T2719" s="232"/>
    </row>
    <row r="2720" spans="3:20">
      <c r="C2720" s="232"/>
      <c r="E2720" s="232"/>
      <c r="G2720" s="232"/>
      <c r="I2720" s="232"/>
      <c r="K2720" s="232"/>
      <c r="M2720" s="232"/>
      <c r="P2720" s="232"/>
      <c r="R2720" s="232"/>
      <c r="T2720" s="232"/>
    </row>
    <row r="2721" spans="3:20">
      <c r="C2721" s="232"/>
      <c r="E2721" s="232"/>
      <c r="G2721" s="232"/>
      <c r="I2721" s="232"/>
      <c r="K2721" s="232"/>
      <c r="M2721" s="232"/>
      <c r="P2721" s="232"/>
      <c r="R2721" s="232"/>
      <c r="T2721" s="232"/>
    </row>
    <row r="2722" spans="3:20">
      <c r="C2722" s="232"/>
      <c r="E2722" s="232"/>
      <c r="G2722" s="232"/>
      <c r="I2722" s="232"/>
      <c r="K2722" s="232"/>
      <c r="M2722" s="232"/>
      <c r="P2722" s="232"/>
      <c r="R2722" s="232"/>
      <c r="T2722" s="232"/>
    </row>
    <row r="2723" spans="3:20">
      <c r="C2723" s="232"/>
      <c r="E2723" s="232"/>
      <c r="G2723" s="232"/>
      <c r="I2723" s="232"/>
      <c r="K2723" s="232"/>
      <c r="M2723" s="232"/>
      <c r="P2723" s="232"/>
      <c r="R2723" s="232"/>
      <c r="T2723" s="232"/>
    </row>
    <row r="2724" spans="3:20">
      <c r="C2724" s="232"/>
      <c r="E2724" s="232"/>
      <c r="G2724" s="232"/>
      <c r="I2724" s="232"/>
      <c r="K2724" s="232"/>
      <c r="M2724" s="232"/>
      <c r="P2724" s="232"/>
      <c r="R2724" s="232"/>
      <c r="T2724" s="232"/>
    </row>
    <row r="2725" spans="3:20">
      <c r="C2725" s="232"/>
      <c r="E2725" s="232"/>
      <c r="G2725" s="232"/>
      <c r="I2725" s="232"/>
      <c r="K2725" s="232"/>
      <c r="M2725" s="232"/>
      <c r="P2725" s="232"/>
      <c r="R2725" s="232"/>
      <c r="T2725" s="232"/>
    </row>
    <row r="2726" spans="3:20">
      <c r="C2726" s="232"/>
      <c r="E2726" s="232"/>
      <c r="G2726" s="232"/>
      <c r="I2726" s="232"/>
      <c r="K2726" s="232"/>
      <c r="M2726" s="232"/>
      <c r="P2726" s="232"/>
      <c r="R2726" s="232"/>
      <c r="T2726" s="232"/>
    </row>
    <row r="2727" spans="3:20">
      <c r="C2727" s="232"/>
      <c r="E2727" s="232"/>
      <c r="G2727" s="232"/>
      <c r="I2727" s="232"/>
      <c r="K2727" s="232"/>
      <c r="M2727" s="232"/>
      <c r="P2727" s="232"/>
      <c r="R2727" s="232"/>
      <c r="T2727" s="232"/>
    </row>
    <row r="2728" spans="3:20">
      <c r="C2728" s="232"/>
      <c r="E2728" s="232"/>
      <c r="G2728" s="232"/>
      <c r="I2728" s="232"/>
      <c r="K2728" s="232"/>
      <c r="M2728" s="232"/>
      <c r="P2728" s="232"/>
      <c r="R2728" s="232"/>
      <c r="T2728" s="232"/>
    </row>
    <row r="2729" spans="3:20">
      <c r="C2729" s="232"/>
      <c r="E2729" s="232"/>
      <c r="G2729" s="232"/>
      <c r="I2729" s="232"/>
      <c r="K2729" s="232"/>
      <c r="M2729" s="232"/>
      <c r="P2729" s="232"/>
      <c r="R2729" s="232"/>
      <c r="T2729" s="232"/>
    </row>
    <row r="2730" spans="3:20">
      <c r="C2730" s="232"/>
      <c r="E2730" s="232"/>
      <c r="G2730" s="232"/>
      <c r="I2730" s="232"/>
      <c r="K2730" s="232"/>
      <c r="M2730" s="232"/>
      <c r="P2730" s="232"/>
      <c r="R2730" s="232"/>
      <c r="T2730" s="232"/>
    </row>
    <row r="2731" spans="3:20">
      <c r="C2731" s="232"/>
      <c r="E2731" s="232"/>
      <c r="G2731" s="232"/>
      <c r="I2731" s="232"/>
      <c r="K2731" s="232"/>
      <c r="M2731" s="232"/>
      <c r="P2731" s="232"/>
      <c r="R2731" s="232"/>
      <c r="T2731" s="232"/>
    </row>
    <row r="2732" spans="3:20">
      <c r="C2732" s="232"/>
      <c r="E2732" s="232"/>
      <c r="G2732" s="232"/>
      <c r="I2732" s="232"/>
      <c r="K2732" s="232"/>
      <c r="M2732" s="232"/>
      <c r="P2732" s="232"/>
      <c r="R2732" s="232"/>
      <c r="T2732" s="232"/>
    </row>
    <row r="2733" spans="3:20">
      <c r="C2733" s="232"/>
      <c r="E2733" s="232"/>
      <c r="G2733" s="232"/>
      <c r="I2733" s="232"/>
      <c r="K2733" s="232"/>
      <c r="M2733" s="232"/>
      <c r="P2733" s="232"/>
      <c r="R2733" s="232"/>
      <c r="T2733" s="232"/>
    </row>
    <row r="2734" spans="3:20">
      <c r="C2734" s="232"/>
      <c r="E2734" s="232"/>
      <c r="G2734" s="232"/>
      <c r="I2734" s="232"/>
      <c r="K2734" s="232"/>
      <c r="M2734" s="232"/>
      <c r="P2734" s="232"/>
      <c r="R2734" s="232"/>
      <c r="T2734" s="232"/>
    </row>
    <row r="2735" spans="3:20">
      <c r="C2735" s="232"/>
      <c r="E2735" s="232"/>
      <c r="G2735" s="232"/>
      <c r="I2735" s="232"/>
      <c r="K2735" s="232"/>
      <c r="M2735" s="232"/>
      <c r="P2735" s="232"/>
      <c r="R2735" s="232"/>
      <c r="T2735" s="232"/>
    </row>
    <row r="2736" spans="3:20">
      <c r="C2736" s="232"/>
      <c r="E2736" s="232"/>
      <c r="G2736" s="232"/>
      <c r="I2736" s="232"/>
      <c r="K2736" s="232"/>
      <c r="M2736" s="232"/>
      <c r="P2736" s="232"/>
      <c r="R2736" s="232"/>
      <c r="T2736" s="232"/>
    </row>
    <row r="2737" spans="3:20">
      <c r="C2737" s="232"/>
      <c r="E2737" s="232"/>
      <c r="G2737" s="232"/>
      <c r="I2737" s="232"/>
      <c r="K2737" s="232"/>
      <c r="M2737" s="232"/>
      <c r="P2737" s="232"/>
      <c r="R2737" s="232"/>
      <c r="T2737" s="232"/>
    </row>
    <row r="2738" spans="3:20">
      <c r="C2738" s="232"/>
      <c r="E2738" s="232"/>
      <c r="G2738" s="232"/>
      <c r="I2738" s="232"/>
      <c r="K2738" s="232"/>
      <c r="M2738" s="232"/>
      <c r="P2738" s="232"/>
      <c r="R2738" s="232"/>
      <c r="T2738" s="232"/>
    </row>
    <row r="2739" spans="3:20">
      <c r="C2739" s="232"/>
      <c r="E2739" s="232"/>
      <c r="G2739" s="232"/>
      <c r="I2739" s="232"/>
      <c r="K2739" s="232"/>
      <c r="M2739" s="232"/>
      <c r="P2739" s="232"/>
      <c r="R2739" s="232"/>
      <c r="T2739" s="232"/>
    </row>
    <row r="2740" spans="3:20">
      <c r="C2740" s="232"/>
      <c r="E2740" s="232"/>
      <c r="G2740" s="232"/>
      <c r="I2740" s="232"/>
      <c r="K2740" s="232"/>
      <c r="M2740" s="232"/>
      <c r="P2740" s="232"/>
      <c r="R2740" s="232"/>
      <c r="T2740" s="232"/>
    </row>
    <row r="2741" spans="3:20">
      <c r="C2741" s="232"/>
      <c r="E2741" s="232"/>
      <c r="G2741" s="232"/>
      <c r="I2741" s="232"/>
      <c r="K2741" s="232"/>
      <c r="M2741" s="232"/>
      <c r="P2741" s="232"/>
      <c r="R2741" s="232"/>
      <c r="T2741" s="232"/>
    </row>
    <row r="2742" spans="3:20">
      <c r="C2742" s="232"/>
      <c r="E2742" s="232"/>
      <c r="G2742" s="232"/>
      <c r="I2742" s="232"/>
      <c r="K2742" s="232"/>
      <c r="M2742" s="232"/>
      <c r="P2742" s="232"/>
      <c r="R2742" s="232"/>
      <c r="T2742" s="232"/>
    </row>
    <row r="2743" spans="3:20">
      <c r="C2743" s="232"/>
      <c r="E2743" s="232"/>
      <c r="G2743" s="232"/>
      <c r="I2743" s="232"/>
      <c r="K2743" s="232"/>
      <c r="M2743" s="232"/>
      <c r="P2743" s="232"/>
      <c r="R2743" s="232"/>
      <c r="T2743" s="232"/>
    </row>
    <row r="2744" spans="3:20">
      <c r="C2744" s="232"/>
      <c r="E2744" s="232"/>
      <c r="G2744" s="232"/>
      <c r="I2744" s="232"/>
      <c r="K2744" s="232"/>
      <c r="M2744" s="232"/>
      <c r="P2744" s="232"/>
      <c r="R2744" s="232"/>
      <c r="T2744" s="232"/>
    </row>
    <row r="2745" spans="3:20">
      <c r="C2745" s="232"/>
      <c r="E2745" s="232"/>
      <c r="G2745" s="232"/>
      <c r="I2745" s="232"/>
      <c r="K2745" s="232"/>
      <c r="M2745" s="232"/>
      <c r="P2745" s="232"/>
      <c r="R2745" s="232"/>
      <c r="T2745" s="232"/>
    </row>
    <row r="2746" spans="3:20">
      <c r="C2746" s="232"/>
      <c r="E2746" s="232"/>
      <c r="G2746" s="232"/>
      <c r="I2746" s="232"/>
      <c r="K2746" s="232"/>
      <c r="M2746" s="232"/>
      <c r="P2746" s="232"/>
      <c r="R2746" s="232"/>
      <c r="T2746" s="232"/>
    </row>
    <row r="2747" spans="3:20">
      <c r="C2747" s="232"/>
      <c r="E2747" s="232"/>
      <c r="G2747" s="232"/>
      <c r="I2747" s="232"/>
      <c r="K2747" s="232"/>
      <c r="M2747" s="232"/>
      <c r="P2747" s="232"/>
      <c r="R2747" s="232"/>
      <c r="T2747" s="232"/>
    </row>
    <row r="2748" spans="3:20">
      <c r="C2748" s="232"/>
      <c r="E2748" s="232"/>
      <c r="G2748" s="232"/>
      <c r="I2748" s="232"/>
      <c r="K2748" s="232"/>
      <c r="M2748" s="232"/>
      <c r="P2748" s="232"/>
      <c r="R2748" s="232"/>
      <c r="T2748" s="232"/>
    </row>
    <row r="2749" spans="3:20">
      <c r="C2749" s="232"/>
      <c r="E2749" s="232"/>
      <c r="G2749" s="232"/>
      <c r="I2749" s="232"/>
      <c r="K2749" s="232"/>
      <c r="M2749" s="232"/>
      <c r="P2749" s="232"/>
      <c r="R2749" s="232"/>
      <c r="T2749" s="232"/>
    </row>
    <row r="2750" spans="3:20">
      <c r="C2750" s="232"/>
      <c r="E2750" s="232"/>
      <c r="G2750" s="232"/>
      <c r="I2750" s="232"/>
      <c r="K2750" s="232"/>
      <c r="M2750" s="232"/>
      <c r="P2750" s="232"/>
      <c r="R2750" s="232"/>
      <c r="T2750" s="232"/>
    </row>
    <row r="2751" spans="3:20">
      <c r="C2751" s="232"/>
      <c r="E2751" s="232"/>
      <c r="G2751" s="232"/>
      <c r="I2751" s="232"/>
      <c r="K2751" s="232"/>
      <c r="M2751" s="232"/>
      <c r="P2751" s="232"/>
      <c r="R2751" s="232"/>
      <c r="T2751" s="232"/>
    </row>
    <row r="2752" spans="3:20">
      <c r="C2752" s="232"/>
      <c r="E2752" s="232"/>
      <c r="G2752" s="232"/>
      <c r="I2752" s="232"/>
      <c r="K2752" s="232"/>
      <c r="M2752" s="232"/>
      <c r="P2752" s="232"/>
      <c r="R2752" s="232"/>
      <c r="T2752" s="232"/>
    </row>
    <row r="2753" spans="3:20">
      <c r="C2753" s="232"/>
      <c r="E2753" s="232"/>
      <c r="G2753" s="232"/>
      <c r="I2753" s="232"/>
      <c r="K2753" s="232"/>
      <c r="M2753" s="232"/>
      <c r="P2753" s="232"/>
      <c r="R2753" s="232"/>
      <c r="T2753" s="232"/>
    </row>
    <row r="2754" spans="3:20">
      <c r="C2754" s="232"/>
      <c r="E2754" s="232"/>
      <c r="G2754" s="232"/>
      <c r="I2754" s="232"/>
      <c r="K2754" s="232"/>
      <c r="M2754" s="232"/>
      <c r="P2754" s="232"/>
      <c r="R2754" s="232"/>
      <c r="T2754" s="232"/>
    </row>
    <row r="2755" spans="3:20">
      <c r="C2755" s="232"/>
      <c r="E2755" s="232"/>
      <c r="G2755" s="232"/>
      <c r="I2755" s="232"/>
      <c r="K2755" s="232"/>
      <c r="M2755" s="232"/>
      <c r="P2755" s="232"/>
      <c r="R2755" s="232"/>
      <c r="T2755" s="232"/>
    </row>
    <row r="2756" spans="3:20">
      <c r="C2756" s="232"/>
      <c r="E2756" s="232"/>
      <c r="G2756" s="232"/>
      <c r="I2756" s="232"/>
      <c r="K2756" s="232"/>
      <c r="M2756" s="232"/>
      <c r="P2756" s="232"/>
      <c r="R2756" s="232"/>
      <c r="T2756" s="232"/>
    </row>
    <row r="2757" spans="3:20">
      <c r="C2757" s="232"/>
      <c r="E2757" s="232"/>
      <c r="G2757" s="232"/>
      <c r="I2757" s="232"/>
      <c r="K2757" s="232"/>
      <c r="M2757" s="232"/>
      <c r="P2757" s="232"/>
      <c r="R2757" s="232"/>
      <c r="T2757" s="232"/>
    </row>
    <row r="2758" spans="3:20">
      <c r="C2758" s="232"/>
      <c r="E2758" s="232"/>
      <c r="G2758" s="232"/>
      <c r="I2758" s="232"/>
      <c r="K2758" s="232"/>
      <c r="M2758" s="232"/>
      <c r="P2758" s="232"/>
      <c r="R2758" s="232"/>
      <c r="T2758" s="232"/>
    </row>
    <row r="2759" spans="3:20">
      <c r="C2759" s="232"/>
      <c r="E2759" s="232"/>
      <c r="G2759" s="232"/>
      <c r="I2759" s="232"/>
      <c r="K2759" s="232"/>
      <c r="M2759" s="232"/>
      <c r="P2759" s="232"/>
      <c r="R2759" s="232"/>
      <c r="T2759" s="232"/>
    </row>
    <row r="2760" spans="3:20">
      <c r="C2760" s="232"/>
      <c r="E2760" s="232"/>
      <c r="G2760" s="232"/>
      <c r="I2760" s="232"/>
      <c r="K2760" s="232"/>
      <c r="M2760" s="232"/>
      <c r="P2760" s="232"/>
      <c r="R2760" s="232"/>
      <c r="T2760" s="232"/>
    </row>
    <row r="2761" spans="3:20">
      <c r="C2761" s="232"/>
      <c r="E2761" s="232"/>
      <c r="G2761" s="232"/>
      <c r="I2761" s="232"/>
      <c r="K2761" s="232"/>
      <c r="M2761" s="232"/>
      <c r="P2761" s="232"/>
      <c r="R2761" s="232"/>
      <c r="T2761" s="232"/>
    </row>
    <row r="2762" spans="3:20">
      <c r="C2762" s="232"/>
      <c r="E2762" s="232"/>
      <c r="G2762" s="232"/>
      <c r="I2762" s="232"/>
      <c r="K2762" s="232"/>
      <c r="M2762" s="232"/>
      <c r="P2762" s="232"/>
      <c r="R2762" s="232"/>
      <c r="T2762" s="232"/>
    </row>
    <row r="2763" spans="3:20">
      <c r="C2763" s="232"/>
      <c r="E2763" s="232"/>
      <c r="G2763" s="232"/>
      <c r="I2763" s="232"/>
      <c r="K2763" s="232"/>
      <c r="M2763" s="232"/>
      <c r="P2763" s="232"/>
      <c r="R2763" s="232"/>
      <c r="T2763" s="232"/>
    </row>
    <row r="2764" spans="3:20">
      <c r="C2764" s="232"/>
      <c r="E2764" s="232"/>
      <c r="G2764" s="232"/>
      <c r="I2764" s="232"/>
      <c r="K2764" s="232"/>
      <c r="M2764" s="232"/>
      <c r="P2764" s="232"/>
      <c r="R2764" s="232"/>
      <c r="T2764" s="232"/>
    </row>
    <row r="2765" spans="3:20">
      <c r="C2765" s="232"/>
      <c r="E2765" s="232"/>
      <c r="G2765" s="232"/>
      <c r="I2765" s="232"/>
      <c r="K2765" s="232"/>
      <c r="M2765" s="232"/>
      <c r="P2765" s="232"/>
      <c r="R2765" s="232"/>
      <c r="T2765" s="232"/>
    </row>
    <row r="2766" spans="3:20">
      <c r="C2766" s="232"/>
      <c r="E2766" s="232"/>
      <c r="G2766" s="232"/>
      <c r="I2766" s="232"/>
      <c r="K2766" s="232"/>
      <c r="M2766" s="232"/>
      <c r="P2766" s="232"/>
      <c r="R2766" s="232"/>
      <c r="T2766" s="232"/>
    </row>
    <row r="2767" spans="3:20">
      <c r="C2767" s="232"/>
      <c r="E2767" s="232"/>
      <c r="G2767" s="232"/>
      <c r="I2767" s="232"/>
      <c r="K2767" s="232"/>
      <c r="M2767" s="232"/>
      <c r="P2767" s="232"/>
      <c r="R2767" s="232"/>
      <c r="T2767" s="232"/>
    </row>
    <row r="2768" spans="3:20">
      <c r="C2768" s="232"/>
      <c r="E2768" s="232"/>
      <c r="G2768" s="232"/>
      <c r="I2768" s="232"/>
      <c r="K2768" s="232"/>
      <c r="M2768" s="232"/>
      <c r="P2768" s="232"/>
      <c r="R2768" s="232"/>
      <c r="T2768" s="232"/>
    </row>
    <row r="2769" spans="3:20">
      <c r="C2769" s="232"/>
      <c r="E2769" s="232"/>
      <c r="G2769" s="232"/>
      <c r="I2769" s="232"/>
      <c r="K2769" s="232"/>
      <c r="M2769" s="232"/>
      <c r="P2769" s="232"/>
      <c r="R2769" s="232"/>
      <c r="T2769" s="232"/>
    </row>
    <row r="2770" spans="3:20">
      <c r="C2770" s="232"/>
      <c r="E2770" s="232"/>
      <c r="G2770" s="232"/>
      <c r="I2770" s="232"/>
      <c r="K2770" s="232"/>
      <c r="M2770" s="232"/>
      <c r="P2770" s="232"/>
      <c r="R2770" s="232"/>
      <c r="T2770" s="232"/>
    </row>
    <row r="2771" spans="3:20">
      <c r="C2771" s="232"/>
      <c r="E2771" s="232"/>
      <c r="G2771" s="232"/>
      <c r="I2771" s="232"/>
      <c r="K2771" s="232"/>
      <c r="M2771" s="232"/>
      <c r="P2771" s="232"/>
      <c r="R2771" s="232"/>
      <c r="T2771" s="232"/>
    </row>
    <row r="2772" spans="3:20">
      <c r="C2772" s="232"/>
      <c r="E2772" s="232"/>
      <c r="G2772" s="232"/>
      <c r="I2772" s="232"/>
      <c r="K2772" s="232"/>
      <c r="M2772" s="232"/>
      <c r="P2772" s="232"/>
      <c r="R2772" s="232"/>
      <c r="T2772" s="232"/>
    </row>
    <row r="2773" spans="3:20">
      <c r="C2773" s="232"/>
      <c r="E2773" s="232"/>
      <c r="G2773" s="232"/>
      <c r="I2773" s="232"/>
      <c r="K2773" s="232"/>
      <c r="M2773" s="232"/>
      <c r="P2773" s="232"/>
      <c r="R2773" s="232"/>
      <c r="T2773" s="232"/>
    </row>
    <row r="2774" spans="3:20">
      <c r="C2774" s="232"/>
      <c r="E2774" s="232"/>
      <c r="G2774" s="232"/>
      <c r="I2774" s="232"/>
      <c r="K2774" s="232"/>
      <c r="M2774" s="232"/>
      <c r="P2774" s="232"/>
      <c r="R2774" s="232"/>
      <c r="T2774" s="232"/>
    </row>
    <row r="2775" spans="3:20">
      <c r="C2775" s="232"/>
      <c r="E2775" s="232"/>
      <c r="G2775" s="232"/>
      <c r="I2775" s="232"/>
      <c r="K2775" s="232"/>
      <c r="M2775" s="232"/>
      <c r="P2775" s="232"/>
      <c r="R2775" s="232"/>
      <c r="T2775" s="232"/>
    </row>
    <row r="2776" spans="3:20">
      <c r="C2776" s="232"/>
      <c r="E2776" s="232"/>
      <c r="G2776" s="232"/>
      <c r="I2776" s="232"/>
      <c r="K2776" s="232"/>
      <c r="M2776" s="232"/>
      <c r="P2776" s="232"/>
      <c r="R2776" s="232"/>
      <c r="T2776" s="232"/>
    </row>
    <row r="2777" spans="3:20">
      <c r="C2777" s="232"/>
      <c r="E2777" s="232"/>
      <c r="G2777" s="232"/>
      <c r="I2777" s="232"/>
      <c r="K2777" s="232"/>
      <c r="M2777" s="232"/>
      <c r="P2777" s="232"/>
      <c r="R2777" s="232"/>
      <c r="T2777" s="232"/>
    </row>
    <row r="2778" spans="3:20">
      <c r="C2778" s="232"/>
      <c r="E2778" s="232"/>
      <c r="G2778" s="232"/>
      <c r="I2778" s="232"/>
      <c r="K2778" s="232"/>
      <c r="M2778" s="232"/>
      <c r="P2778" s="232"/>
      <c r="R2778" s="232"/>
      <c r="T2778" s="232"/>
    </row>
    <row r="2779" spans="3:20">
      <c r="C2779" s="232"/>
      <c r="E2779" s="232"/>
      <c r="G2779" s="232"/>
      <c r="I2779" s="232"/>
      <c r="K2779" s="232"/>
      <c r="M2779" s="232"/>
      <c r="P2779" s="232"/>
      <c r="R2779" s="232"/>
      <c r="T2779" s="232"/>
    </row>
    <row r="2780" spans="3:20">
      <c r="C2780" s="232"/>
      <c r="E2780" s="232"/>
      <c r="G2780" s="232"/>
      <c r="I2780" s="232"/>
      <c r="K2780" s="232"/>
      <c r="M2780" s="232"/>
      <c r="P2780" s="232"/>
      <c r="R2780" s="232"/>
      <c r="T2780" s="232"/>
    </row>
    <row r="2781" spans="3:20">
      <c r="C2781" s="232"/>
      <c r="E2781" s="232"/>
      <c r="G2781" s="232"/>
      <c r="I2781" s="232"/>
      <c r="K2781" s="232"/>
      <c r="M2781" s="232"/>
      <c r="P2781" s="232"/>
      <c r="R2781" s="232"/>
      <c r="T2781" s="232"/>
    </row>
    <row r="2782" spans="3:20">
      <c r="C2782" s="232"/>
      <c r="E2782" s="232"/>
      <c r="G2782" s="232"/>
      <c r="I2782" s="232"/>
      <c r="K2782" s="232"/>
      <c r="M2782" s="232"/>
      <c r="P2782" s="232"/>
      <c r="R2782" s="232"/>
      <c r="T2782" s="232"/>
    </row>
    <row r="2783" spans="3:20">
      <c r="C2783" s="232"/>
      <c r="E2783" s="232"/>
      <c r="G2783" s="232"/>
      <c r="I2783" s="232"/>
      <c r="K2783" s="232"/>
      <c r="M2783" s="232"/>
      <c r="P2783" s="232"/>
      <c r="R2783" s="232"/>
      <c r="T2783" s="232"/>
    </row>
    <row r="2784" spans="3:20">
      <c r="C2784" s="232"/>
      <c r="E2784" s="232"/>
      <c r="G2784" s="232"/>
      <c r="I2784" s="232"/>
      <c r="K2784" s="232"/>
      <c r="M2784" s="232"/>
      <c r="P2784" s="232"/>
      <c r="R2784" s="232"/>
      <c r="T2784" s="232"/>
    </row>
    <row r="2785" spans="3:20">
      <c r="C2785" s="232"/>
      <c r="E2785" s="232"/>
      <c r="G2785" s="232"/>
      <c r="I2785" s="232"/>
      <c r="K2785" s="232"/>
      <c r="M2785" s="232"/>
      <c r="P2785" s="232"/>
      <c r="R2785" s="232"/>
      <c r="T2785" s="232"/>
    </row>
    <row r="2786" spans="3:20">
      <c r="C2786" s="232"/>
      <c r="E2786" s="232"/>
      <c r="G2786" s="232"/>
      <c r="I2786" s="232"/>
      <c r="K2786" s="232"/>
      <c r="M2786" s="232"/>
      <c r="P2786" s="232"/>
      <c r="R2786" s="232"/>
      <c r="T2786" s="232"/>
    </row>
    <row r="2787" spans="3:20">
      <c r="C2787" s="232"/>
      <c r="E2787" s="232"/>
      <c r="G2787" s="232"/>
      <c r="I2787" s="232"/>
      <c r="K2787" s="232"/>
      <c r="M2787" s="232"/>
      <c r="P2787" s="232"/>
      <c r="R2787" s="232"/>
      <c r="T2787" s="232"/>
    </row>
    <row r="2788" spans="3:20">
      <c r="C2788" s="232"/>
      <c r="E2788" s="232"/>
      <c r="G2788" s="232"/>
      <c r="I2788" s="232"/>
      <c r="K2788" s="232"/>
      <c r="M2788" s="232"/>
      <c r="P2788" s="232"/>
      <c r="R2788" s="232"/>
      <c r="T2788" s="232"/>
    </row>
    <row r="2789" spans="3:20">
      <c r="C2789" s="232"/>
      <c r="E2789" s="232"/>
      <c r="G2789" s="232"/>
      <c r="I2789" s="232"/>
      <c r="K2789" s="232"/>
      <c r="M2789" s="232"/>
      <c r="P2789" s="232"/>
      <c r="R2789" s="232"/>
      <c r="T2789" s="232"/>
    </row>
    <row r="2790" spans="3:20">
      <c r="C2790" s="232"/>
      <c r="E2790" s="232"/>
      <c r="G2790" s="232"/>
      <c r="I2790" s="232"/>
      <c r="K2790" s="232"/>
      <c r="M2790" s="232"/>
      <c r="P2790" s="232"/>
      <c r="R2790" s="232"/>
      <c r="T2790" s="232"/>
    </row>
    <row r="2791" spans="3:20">
      <c r="C2791" s="232"/>
      <c r="E2791" s="232"/>
      <c r="G2791" s="232"/>
      <c r="I2791" s="232"/>
      <c r="K2791" s="232"/>
      <c r="M2791" s="232"/>
      <c r="P2791" s="232"/>
      <c r="R2791" s="232"/>
      <c r="T2791" s="232"/>
    </row>
    <row r="2792" spans="3:20">
      <c r="C2792" s="232"/>
      <c r="E2792" s="232"/>
      <c r="G2792" s="232"/>
      <c r="I2792" s="232"/>
      <c r="K2792" s="232"/>
      <c r="M2792" s="232"/>
      <c r="P2792" s="232"/>
      <c r="R2792" s="232"/>
      <c r="T2792" s="232"/>
    </row>
    <row r="2793" spans="3:20">
      <c r="C2793" s="232"/>
      <c r="E2793" s="232"/>
      <c r="G2793" s="232"/>
      <c r="I2793" s="232"/>
      <c r="K2793" s="232"/>
      <c r="M2793" s="232"/>
      <c r="P2793" s="232"/>
      <c r="R2793" s="232"/>
      <c r="T2793" s="232"/>
    </row>
    <row r="2794" spans="3:20">
      <c r="C2794" s="232"/>
      <c r="E2794" s="232"/>
      <c r="G2794" s="232"/>
      <c r="I2794" s="232"/>
      <c r="K2794" s="232"/>
      <c r="M2794" s="232"/>
      <c r="P2794" s="232"/>
      <c r="R2794" s="232"/>
      <c r="T2794" s="232"/>
    </row>
    <row r="2795" spans="3:20">
      <c r="C2795" s="232"/>
      <c r="E2795" s="232"/>
      <c r="G2795" s="232"/>
      <c r="I2795" s="232"/>
      <c r="K2795" s="232"/>
      <c r="M2795" s="232"/>
      <c r="P2795" s="232"/>
      <c r="R2795" s="232"/>
      <c r="T2795" s="232"/>
    </row>
    <row r="2796" spans="3:20">
      <c r="C2796" s="232"/>
      <c r="E2796" s="232"/>
      <c r="G2796" s="232"/>
      <c r="I2796" s="232"/>
      <c r="K2796" s="232"/>
      <c r="M2796" s="232"/>
      <c r="P2796" s="232"/>
      <c r="R2796" s="232"/>
      <c r="T2796" s="232"/>
    </row>
    <row r="2797" spans="3:20">
      <c r="C2797" s="232"/>
      <c r="E2797" s="232"/>
      <c r="G2797" s="232"/>
      <c r="I2797" s="232"/>
      <c r="K2797" s="232"/>
      <c r="M2797" s="232"/>
      <c r="P2797" s="232"/>
      <c r="R2797" s="232"/>
      <c r="T2797" s="232"/>
    </row>
    <row r="2798" spans="3:20">
      <c r="C2798" s="232"/>
      <c r="E2798" s="232"/>
      <c r="G2798" s="232"/>
      <c r="I2798" s="232"/>
      <c r="K2798" s="232"/>
      <c r="M2798" s="232"/>
      <c r="P2798" s="232"/>
      <c r="R2798" s="232"/>
      <c r="T2798" s="232"/>
    </row>
    <row r="2799" spans="3:20">
      <c r="C2799" s="232"/>
      <c r="E2799" s="232"/>
      <c r="G2799" s="232"/>
      <c r="I2799" s="232"/>
      <c r="K2799" s="232"/>
      <c r="M2799" s="232"/>
      <c r="P2799" s="232"/>
      <c r="R2799" s="232"/>
      <c r="T2799" s="232"/>
    </row>
    <row r="2800" spans="3:20">
      <c r="C2800" s="232"/>
      <c r="E2800" s="232"/>
      <c r="G2800" s="232"/>
      <c r="I2800" s="232"/>
      <c r="K2800" s="232"/>
      <c r="M2800" s="232"/>
      <c r="P2800" s="232"/>
      <c r="R2800" s="232"/>
      <c r="T2800" s="232"/>
    </row>
    <row r="2801" spans="3:20">
      <c r="C2801" s="232"/>
      <c r="E2801" s="232"/>
      <c r="G2801" s="232"/>
      <c r="I2801" s="232"/>
      <c r="K2801" s="232"/>
      <c r="M2801" s="232"/>
      <c r="P2801" s="232"/>
      <c r="R2801" s="232"/>
      <c r="T2801" s="232"/>
    </row>
    <row r="2802" spans="3:20">
      <c r="C2802" s="232"/>
      <c r="E2802" s="232"/>
      <c r="G2802" s="232"/>
      <c r="I2802" s="232"/>
      <c r="K2802" s="232"/>
      <c r="M2802" s="232"/>
      <c r="P2802" s="232"/>
      <c r="R2802" s="232"/>
      <c r="T2802" s="232"/>
    </row>
    <row r="2803" spans="3:20">
      <c r="C2803" s="232"/>
      <c r="E2803" s="232"/>
      <c r="G2803" s="232"/>
      <c r="I2803" s="232"/>
      <c r="K2803" s="232"/>
      <c r="M2803" s="232"/>
      <c r="P2803" s="232"/>
      <c r="R2803" s="232"/>
      <c r="T2803" s="232"/>
    </row>
    <row r="2804" spans="3:20">
      <c r="C2804" s="232"/>
      <c r="E2804" s="232"/>
      <c r="G2804" s="232"/>
      <c r="I2804" s="232"/>
      <c r="K2804" s="232"/>
      <c r="M2804" s="232"/>
      <c r="P2804" s="232"/>
      <c r="R2804" s="232"/>
      <c r="T2804" s="232"/>
    </row>
    <row r="2805" spans="3:20">
      <c r="C2805" s="232"/>
      <c r="E2805" s="232"/>
      <c r="G2805" s="232"/>
      <c r="I2805" s="232"/>
      <c r="K2805" s="232"/>
      <c r="M2805" s="232"/>
      <c r="P2805" s="232"/>
      <c r="R2805" s="232"/>
      <c r="T2805" s="232"/>
    </row>
    <row r="2806" spans="3:20">
      <c r="C2806" s="232"/>
      <c r="E2806" s="232"/>
      <c r="G2806" s="232"/>
      <c r="I2806" s="232"/>
      <c r="K2806" s="232"/>
      <c r="M2806" s="232"/>
      <c r="P2806" s="232"/>
      <c r="R2806" s="232"/>
      <c r="T2806" s="232"/>
    </row>
    <row r="2807" spans="3:20">
      <c r="C2807" s="232"/>
      <c r="E2807" s="232"/>
      <c r="G2807" s="232"/>
      <c r="I2807" s="232"/>
      <c r="K2807" s="232"/>
      <c r="M2807" s="232"/>
      <c r="P2807" s="232"/>
      <c r="R2807" s="232"/>
      <c r="T2807" s="232"/>
    </row>
    <row r="2808" spans="3:20">
      <c r="C2808" s="232"/>
      <c r="E2808" s="232"/>
      <c r="G2808" s="232"/>
      <c r="I2808" s="232"/>
      <c r="K2808" s="232"/>
      <c r="M2808" s="232"/>
      <c r="P2808" s="232"/>
      <c r="R2808" s="232"/>
      <c r="T2808" s="232"/>
    </row>
    <row r="2809" spans="3:20">
      <c r="C2809" s="232"/>
      <c r="E2809" s="232"/>
      <c r="G2809" s="232"/>
      <c r="I2809" s="232"/>
      <c r="K2809" s="232"/>
      <c r="M2809" s="232"/>
      <c r="P2809" s="232"/>
      <c r="R2809" s="232"/>
      <c r="T2809" s="232"/>
    </row>
    <row r="2810" spans="3:20">
      <c r="C2810" s="232"/>
      <c r="E2810" s="232"/>
      <c r="G2810" s="232"/>
      <c r="I2810" s="232"/>
      <c r="K2810" s="232"/>
      <c r="M2810" s="232"/>
      <c r="P2810" s="232"/>
      <c r="R2810" s="232"/>
      <c r="T2810" s="232"/>
    </row>
    <row r="2811" spans="3:20">
      <c r="C2811" s="232"/>
      <c r="E2811" s="232"/>
      <c r="G2811" s="232"/>
      <c r="I2811" s="232"/>
      <c r="K2811" s="232"/>
      <c r="M2811" s="232"/>
      <c r="P2811" s="232"/>
      <c r="R2811" s="232"/>
      <c r="T2811" s="232"/>
    </row>
    <row r="2812" spans="3:20">
      <c r="C2812" s="232"/>
      <c r="E2812" s="232"/>
      <c r="G2812" s="232"/>
      <c r="I2812" s="232"/>
      <c r="K2812" s="232"/>
      <c r="M2812" s="232"/>
      <c r="P2812" s="232"/>
      <c r="R2812" s="232"/>
      <c r="T2812" s="232"/>
    </row>
    <row r="2813" spans="3:20">
      <c r="C2813" s="232"/>
      <c r="E2813" s="232"/>
      <c r="G2813" s="232"/>
      <c r="I2813" s="232"/>
      <c r="K2813" s="232"/>
      <c r="M2813" s="232"/>
      <c r="P2813" s="232"/>
      <c r="R2813" s="232"/>
      <c r="T2813" s="232"/>
    </row>
    <row r="2814" spans="3:20">
      <c r="C2814" s="232"/>
      <c r="E2814" s="232"/>
      <c r="G2814" s="232"/>
      <c r="I2814" s="232"/>
      <c r="K2814" s="232"/>
      <c r="M2814" s="232"/>
      <c r="P2814" s="232"/>
      <c r="R2814" s="232"/>
      <c r="T2814" s="232"/>
    </row>
    <row r="2815" spans="3:20">
      <c r="C2815" s="232"/>
      <c r="E2815" s="232"/>
      <c r="G2815" s="232"/>
      <c r="I2815" s="232"/>
      <c r="K2815" s="232"/>
      <c r="M2815" s="232"/>
      <c r="P2815" s="232"/>
      <c r="R2815" s="232"/>
      <c r="T2815" s="232"/>
    </row>
    <row r="2816" spans="3:20">
      <c r="C2816" s="232"/>
      <c r="E2816" s="232"/>
      <c r="G2816" s="232"/>
      <c r="I2816" s="232"/>
      <c r="K2816" s="232"/>
      <c r="M2816" s="232"/>
      <c r="P2816" s="232"/>
      <c r="R2816" s="232"/>
      <c r="T2816" s="232"/>
    </row>
    <row r="2817" spans="3:20">
      <c r="C2817" s="232"/>
      <c r="E2817" s="232"/>
      <c r="G2817" s="232"/>
      <c r="I2817" s="232"/>
      <c r="K2817" s="232"/>
      <c r="M2817" s="232"/>
      <c r="P2817" s="232"/>
      <c r="R2817" s="232"/>
      <c r="T2817" s="232"/>
    </row>
    <row r="2818" spans="3:20">
      <c r="C2818" s="232"/>
      <c r="E2818" s="232"/>
      <c r="G2818" s="232"/>
      <c r="I2818" s="232"/>
      <c r="K2818" s="232"/>
      <c r="M2818" s="232"/>
      <c r="P2818" s="232"/>
      <c r="R2818" s="232"/>
      <c r="T2818" s="232"/>
    </row>
    <row r="2819" spans="3:20">
      <c r="C2819" s="232"/>
      <c r="E2819" s="232"/>
      <c r="G2819" s="232"/>
      <c r="I2819" s="232"/>
      <c r="K2819" s="232"/>
      <c r="M2819" s="232"/>
      <c r="P2819" s="232"/>
      <c r="R2819" s="232"/>
      <c r="T2819" s="232"/>
    </row>
    <row r="2820" spans="3:20">
      <c r="C2820" s="232"/>
      <c r="E2820" s="232"/>
      <c r="G2820" s="232"/>
      <c r="I2820" s="232"/>
      <c r="K2820" s="232"/>
      <c r="M2820" s="232"/>
      <c r="P2820" s="232"/>
      <c r="R2820" s="232"/>
      <c r="T2820" s="232"/>
    </row>
    <row r="2821" spans="3:20">
      <c r="C2821" s="232"/>
      <c r="E2821" s="232"/>
      <c r="G2821" s="232"/>
      <c r="I2821" s="232"/>
      <c r="K2821" s="232"/>
      <c r="M2821" s="232"/>
      <c r="P2821" s="232"/>
      <c r="R2821" s="232"/>
      <c r="T2821" s="232"/>
    </row>
    <row r="2822" spans="3:20">
      <c r="C2822" s="232"/>
      <c r="E2822" s="232"/>
      <c r="G2822" s="232"/>
      <c r="I2822" s="232"/>
      <c r="K2822" s="232"/>
      <c r="M2822" s="232"/>
      <c r="P2822" s="232"/>
      <c r="R2822" s="232"/>
      <c r="T2822" s="232"/>
    </row>
    <row r="2823" spans="3:20">
      <c r="C2823" s="232"/>
      <c r="E2823" s="232"/>
      <c r="G2823" s="232"/>
      <c r="I2823" s="232"/>
      <c r="K2823" s="232"/>
      <c r="M2823" s="232"/>
      <c r="P2823" s="232"/>
      <c r="R2823" s="232"/>
      <c r="T2823" s="232"/>
    </row>
    <row r="2824" spans="3:20">
      <c r="C2824" s="232"/>
      <c r="E2824" s="232"/>
      <c r="G2824" s="232"/>
      <c r="I2824" s="232"/>
      <c r="K2824" s="232"/>
      <c r="M2824" s="232"/>
      <c r="P2824" s="232"/>
      <c r="R2824" s="232"/>
      <c r="T2824" s="232"/>
    </row>
    <row r="2825" spans="3:20">
      <c r="C2825" s="232"/>
      <c r="E2825" s="232"/>
      <c r="G2825" s="232"/>
      <c r="I2825" s="232"/>
      <c r="K2825" s="232"/>
      <c r="M2825" s="232"/>
      <c r="P2825" s="232"/>
      <c r="R2825" s="232"/>
      <c r="T2825" s="232"/>
    </row>
    <row r="2826" spans="3:20">
      <c r="C2826" s="232"/>
      <c r="E2826" s="232"/>
      <c r="G2826" s="232"/>
      <c r="I2826" s="232"/>
      <c r="K2826" s="232"/>
      <c r="M2826" s="232"/>
      <c r="P2826" s="232"/>
      <c r="R2826" s="232"/>
      <c r="T2826" s="232"/>
    </row>
    <row r="2827" spans="3:20">
      <c r="C2827" s="232"/>
      <c r="E2827" s="232"/>
      <c r="G2827" s="232"/>
      <c r="I2827" s="232"/>
      <c r="K2827" s="232"/>
      <c r="M2827" s="232"/>
      <c r="P2827" s="232"/>
      <c r="R2827" s="232"/>
      <c r="T2827" s="232"/>
    </row>
    <row r="2828" spans="3:20">
      <c r="C2828" s="232"/>
      <c r="E2828" s="232"/>
      <c r="G2828" s="232"/>
      <c r="I2828" s="232"/>
      <c r="K2828" s="232"/>
      <c r="M2828" s="232"/>
      <c r="P2828" s="232"/>
      <c r="R2828" s="232"/>
      <c r="T2828" s="232"/>
    </row>
    <row r="2829" spans="3:20">
      <c r="C2829" s="232"/>
      <c r="E2829" s="232"/>
      <c r="G2829" s="232"/>
      <c r="I2829" s="232"/>
      <c r="K2829" s="232"/>
      <c r="M2829" s="232"/>
      <c r="P2829" s="232"/>
      <c r="R2829" s="232"/>
      <c r="T2829" s="232"/>
    </row>
    <row r="2830" spans="3:20">
      <c r="C2830" s="232"/>
      <c r="E2830" s="232"/>
      <c r="G2830" s="232"/>
      <c r="I2830" s="232"/>
      <c r="K2830" s="232"/>
      <c r="M2830" s="232"/>
      <c r="P2830" s="232"/>
      <c r="R2830" s="232"/>
      <c r="T2830" s="232"/>
    </row>
    <row r="2831" spans="3:20">
      <c r="C2831" s="232"/>
      <c r="E2831" s="232"/>
      <c r="G2831" s="232"/>
      <c r="I2831" s="232"/>
      <c r="K2831" s="232"/>
      <c r="M2831" s="232"/>
      <c r="P2831" s="232"/>
      <c r="R2831" s="232"/>
      <c r="T2831" s="232"/>
    </row>
    <row r="2832" spans="3:20">
      <c r="C2832" s="232"/>
      <c r="E2832" s="232"/>
      <c r="G2832" s="232"/>
      <c r="I2832" s="232"/>
      <c r="K2832" s="232"/>
      <c r="M2832" s="232"/>
      <c r="P2832" s="232"/>
      <c r="R2832" s="232"/>
      <c r="T2832" s="232"/>
    </row>
    <row r="2833" spans="3:20">
      <c r="C2833" s="232"/>
      <c r="E2833" s="232"/>
      <c r="G2833" s="232"/>
      <c r="I2833" s="232"/>
      <c r="K2833" s="232"/>
      <c r="M2833" s="232"/>
      <c r="P2833" s="232"/>
      <c r="R2833" s="232"/>
      <c r="T2833" s="232"/>
    </row>
    <row r="2834" spans="3:20">
      <c r="C2834" s="232"/>
      <c r="E2834" s="232"/>
      <c r="G2834" s="232"/>
      <c r="I2834" s="232"/>
      <c r="K2834" s="232"/>
      <c r="M2834" s="232"/>
      <c r="P2834" s="232"/>
      <c r="R2834" s="232"/>
      <c r="T2834" s="232"/>
    </row>
    <row r="2835" spans="3:20">
      <c r="C2835" s="232"/>
      <c r="E2835" s="232"/>
      <c r="G2835" s="232"/>
      <c r="I2835" s="232"/>
      <c r="K2835" s="232"/>
      <c r="M2835" s="232"/>
      <c r="P2835" s="232"/>
      <c r="R2835" s="232"/>
      <c r="T2835" s="232"/>
    </row>
    <row r="2836" spans="3:20">
      <c r="C2836" s="232"/>
      <c r="E2836" s="232"/>
      <c r="G2836" s="232"/>
      <c r="I2836" s="232"/>
      <c r="K2836" s="232"/>
      <c r="M2836" s="232"/>
      <c r="P2836" s="232"/>
      <c r="R2836" s="232"/>
      <c r="T2836" s="232"/>
    </row>
    <row r="2837" spans="3:20">
      <c r="C2837" s="232"/>
      <c r="E2837" s="232"/>
      <c r="G2837" s="232"/>
      <c r="I2837" s="232"/>
      <c r="K2837" s="232"/>
      <c r="M2837" s="232"/>
      <c r="P2837" s="232"/>
      <c r="R2837" s="232"/>
      <c r="T2837" s="232"/>
    </row>
    <row r="2838" spans="3:20">
      <c r="C2838" s="232"/>
      <c r="E2838" s="232"/>
      <c r="G2838" s="232"/>
      <c r="I2838" s="232"/>
      <c r="K2838" s="232"/>
      <c r="M2838" s="232"/>
      <c r="P2838" s="232"/>
      <c r="R2838" s="232"/>
      <c r="T2838" s="232"/>
    </row>
    <row r="2839" spans="3:20">
      <c r="C2839" s="232"/>
      <c r="E2839" s="232"/>
      <c r="G2839" s="232"/>
      <c r="I2839" s="232"/>
      <c r="K2839" s="232"/>
      <c r="M2839" s="232"/>
      <c r="P2839" s="232"/>
      <c r="R2839" s="232"/>
      <c r="T2839" s="232"/>
    </row>
    <row r="2840" spans="3:20">
      <c r="C2840" s="232"/>
      <c r="E2840" s="232"/>
      <c r="G2840" s="232"/>
      <c r="I2840" s="232"/>
      <c r="K2840" s="232"/>
      <c r="M2840" s="232"/>
      <c r="P2840" s="232"/>
      <c r="R2840" s="232"/>
      <c r="T2840" s="232"/>
    </row>
    <row r="2841" spans="3:20">
      <c r="C2841" s="232"/>
      <c r="E2841" s="232"/>
      <c r="G2841" s="232"/>
      <c r="I2841" s="232"/>
      <c r="K2841" s="232"/>
      <c r="M2841" s="232"/>
      <c r="P2841" s="232"/>
      <c r="R2841" s="232"/>
      <c r="T2841" s="232"/>
    </row>
    <row r="2842" spans="3:20">
      <c r="C2842" s="232"/>
      <c r="E2842" s="232"/>
      <c r="G2842" s="232"/>
      <c r="I2842" s="232"/>
      <c r="K2842" s="232"/>
      <c r="M2842" s="232"/>
      <c r="P2842" s="232"/>
      <c r="R2842" s="232"/>
      <c r="T2842" s="232"/>
    </row>
    <row r="2843" spans="3:20">
      <c r="C2843" s="232"/>
      <c r="E2843" s="232"/>
      <c r="G2843" s="232"/>
      <c r="I2843" s="232"/>
      <c r="K2843" s="232"/>
      <c r="M2843" s="232"/>
      <c r="P2843" s="232"/>
      <c r="R2843" s="232"/>
      <c r="T2843" s="232"/>
    </row>
    <row r="2844" spans="3:20">
      <c r="C2844" s="232"/>
      <c r="E2844" s="232"/>
      <c r="G2844" s="232"/>
      <c r="I2844" s="232"/>
      <c r="K2844" s="232"/>
      <c r="M2844" s="232"/>
      <c r="P2844" s="232"/>
      <c r="R2844" s="232"/>
      <c r="T2844" s="232"/>
    </row>
    <row r="2845" spans="3:20">
      <c r="C2845" s="232"/>
      <c r="E2845" s="232"/>
      <c r="G2845" s="232"/>
      <c r="I2845" s="232"/>
      <c r="K2845" s="232"/>
      <c r="M2845" s="232"/>
      <c r="P2845" s="232"/>
      <c r="R2845" s="232"/>
      <c r="T2845" s="232"/>
    </row>
    <row r="2846" spans="3:20">
      <c r="C2846" s="232"/>
      <c r="E2846" s="232"/>
      <c r="G2846" s="232"/>
      <c r="I2846" s="232"/>
      <c r="K2846" s="232"/>
      <c r="M2846" s="232"/>
      <c r="P2846" s="232"/>
      <c r="R2846" s="232"/>
      <c r="T2846" s="232"/>
    </row>
    <row r="2847" spans="3:20">
      <c r="C2847" s="232"/>
      <c r="E2847" s="232"/>
      <c r="G2847" s="232"/>
      <c r="I2847" s="232"/>
      <c r="K2847" s="232"/>
      <c r="M2847" s="232"/>
      <c r="P2847" s="232"/>
      <c r="R2847" s="232"/>
      <c r="T2847" s="232"/>
    </row>
    <row r="2848" spans="3:20">
      <c r="C2848" s="232"/>
      <c r="E2848" s="232"/>
      <c r="G2848" s="232"/>
      <c r="I2848" s="232"/>
      <c r="K2848" s="232"/>
      <c r="M2848" s="232"/>
      <c r="P2848" s="232"/>
      <c r="R2848" s="232"/>
      <c r="T2848" s="232"/>
    </row>
    <row r="2849" spans="3:20">
      <c r="C2849" s="232"/>
      <c r="E2849" s="232"/>
      <c r="G2849" s="232"/>
      <c r="I2849" s="232"/>
      <c r="K2849" s="232"/>
      <c r="M2849" s="232"/>
      <c r="P2849" s="232"/>
      <c r="R2849" s="232"/>
      <c r="T2849" s="232"/>
    </row>
    <row r="2850" spans="3:20">
      <c r="C2850" s="232"/>
      <c r="E2850" s="232"/>
      <c r="G2850" s="232"/>
      <c r="I2850" s="232"/>
      <c r="K2850" s="232"/>
      <c r="M2850" s="232"/>
      <c r="P2850" s="232"/>
      <c r="R2850" s="232"/>
      <c r="T2850" s="232"/>
    </row>
    <row r="2851" spans="3:20">
      <c r="C2851" s="232"/>
      <c r="E2851" s="232"/>
      <c r="G2851" s="232"/>
      <c r="I2851" s="232"/>
      <c r="K2851" s="232"/>
      <c r="M2851" s="232"/>
      <c r="P2851" s="232"/>
      <c r="R2851" s="232"/>
      <c r="T2851" s="232"/>
    </row>
    <row r="2852" spans="3:20">
      <c r="C2852" s="232"/>
      <c r="E2852" s="232"/>
      <c r="G2852" s="232"/>
      <c r="I2852" s="232"/>
      <c r="K2852" s="232"/>
      <c r="M2852" s="232"/>
      <c r="P2852" s="232"/>
      <c r="R2852" s="232"/>
      <c r="T2852" s="232"/>
    </row>
    <row r="2853" spans="3:20">
      <c r="C2853" s="232"/>
      <c r="E2853" s="232"/>
      <c r="G2853" s="232"/>
      <c r="I2853" s="232"/>
      <c r="K2853" s="232"/>
      <c r="M2853" s="232"/>
      <c r="P2853" s="232"/>
      <c r="R2853" s="232"/>
      <c r="T2853" s="232"/>
    </row>
    <row r="2854" spans="3:20">
      <c r="C2854" s="232"/>
      <c r="E2854" s="232"/>
      <c r="G2854" s="232"/>
      <c r="I2854" s="232"/>
      <c r="K2854" s="232"/>
      <c r="M2854" s="232"/>
      <c r="P2854" s="232"/>
      <c r="R2854" s="232"/>
      <c r="T2854" s="232"/>
    </row>
    <row r="2855" spans="3:20">
      <c r="C2855" s="232"/>
      <c r="E2855" s="232"/>
      <c r="G2855" s="232"/>
      <c r="I2855" s="232"/>
      <c r="K2855" s="232"/>
      <c r="M2855" s="232"/>
      <c r="P2855" s="232"/>
      <c r="R2855" s="232"/>
      <c r="T2855" s="232"/>
    </row>
    <row r="2856" spans="3:20">
      <c r="C2856" s="232"/>
      <c r="E2856" s="232"/>
      <c r="G2856" s="232"/>
      <c r="I2856" s="232"/>
      <c r="K2856" s="232"/>
      <c r="M2856" s="232"/>
      <c r="P2856" s="232"/>
      <c r="R2856" s="232"/>
      <c r="T2856" s="232"/>
    </row>
    <row r="2857" spans="3:20">
      <c r="C2857" s="232"/>
      <c r="E2857" s="232"/>
      <c r="G2857" s="232"/>
      <c r="I2857" s="232"/>
      <c r="K2857" s="232"/>
      <c r="M2857" s="232"/>
      <c r="P2857" s="232"/>
      <c r="R2857" s="232"/>
      <c r="T2857" s="232"/>
    </row>
    <row r="2858" spans="3:20">
      <c r="C2858" s="232"/>
      <c r="E2858" s="232"/>
      <c r="G2858" s="232"/>
      <c r="I2858" s="232"/>
      <c r="K2858" s="232"/>
      <c r="M2858" s="232"/>
      <c r="P2858" s="232"/>
      <c r="R2858" s="232"/>
      <c r="T2858" s="232"/>
    </row>
    <row r="2859" spans="3:20">
      <c r="C2859" s="232"/>
      <c r="E2859" s="232"/>
      <c r="G2859" s="232"/>
      <c r="I2859" s="232"/>
      <c r="K2859" s="232"/>
      <c r="M2859" s="232"/>
      <c r="P2859" s="232"/>
      <c r="R2859" s="232"/>
      <c r="T2859" s="232"/>
    </row>
    <row r="2860" spans="3:20">
      <c r="C2860" s="232"/>
      <c r="E2860" s="232"/>
      <c r="G2860" s="232"/>
      <c r="I2860" s="232"/>
      <c r="K2860" s="232"/>
      <c r="M2860" s="232"/>
      <c r="P2860" s="232"/>
      <c r="R2860" s="232"/>
      <c r="T2860" s="232"/>
    </row>
    <row r="2861" spans="3:20">
      <c r="C2861" s="232"/>
      <c r="E2861" s="232"/>
      <c r="G2861" s="232"/>
      <c r="I2861" s="232"/>
      <c r="K2861" s="232"/>
      <c r="M2861" s="232"/>
      <c r="P2861" s="232"/>
      <c r="R2861" s="232"/>
      <c r="T2861" s="232"/>
    </row>
    <row r="2862" spans="3:20">
      <c r="C2862" s="232"/>
      <c r="E2862" s="232"/>
      <c r="G2862" s="232"/>
      <c r="I2862" s="232"/>
      <c r="K2862" s="232"/>
      <c r="M2862" s="232"/>
      <c r="P2862" s="232"/>
      <c r="R2862" s="232"/>
      <c r="T2862" s="232"/>
    </row>
    <row r="2863" spans="3:20">
      <c r="C2863" s="232"/>
      <c r="E2863" s="232"/>
      <c r="G2863" s="232"/>
      <c r="I2863" s="232"/>
      <c r="K2863" s="232"/>
      <c r="M2863" s="232"/>
      <c r="P2863" s="232"/>
      <c r="R2863" s="232"/>
      <c r="T2863" s="232"/>
    </row>
    <row r="2864" spans="3:20">
      <c r="C2864" s="232"/>
      <c r="E2864" s="232"/>
      <c r="G2864" s="232"/>
      <c r="I2864" s="232"/>
      <c r="K2864" s="232"/>
      <c r="M2864" s="232"/>
      <c r="P2864" s="232"/>
      <c r="R2864" s="232"/>
      <c r="T2864" s="232"/>
    </row>
    <row r="2865" spans="3:20">
      <c r="C2865" s="232"/>
      <c r="E2865" s="232"/>
      <c r="G2865" s="232"/>
      <c r="I2865" s="232"/>
      <c r="K2865" s="232"/>
      <c r="M2865" s="232"/>
      <c r="P2865" s="232"/>
      <c r="R2865" s="232"/>
      <c r="T2865" s="232"/>
    </row>
    <row r="2866" spans="3:20">
      <c r="C2866" s="232"/>
      <c r="E2866" s="232"/>
      <c r="G2866" s="232"/>
      <c r="I2866" s="232"/>
      <c r="K2866" s="232"/>
      <c r="M2866" s="232"/>
      <c r="P2866" s="232"/>
      <c r="R2866" s="232"/>
      <c r="T2866" s="232"/>
    </row>
    <row r="2867" spans="3:20">
      <c r="C2867" s="232"/>
      <c r="E2867" s="232"/>
      <c r="G2867" s="232"/>
      <c r="I2867" s="232"/>
      <c r="K2867" s="232"/>
      <c r="M2867" s="232"/>
      <c r="P2867" s="232"/>
      <c r="R2867" s="232"/>
      <c r="T2867" s="232"/>
    </row>
    <row r="2868" spans="3:20">
      <c r="C2868" s="232"/>
      <c r="E2868" s="232"/>
      <c r="G2868" s="232"/>
      <c r="I2868" s="232"/>
      <c r="K2868" s="232"/>
      <c r="M2868" s="232"/>
      <c r="P2868" s="232"/>
      <c r="R2868" s="232"/>
      <c r="T2868" s="232"/>
    </row>
    <row r="2869" spans="3:20">
      <c r="C2869" s="232"/>
      <c r="E2869" s="232"/>
      <c r="G2869" s="232"/>
      <c r="I2869" s="232"/>
      <c r="K2869" s="232"/>
      <c r="M2869" s="232"/>
      <c r="P2869" s="232"/>
      <c r="R2869" s="232"/>
      <c r="T2869" s="232"/>
    </row>
    <row r="2870" spans="3:20">
      <c r="C2870" s="232"/>
      <c r="E2870" s="232"/>
      <c r="G2870" s="232"/>
      <c r="I2870" s="232"/>
      <c r="K2870" s="232"/>
      <c r="M2870" s="232"/>
      <c r="P2870" s="232"/>
      <c r="R2870" s="232"/>
      <c r="T2870" s="232"/>
    </row>
    <row r="2871" spans="3:20">
      <c r="C2871" s="232"/>
      <c r="E2871" s="232"/>
      <c r="G2871" s="232"/>
      <c r="I2871" s="232"/>
      <c r="K2871" s="232"/>
      <c r="M2871" s="232"/>
      <c r="P2871" s="232"/>
      <c r="R2871" s="232"/>
      <c r="T2871" s="232"/>
    </row>
    <row r="2872" spans="3:20">
      <c r="C2872" s="232"/>
      <c r="E2872" s="232"/>
      <c r="G2872" s="232"/>
      <c r="I2872" s="232"/>
      <c r="K2872" s="232"/>
      <c r="M2872" s="232"/>
      <c r="P2872" s="232"/>
      <c r="R2872" s="232"/>
      <c r="T2872" s="232"/>
    </row>
    <row r="2873" spans="3:20">
      <c r="C2873" s="232"/>
      <c r="E2873" s="232"/>
      <c r="G2873" s="232"/>
      <c r="I2873" s="232"/>
      <c r="K2873" s="232"/>
      <c r="M2873" s="232"/>
      <c r="P2873" s="232"/>
      <c r="R2873" s="232"/>
      <c r="T2873" s="232"/>
    </row>
    <row r="2874" spans="3:20">
      <c r="C2874" s="232"/>
      <c r="E2874" s="232"/>
      <c r="G2874" s="232"/>
      <c r="I2874" s="232"/>
      <c r="K2874" s="232"/>
      <c r="M2874" s="232"/>
      <c r="P2874" s="232"/>
      <c r="R2874" s="232"/>
      <c r="T2874" s="232"/>
    </row>
    <row r="2875" spans="3:20">
      <c r="C2875" s="232"/>
      <c r="E2875" s="232"/>
      <c r="G2875" s="232"/>
      <c r="I2875" s="232"/>
      <c r="K2875" s="232"/>
      <c r="M2875" s="232"/>
      <c r="P2875" s="232"/>
      <c r="R2875" s="232"/>
      <c r="T2875" s="232"/>
    </row>
    <row r="2876" spans="3:20">
      <c r="C2876" s="232"/>
      <c r="E2876" s="232"/>
      <c r="G2876" s="232"/>
      <c r="I2876" s="232"/>
      <c r="K2876" s="232"/>
      <c r="M2876" s="232"/>
      <c r="P2876" s="232"/>
      <c r="R2876" s="232"/>
      <c r="T2876" s="232"/>
    </row>
    <row r="2877" spans="3:20">
      <c r="C2877" s="232"/>
      <c r="E2877" s="232"/>
      <c r="G2877" s="232"/>
      <c r="I2877" s="232"/>
      <c r="K2877" s="232"/>
      <c r="M2877" s="232"/>
      <c r="P2877" s="232"/>
      <c r="R2877" s="232"/>
      <c r="T2877" s="232"/>
    </row>
    <row r="2878" spans="3:20">
      <c r="C2878" s="232"/>
      <c r="E2878" s="232"/>
      <c r="G2878" s="232"/>
      <c r="I2878" s="232"/>
      <c r="K2878" s="232"/>
      <c r="M2878" s="232"/>
      <c r="P2878" s="232"/>
      <c r="R2878" s="232"/>
      <c r="T2878" s="232"/>
    </row>
    <row r="2879" spans="3:20">
      <c r="C2879" s="232"/>
      <c r="E2879" s="232"/>
      <c r="G2879" s="232"/>
      <c r="I2879" s="232"/>
      <c r="K2879" s="232"/>
      <c r="M2879" s="232"/>
      <c r="P2879" s="232"/>
      <c r="R2879" s="232"/>
      <c r="T2879" s="232"/>
    </row>
    <row r="2880" spans="3:20">
      <c r="C2880" s="232"/>
      <c r="E2880" s="232"/>
      <c r="G2880" s="232"/>
      <c r="I2880" s="232"/>
      <c r="K2880" s="232"/>
      <c r="M2880" s="232"/>
      <c r="P2880" s="232"/>
      <c r="R2880" s="232"/>
      <c r="T2880" s="232"/>
    </row>
    <row r="2881" spans="3:20">
      <c r="C2881" s="232"/>
      <c r="E2881" s="232"/>
      <c r="G2881" s="232"/>
      <c r="I2881" s="232"/>
      <c r="K2881" s="232"/>
      <c r="M2881" s="232"/>
      <c r="P2881" s="232"/>
      <c r="R2881" s="232"/>
      <c r="T2881" s="232"/>
    </row>
    <row r="2882" spans="3:20">
      <c r="C2882" s="232"/>
      <c r="E2882" s="232"/>
      <c r="G2882" s="232"/>
      <c r="I2882" s="232"/>
      <c r="K2882" s="232"/>
      <c r="M2882" s="232"/>
      <c r="P2882" s="232"/>
      <c r="R2882" s="232"/>
      <c r="T2882" s="232"/>
    </row>
    <row r="2883" spans="3:20">
      <c r="C2883" s="232"/>
      <c r="E2883" s="232"/>
      <c r="G2883" s="232"/>
      <c r="I2883" s="232"/>
      <c r="K2883" s="232"/>
      <c r="M2883" s="232"/>
      <c r="P2883" s="232"/>
      <c r="R2883" s="232"/>
      <c r="T2883" s="232"/>
    </row>
    <row r="2884" spans="3:20">
      <c r="C2884" s="232"/>
      <c r="E2884" s="232"/>
      <c r="G2884" s="232"/>
      <c r="I2884" s="232"/>
      <c r="K2884" s="232"/>
      <c r="M2884" s="232"/>
      <c r="P2884" s="232"/>
      <c r="R2884" s="232"/>
      <c r="T2884" s="232"/>
    </row>
    <row r="2885" spans="3:20">
      <c r="C2885" s="232"/>
      <c r="E2885" s="232"/>
      <c r="G2885" s="232"/>
      <c r="I2885" s="232"/>
      <c r="K2885" s="232"/>
      <c r="M2885" s="232"/>
      <c r="P2885" s="232"/>
      <c r="R2885" s="232"/>
      <c r="T2885" s="232"/>
    </row>
    <row r="2886" spans="3:20">
      <c r="C2886" s="232"/>
      <c r="E2886" s="232"/>
      <c r="G2886" s="232"/>
      <c r="I2886" s="232"/>
      <c r="K2886" s="232"/>
      <c r="M2886" s="232"/>
      <c r="P2886" s="232"/>
      <c r="R2886" s="232"/>
      <c r="T2886" s="232"/>
    </row>
    <row r="2887" spans="3:20">
      <c r="C2887" s="232"/>
      <c r="E2887" s="232"/>
      <c r="G2887" s="232"/>
      <c r="I2887" s="232"/>
      <c r="K2887" s="232"/>
      <c r="M2887" s="232"/>
      <c r="P2887" s="232"/>
      <c r="R2887" s="232"/>
      <c r="T2887" s="232"/>
    </row>
    <row r="2888" spans="3:20">
      <c r="C2888" s="232"/>
      <c r="E2888" s="232"/>
      <c r="G2888" s="232"/>
      <c r="I2888" s="232"/>
      <c r="K2888" s="232"/>
      <c r="M2888" s="232"/>
      <c r="P2888" s="232"/>
      <c r="R2888" s="232"/>
      <c r="T2888" s="232"/>
    </row>
    <row r="2889" spans="3:20">
      <c r="C2889" s="232"/>
      <c r="E2889" s="232"/>
      <c r="G2889" s="232"/>
      <c r="I2889" s="232"/>
      <c r="K2889" s="232"/>
      <c r="M2889" s="232"/>
      <c r="P2889" s="232"/>
      <c r="R2889" s="232"/>
      <c r="T2889" s="232"/>
    </row>
    <row r="2890" spans="3:20">
      <c r="C2890" s="232"/>
      <c r="E2890" s="232"/>
      <c r="G2890" s="232"/>
      <c r="I2890" s="232"/>
      <c r="K2890" s="232"/>
      <c r="M2890" s="232"/>
      <c r="P2890" s="232"/>
      <c r="R2890" s="232"/>
      <c r="T2890" s="232"/>
    </row>
    <row r="2891" spans="3:20">
      <c r="C2891" s="232"/>
      <c r="E2891" s="232"/>
      <c r="G2891" s="232"/>
      <c r="I2891" s="232"/>
      <c r="K2891" s="232"/>
      <c r="M2891" s="232"/>
      <c r="P2891" s="232"/>
      <c r="R2891" s="232"/>
      <c r="T2891" s="232"/>
    </row>
    <row r="2892" spans="3:20">
      <c r="C2892" s="232"/>
      <c r="E2892" s="232"/>
      <c r="G2892" s="232"/>
      <c r="I2892" s="232"/>
      <c r="K2892" s="232"/>
      <c r="M2892" s="232"/>
      <c r="P2892" s="232"/>
      <c r="R2892" s="232"/>
      <c r="T2892" s="232"/>
    </row>
    <row r="2893" spans="3:20">
      <c r="C2893" s="232"/>
      <c r="E2893" s="232"/>
      <c r="G2893" s="232"/>
      <c r="I2893" s="232"/>
      <c r="K2893" s="232"/>
      <c r="M2893" s="232"/>
      <c r="P2893" s="232"/>
      <c r="R2893" s="232"/>
      <c r="T2893" s="232"/>
    </row>
    <row r="2894" spans="3:20">
      <c r="C2894" s="232"/>
      <c r="E2894" s="232"/>
      <c r="G2894" s="232"/>
      <c r="I2894" s="232"/>
      <c r="K2894" s="232"/>
      <c r="M2894" s="232"/>
      <c r="P2894" s="232"/>
      <c r="R2894" s="232"/>
      <c r="T2894" s="232"/>
    </row>
    <row r="2895" spans="3:20">
      <c r="C2895" s="232"/>
      <c r="E2895" s="232"/>
      <c r="G2895" s="232"/>
      <c r="I2895" s="232"/>
      <c r="K2895" s="232"/>
      <c r="M2895" s="232"/>
      <c r="P2895" s="232"/>
      <c r="R2895" s="232"/>
      <c r="T2895" s="232"/>
    </row>
    <row r="2896" spans="3:20">
      <c r="C2896" s="232"/>
      <c r="E2896" s="232"/>
      <c r="G2896" s="232"/>
      <c r="I2896" s="232"/>
      <c r="K2896" s="232"/>
      <c r="M2896" s="232"/>
      <c r="P2896" s="232"/>
      <c r="R2896" s="232"/>
      <c r="T2896" s="232"/>
    </row>
    <row r="2897" spans="3:20">
      <c r="C2897" s="232"/>
      <c r="E2897" s="232"/>
      <c r="G2897" s="232"/>
      <c r="I2897" s="232"/>
      <c r="K2897" s="232"/>
      <c r="M2897" s="232"/>
      <c r="P2897" s="232"/>
      <c r="R2897" s="232"/>
      <c r="T2897" s="232"/>
    </row>
    <row r="2898" spans="3:20">
      <c r="C2898" s="232"/>
      <c r="E2898" s="232"/>
      <c r="G2898" s="232"/>
      <c r="I2898" s="232"/>
      <c r="K2898" s="232"/>
      <c r="M2898" s="232"/>
      <c r="P2898" s="232"/>
      <c r="R2898" s="232"/>
      <c r="T2898" s="232"/>
    </row>
    <row r="2899" spans="3:20">
      <c r="C2899" s="232"/>
      <c r="E2899" s="232"/>
      <c r="G2899" s="232"/>
      <c r="I2899" s="232"/>
      <c r="K2899" s="232"/>
      <c r="M2899" s="232"/>
      <c r="P2899" s="232"/>
      <c r="R2899" s="232"/>
      <c r="T2899" s="232"/>
    </row>
    <row r="2900" spans="3:20">
      <c r="C2900" s="232"/>
      <c r="E2900" s="232"/>
      <c r="G2900" s="232"/>
      <c r="I2900" s="232"/>
      <c r="K2900" s="232"/>
      <c r="M2900" s="232"/>
      <c r="P2900" s="232"/>
      <c r="R2900" s="232"/>
      <c r="T2900" s="232"/>
    </row>
    <row r="2901" spans="3:20">
      <c r="C2901" s="232"/>
      <c r="E2901" s="232"/>
      <c r="G2901" s="232"/>
      <c r="I2901" s="232"/>
      <c r="K2901" s="232"/>
      <c r="M2901" s="232"/>
      <c r="P2901" s="232"/>
      <c r="R2901" s="232"/>
      <c r="T2901" s="232"/>
    </row>
    <row r="2902" spans="3:20">
      <c r="C2902" s="232"/>
      <c r="E2902" s="232"/>
      <c r="G2902" s="232"/>
      <c r="I2902" s="232"/>
      <c r="K2902" s="232"/>
      <c r="M2902" s="232"/>
      <c r="P2902" s="232"/>
      <c r="R2902" s="232"/>
      <c r="T2902" s="232"/>
    </row>
    <row r="2903" spans="3:20">
      <c r="C2903" s="232"/>
      <c r="E2903" s="232"/>
      <c r="G2903" s="232"/>
      <c r="I2903" s="232"/>
      <c r="K2903" s="232"/>
      <c r="M2903" s="232"/>
      <c r="P2903" s="232"/>
      <c r="R2903" s="232"/>
      <c r="T2903" s="232"/>
    </row>
    <row r="2904" spans="3:20">
      <c r="C2904" s="232"/>
      <c r="E2904" s="232"/>
      <c r="G2904" s="232"/>
      <c r="I2904" s="232"/>
      <c r="K2904" s="232"/>
      <c r="M2904" s="232"/>
      <c r="P2904" s="232"/>
      <c r="R2904" s="232"/>
      <c r="T2904" s="232"/>
    </row>
    <row r="2905" spans="3:20">
      <c r="C2905" s="232"/>
      <c r="E2905" s="232"/>
      <c r="G2905" s="232"/>
      <c r="I2905" s="232"/>
      <c r="K2905" s="232"/>
      <c r="M2905" s="232"/>
      <c r="P2905" s="232"/>
      <c r="R2905" s="232"/>
      <c r="T2905" s="232"/>
    </row>
    <row r="2906" spans="3:20">
      <c r="C2906" s="232"/>
      <c r="E2906" s="232"/>
      <c r="G2906" s="232"/>
      <c r="I2906" s="232"/>
      <c r="K2906" s="232"/>
      <c r="M2906" s="232"/>
      <c r="P2906" s="232"/>
      <c r="R2906" s="232"/>
      <c r="T2906" s="232"/>
    </row>
    <row r="2907" spans="3:20">
      <c r="C2907" s="232"/>
      <c r="E2907" s="232"/>
      <c r="G2907" s="232"/>
      <c r="I2907" s="232"/>
      <c r="K2907" s="232"/>
      <c r="M2907" s="232"/>
      <c r="P2907" s="232"/>
      <c r="R2907" s="232"/>
      <c r="T2907" s="232"/>
    </row>
    <row r="2908" spans="3:20">
      <c r="C2908" s="232"/>
      <c r="E2908" s="232"/>
      <c r="G2908" s="232"/>
      <c r="I2908" s="232"/>
      <c r="K2908" s="232"/>
      <c r="M2908" s="232"/>
      <c r="P2908" s="232"/>
      <c r="R2908" s="232"/>
      <c r="T2908" s="232"/>
    </row>
    <row r="2909" spans="3:20">
      <c r="C2909" s="232"/>
      <c r="E2909" s="232"/>
      <c r="G2909" s="232"/>
      <c r="I2909" s="232"/>
      <c r="K2909" s="232"/>
      <c r="M2909" s="232"/>
      <c r="P2909" s="232"/>
      <c r="R2909" s="232"/>
      <c r="T2909" s="232"/>
    </row>
    <row r="2910" spans="3:20">
      <c r="C2910" s="232"/>
      <c r="E2910" s="232"/>
      <c r="G2910" s="232"/>
      <c r="I2910" s="232"/>
      <c r="K2910" s="232"/>
      <c r="M2910" s="232"/>
      <c r="P2910" s="232"/>
      <c r="R2910" s="232"/>
      <c r="T2910" s="232"/>
    </row>
    <row r="2911" spans="3:20">
      <c r="C2911" s="232"/>
      <c r="E2911" s="232"/>
      <c r="G2911" s="232"/>
      <c r="I2911" s="232"/>
      <c r="K2911" s="232"/>
      <c r="M2911" s="232"/>
      <c r="P2911" s="232"/>
      <c r="R2911" s="232"/>
      <c r="T2911" s="232"/>
    </row>
    <row r="2912" spans="3:20">
      <c r="C2912" s="232"/>
      <c r="E2912" s="232"/>
      <c r="G2912" s="232"/>
      <c r="I2912" s="232"/>
      <c r="K2912" s="232"/>
      <c r="M2912" s="232"/>
      <c r="P2912" s="232"/>
      <c r="R2912" s="232"/>
      <c r="T2912" s="232"/>
    </row>
    <row r="2913" spans="3:20">
      <c r="C2913" s="232"/>
      <c r="E2913" s="232"/>
      <c r="G2913" s="232"/>
      <c r="I2913" s="232"/>
      <c r="K2913" s="232"/>
      <c r="M2913" s="232"/>
      <c r="P2913" s="232"/>
      <c r="R2913" s="232"/>
      <c r="T2913" s="232"/>
    </row>
    <row r="2914" spans="3:20">
      <c r="C2914" s="232"/>
      <c r="E2914" s="232"/>
      <c r="G2914" s="232"/>
      <c r="I2914" s="232"/>
      <c r="K2914" s="232"/>
      <c r="M2914" s="232"/>
      <c r="P2914" s="232"/>
      <c r="R2914" s="232"/>
      <c r="T2914" s="232"/>
    </row>
    <row r="2915" spans="3:20">
      <c r="C2915" s="232"/>
      <c r="E2915" s="232"/>
      <c r="G2915" s="232"/>
      <c r="I2915" s="232"/>
      <c r="K2915" s="232"/>
      <c r="M2915" s="232"/>
      <c r="P2915" s="232"/>
      <c r="R2915" s="232"/>
      <c r="T2915" s="232"/>
    </row>
    <row r="2916" spans="3:20">
      <c r="C2916" s="232"/>
      <c r="E2916" s="232"/>
      <c r="G2916" s="232"/>
      <c r="I2916" s="232"/>
      <c r="K2916" s="232"/>
      <c r="M2916" s="232"/>
      <c r="P2916" s="232"/>
      <c r="R2916" s="232"/>
      <c r="T2916" s="232"/>
    </row>
    <row r="2917" spans="3:20">
      <c r="C2917" s="232"/>
      <c r="E2917" s="232"/>
      <c r="G2917" s="232"/>
      <c r="I2917" s="232"/>
      <c r="K2917" s="232"/>
      <c r="M2917" s="232"/>
      <c r="P2917" s="232"/>
      <c r="R2917" s="232"/>
      <c r="T2917" s="232"/>
    </row>
    <row r="2918" spans="3:20">
      <c r="C2918" s="232"/>
      <c r="E2918" s="232"/>
      <c r="G2918" s="232"/>
      <c r="I2918" s="232"/>
      <c r="K2918" s="232"/>
      <c r="M2918" s="232"/>
      <c r="P2918" s="232"/>
      <c r="R2918" s="232"/>
      <c r="T2918" s="232"/>
    </row>
    <row r="2919" spans="3:20">
      <c r="C2919" s="232"/>
      <c r="E2919" s="232"/>
      <c r="G2919" s="232"/>
      <c r="I2919" s="232"/>
      <c r="K2919" s="232"/>
      <c r="M2919" s="232"/>
      <c r="P2919" s="232"/>
      <c r="R2919" s="232"/>
      <c r="T2919" s="232"/>
    </row>
    <row r="2920" spans="3:20">
      <c r="C2920" s="232"/>
      <c r="E2920" s="232"/>
      <c r="G2920" s="232"/>
      <c r="I2920" s="232"/>
      <c r="K2920" s="232"/>
      <c r="M2920" s="232"/>
      <c r="P2920" s="232"/>
      <c r="R2920" s="232"/>
      <c r="T2920" s="232"/>
    </row>
    <row r="2921" spans="3:20">
      <c r="C2921" s="232"/>
      <c r="E2921" s="232"/>
      <c r="G2921" s="232"/>
      <c r="I2921" s="232"/>
      <c r="K2921" s="232"/>
      <c r="M2921" s="232"/>
      <c r="P2921" s="232"/>
      <c r="R2921" s="232"/>
      <c r="T2921" s="232"/>
    </row>
    <row r="2922" spans="3:20">
      <c r="C2922" s="232"/>
      <c r="E2922" s="232"/>
      <c r="G2922" s="232"/>
      <c r="I2922" s="232"/>
      <c r="K2922" s="232"/>
      <c r="M2922" s="232"/>
      <c r="P2922" s="232"/>
      <c r="R2922" s="232"/>
      <c r="T2922" s="232"/>
    </row>
    <row r="2923" spans="3:20">
      <c r="C2923" s="232"/>
      <c r="E2923" s="232"/>
      <c r="G2923" s="232"/>
      <c r="I2923" s="232"/>
      <c r="K2923" s="232"/>
      <c r="M2923" s="232"/>
      <c r="P2923" s="232"/>
      <c r="R2923" s="232"/>
      <c r="T2923" s="232"/>
    </row>
    <row r="2924" spans="3:20">
      <c r="C2924" s="232"/>
      <c r="E2924" s="232"/>
      <c r="G2924" s="232"/>
      <c r="I2924" s="232"/>
      <c r="K2924" s="232"/>
      <c r="M2924" s="232"/>
      <c r="P2924" s="232"/>
      <c r="R2924" s="232"/>
      <c r="T2924" s="232"/>
    </row>
    <row r="2925" spans="3:20">
      <c r="C2925" s="232"/>
      <c r="E2925" s="232"/>
      <c r="G2925" s="232"/>
      <c r="I2925" s="232"/>
      <c r="K2925" s="232"/>
      <c r="M2925" s="232"/>
      <c r="P2925" s="232"/>
      <c r="R2925" s="232"/>
      <c r="T2925" s="232"/>
    </row>
    <row r="2926" spans="3:20">
      <c r="C2926" s="232"/>
      <c r="E2926" s="232"/>
      <c r="G2926" s="232"/>
      <c r="I2926" s="232"/>
      <c r="K2926" s="232"/>
      <c r="M2926" s="232"/>
      <c r="P2926" s="232"/>
      <c r="R2926" s="232"/>
      <c r="T2926" s="232"/>
    </row>
    <row r="2927" spans="3:20">
      <c r="C2927" s="232"/>
      <c r="E2927" s="232"/>
      <c r="G2927" s="232"/>
      <c r="I2927" s="232"/>
      <c r="K2927" s="232"/>
      <c r="M2927" s="232"/>
      <c r="P2927" s="232"/>
      <c r="R2927" s="232"/>
      <c r="T2927" s="232"/>
    </row>
    <row r="2928" spans="3:20">
      <c r="C2928" s="232"/>
      <c r="E2928" s="232"/>
      <c r="G2928" s="232"/>
      <c r="I2928" s="232"/>
      <c r="K2928" s="232"/>
      <c r="M2928" s="232"/>
      <c r="P2928" s="232"/>
      <c r="R2928" s="232"/>
      <c r="T2928" s="232"/>
    </row>
    <row r="2929" spans="3:20">
      <c r="C2929" s="232"/>
      <c r="E2929" s="232"/>
      <c r="G2929" s="232"/>
      <c r="I2929" s="232"/>
      <c r="K2929" s="232"/>
      <c r="M2929" s="232"/>
      <c r="P2929" s="232"/>
      <c r="R2929" s="232"/>
      <c r="T2929" s="232"/>
    </row>
    <row r="2930" spans="3:20">
      <c r="C2930" s="232"/>
      <c r="E2930" s="232"/>
      <c r="G2930" s="232"/>
      <c r="I2930" s="232"/>
      <c r="K2930" s="232"/>
      <c r="M2930" s="232"/>
      <c r="P2930" s="232"/>
      <c r="R2930" s="232"/>
      <c r="T2930" s="232"/>
    </row>
    <row r="2931" spans="3:20">
      <c r="C2931" s="232"/>
      <c r="E2931" s="232"/>
      <c r="G2931" s="232"/>
      <c r="I2931" s="232"/>
      <c r="K2931" s="232"/>
      <c r="M2931" s="232"/>
      <c r="P2931" s="232"/>
      <c r="R2931" s="232"/>
      <c r="T2931" s="232"/>
    </row>
    <row r="2932" spans="3:20">
      <c r="C2932" s="232"/>
      <c r="E2932" s="232"/>
      <c r="G2932" s="232"/>
      <c r="I2932" s="232"/>
      <c r="K2932" s="232"/>
      <c r="M2932" s="232"/>
      <c r="P2932" s="232"/>
      <c r="R2932" s="232"/>
      <c r="T2932" s="232"/>
    </row>
    <row r="2933" spans="3:20">
      <c r="C2933" s="232"/>
      <c r="E2933" s="232"/>
      <c r="G2933" s="232"/>
      <c r="I2933" s="232"/>
      <c r="K2933" s="232"/>
      <c r="M2933" s="232"/>
      <c r="P2933" s="232"/>
      <c r="R2933" s="232"/>
      <c r="T2933" s="232"/>
    </row>
    <row r="2934" spans="3:20">
      <c r="C2934" s="232"/>
      <c r="E2934" s="232"/>
      <c r="G2934" s="232"/>
      <c r="I2934" s="232"/>
      <c r="K2934" s="232"/>
      <c r="M2934" s="232"/>
      <c r="P2934" s="232"/>
      <c r="R2934" s="232"/>
      <c r="T2934" s="232"/>
    </row>
    <row r="2935" spans="3:20">
      <c r="C2935" s="232"/>
      <c r="E2935" s="232"/>
      <c r="G2935" s="232"/>
      <c r="I2935" s="232"/>
      <c r="K2935" s="232"/>
      <c r="M2935" s="232"/>
      <c r="P2935" s="232"/>
      <c r="R2935" s="232"/>
      <c r="T2935" s="232"/>
    </row>
    <row r="2936" spans="3:20">
      <c r="C2936" s="232"/>
      <c r="E2936" s="232"/>
      <c r="G2936" s="232"/>
      <c r="I2936" s="232"/>
      <c r="K2936" s="232"/>
      <c r="M2936" s="232"/>
      <c r="P2936" s="232"/>
      <c r="R2936" s="232"/>
      <c r="T2936" s="232"/>
    </row>
    <row r="2937" spans="3:20">
      <c r="C2937" s="232"/>
      <c r="E2937" s="232"/>
      <c r="G2937" s="232"/>
      <c r="I2937" s="232"/>
      <c r="K2937" s="232"/>
      <c r="M2937" s="232"/>
      <c r="P2937" s="232"/>
      <c r="R2937" s="232"/>
      <c r="T2937" s="232"/>
    </row>
    <row r="2938" spans="3:20">
      <c r="C2938" s="232"/>
      <c r="E2938" s="232"/>
      <c r="G2938" s="232"/>
      <c r="I2938" s="232"/>
      <c r="K2938" s="232"/>
      <c r="M2938" s="232"/>
      <c r="P2938" s="232"/>
      <c r="R2938" s="232"/>
      <c r="T2938" s="232"/>
    </row>
    <row r="2939" spans="3:20">
      <c r="C2939" s="232"/>
      <c r="E2939" s="232"/>
      <c r="G2939" s="232"/>
      <c r="I2939" s="232"/>
      <c r="K2939" s="232"/>
      <c r="M2939" s="232"/>
      <c r="P2939" s="232"/>
      <c r="R2939" s="232"/>
      <c r="T2939" s="232"/>
    </row>
    <row r="2940" spans="3:20">
      <c r="C2940" s="232"/>
      <c r="E2940" s="232"/>
      <c r="G2940" s="232"/>
      <c r="I2940" s="232"/>
      <c r="K2940" s="232"/>
      <c r="M2940" s="232"/>
      <c r="P2940" s="232"/>
      <c r="R2940" s="232"/>
      <c r="T2940" s="232"/>
    </row>
    <row r="2941" spans="3:20">
      <c r="C2941" s="232"/>
      <c r="E2941" s="232"/>
      <c r="G2941" s="232"/>
      <c r="I2941" s="232"/>
      <c r="K2941" s="232"/>
      <c r="M2941" s="232"/>
      <c r="P2941" s="232"/>
      <c r="R2941" s="232"/>
      <c r="T2941" s="232"/>
    </row>
    <row r="2942" spans="3:20">
      <c r="C2942" s="232"/>
      <c r="E2942" s="232"/>
      <c r="G2942" s="232"/>
      <c r="I2942" s="232"/>
      <c r="K2942" s="232"/>
      <c r="M2942" s="232"/>
      <c r="P2942" s="232"/>
      <c r="R2942" s="232"/>
      <c r="T2942" s="232"/>
    </row>
    <row r="2943" spans="3:20">
      <c r="C2943" s="232"/>
      <c r="E2943" s="232"/>
      <c r="G2943" s="232"/>
      <c r="I2943" s="232"/>
      <c r="K2943" s="232"/>
      <c r="M2943" s="232"/>
      <c r="P2943" s="232"/>
      <c r="R2943" s="232"/>
      <c r="T2943" s="232"/>
    </row>
    <row r="2944" spans="3:20">
      <c r="C2944" s="232"/>
      <c r="E2944" s="232"/>
      <c r="G2944" s="232"/>
      <c r="I2944" s="232"/>
      <c r="K2944" s="232"/>
      <c r="M2944" s="232"/>
      <c r="P2944" s="232"/>
      <c r="R2944" s="232"/>
      <c r="T2944" s="232"/>
    </row>
    <row r="2945" spans="3:20">
      <c r="C2945" s="232"/>
      <c r="E2945" s="232"/>
      <c r="G2945" s="232"/>
      <c r="I2945" s="232"/>
      <c r="K2945" s="232"/>
      <c r="M2945" s="232"/>
      <c r="P2945" s="232"/>
      <c r="R2945" s="232"/>
      <c r="T2945" s="232"/>
    </row>
    <row r="2946" spans="3:20">
      <c r="C2946" s="232"/>
      <c r="E2946" s="232"/>
      <c r="G2946" s="232"/>
      <c r="I2946" s="232"/>
      <c r="K2946" s="232"/>
      <c r="M2946" s="232"/>
      <c r="P2946" s="232"/>
      <c r="R2946" s="232"/>
      <c r="T2946" s="232"/>
    </row>
    <row r="2947" spans="3:20">
      <c r="C2947" s="232"/>
      <c r="E2947" s="232"/>
      <c r="G2947" s="232"/>
      <c r="I2947" s="232"/>
      <c r="K2947" s="232"/>
      <c r="M2947" s="232"/>
      <c r="P2947" s="232"/>
      <c r="R2947" s="232"/>
      <c r="T2947" s="232"/>
    </row>
    <row r="2948" spans="3:20">
      <c r="C2948" s="232"/>
      <c r="E2948" s="232"/>
      <c r="G2948" s="232"/>
      <c r="I2948" s="232"/>
      <c r="K2948" s="232"/>
      <c r="M2948" s="232"/>
      <c r="P2948" s="232"/>
      <c r="R2948" s="232"/>
      <c r="T2948" s="232"/>
    </row>
    <row r="2949" spans="3:20">
      <c r="C2949" s="232"/>
      <c r="E2949" s="232"/>
      <c r="G2949" s="232"/>
      <c r="I2949" s="232"/>
      <c r="K2949" s="232"/>
      <c r="M2949" s="232"/>
      <c r="P2949" s="232"/>
      <c r="R2949" s="232"/>
      <c r="T2949" s="232"/>
    </row>
    <row r="2950" spans="3:20">
      <c r="C2950" s="232"/>
      <c r="E2950" s="232"/>
      <c r="G2950" s="232"/>
      <c r="I2950" s="232"/>
      <c r="K2950" s="232"/>
      <c r="M2950" s="232"/>
      <c r="P2950" s="232"/>
      <c r="R2950" s="232"/>
      <c r="T2950" s="232"/>
    </row>
    <row r="2951" spans="3:20">
      <c r="C2951" s="232"/>
      <c r="E2951" s="232"/>
      <c r="G2951" s="232"/>
      <c r="I2951" s="232"/>
      <c r="K2951" s="232"/>
      <c r="M2951" s="232"/>
      <c r="P2951" s="232"/>
      <c r="R2951" s="232"/>
      <c r="T2951" s="232"/>
    </row>
    <row r="2952" spans="3:20">
      <c r="C2952" s="232"/>
      <c r="E2952" s="232"/>
      <c r="G2952" s="232"/>
      <c r="I2952" s="232"/>
      <c r="K2952" s="232"/>
      <c r="M2952" s="232"/>
      <c r="P2952" s="232"/>
      <c r="R2952" s="232"/>
      <c r="T2952" s="232"/>
    </row>
    <row r="2953" spans="3:20">
      <c r="C2953" s="232"/>
      <c r="E2953" s="232"/>
      <c r="G2953" s="232"/>
      <c r="I2953" s="232"/>
      <c r="K2953" s="232"/>
      <c r="M2953" s="232"/>
      <c r="P2953" s="232"/>
      <c r="R2953" s="232"/>
      <c r="T2953" s="232"/>
    </row>
    <row r="2954" spans="3:20">
      <c r="C2954" s="232"/>
      <c r="E2954" s="232"/>
      <c r="G2954" s="232"/>
      <c r="I2954" s="232"/>
      <c r="K2954" s="232"/>
      <c r="M2954" s="232"/>
      <c r="P2954" s="232"/>
      <c r="R2954" s="232"/>
      <c r="T2954" s="232"/>
    </row>
    <row r="2955" spans="3:20">
      <c r="C2955" s="232"/>
      <c r="E2955" s="232"/>
      <c r="G2955" s="232"/>
      <c r="I2955" s="232"/>
      <c r="K2955" s="232"/>
      <c r="M2955" s="232"/>
      <c r="P2955" s="232"/>
      <c r="R2955" s="232"/>
      <c r="T2955" s="232"/>
    </row>
    <row r="2956" spans="3:20">
      <c r="C2956" s="232"/>
      <c r="E2956" s="232"/>
      <c r="G2956" s="232"/>
      <c r="I2956" s="232"/>
      <c r="K2956" s="232"/>
      <c r="M2956" s="232"/>
      <c r="P2956" s="232"/>
      <c r="R2956" s="232"/>
      <c r="T2956" s="232"/>
    </row>
    <row r="2957" spans="3:20">
      <c r="C2957" s="232"/>
      <c r="E2957" s="232"/>
      <c r="G2957" s="232"/>
      <c r="I2957" s="232"/>
      <c r="K2957" s="232"/>
      <c r="M2957" s="232"/>
      <c r="P2957" s="232"/>
      <c r="R2957" s="232"/>
      <c r="T2957" s="232"/>
    </row>
    <row r="2958" spans="3:20">
      <c r="C2958" s="232"/>
      <c r="E2958" s="232"/>
      <c r="G2958" s="232"/>
      <c r="I2958" s="232"/>
      <c r="K2958" s="232"/>
      <c r="M2958" s="232"/>
      <c r="P2958" s="232"/>
      <c r="R2958" s="232"/>
      <c r="T2958" s="232"/>
    </row>
    <row r="2959" spans="3:20">
      <c r="C2959" s="232"/>
      <c r="E2959" s="232"/>
      <c r="G2959" s="232"/>
      <c r="I2959" s="232"/>
      <c r="K2959" s="232"/>
      <c r="M2959" s="232"/>
      <c r="P2959" s="232"/>
      <c r="R2959" s="232"/>
      <c r="T2959" s="232"/>
    </row>
    <row r="2960" spans="3:20">
      <c r="C2960" s="232"/>
      <c r="E2960" s="232"/>
      <c r="G2960" s="232"/>
      <c r="I2960" s="232"/>
      <c r="K2960" s="232"/>
      <c r="M2960" s="232"/>
      <c r="P2960" s="232"/>
      <c r="R2960" s="232"/>
      <c r="T2960" s="232"/>
    </row>
    <row r="2961" spans="3:20">
      <c r="C2961" s="232"/>
      <c r="E2961" s="232"/>
      <c r="G2961" s="232"/>
      <c r="I2961" s="232"/>
      <c r="K2961" s="232"/>
      <c r="M2961" s="232"/>
      <c r="P2961" s="232"/>
      <c r="R2961" s="232"/>
      <c r="T2961" s="232"/>
    </row>
    <row r="2962" spans="3:20">
      <c r="C2962" s="232"/>
      <c r="E2962" s="232"/>
      <c r="G2962" s="232"/>
      <c r="I2962" s="232"/>
      <c r="K2962" s="232"/>
      <c r="M2962" s="232"/>
      <c r="P2962" s="232"/>
      <c r="R2962" s="232"/>
      <c r="T2962" s="232"/>
    </row>
    <row r="2963" spans="3:20">
      <c r="C2963" s="232"/>
      <c r="E2963" s="232"/>
      <c r="G2963" s="232"/>
      <c r="I2963" s="232"/>
      <c r="K2963" s="232"/>
      <c r="M2963" s="232"/>
      <c r="P2963" s="232"/>
      <c r="R2963" s="232"/>
      <c r="T2963" s="232"/>
    </row>
    <row r="2964" spans="3:20">
      <c r="C2964" s="232"/>
      <c r="E2964" s="232"/>
      <c r="G2964" s="232"/>
      <c r="I2964" s="232"/>
      <c r="K2964" s="232"/>
      <c r="M2964" s="232"/>
      <c r="P2964" s="232"/>
      <c r="R2964" s="232"/>
      <c r="T2964" s="232"/>
    </row>
    <row r="2965" spans="3:20">
      <c r="C2965" s="232"/>
      <c r="E2965" s="232"/>
      <c r="G2965" s="232"/>
      <c r="I2965" s="232"/>
      <c r="K2965" s="232"/>
      <c r="M2965" s="232"/>
      <c r="P2965" s="232"/>
      <c r="R2965" s="232"/>
      <c r="T2965" s="232"/>
    </row>
    <row r="2966" spans="3:20">
      <c r="C2966" s="232"/>
      <c r="E2966" s="232"/>
      <c r="G2966" s="232"/>
      <c r="I2966" s="232"/>
      <c r="K2966" s="232"/>
      <c r="M2966" s="232"/>
      <c r="P2966" s="232"/>
      <c r="R2966" s="232"/>
      <c r="T2966" s="232"/>
    </row>
    <row r="2967" spans="3:20">
      <c r="C2967" s="232"/>
      <c r="E2967" s="232"/>
      <c r="G2967" s="232"/>
      <c r="I2967" s="232"/>
      <c r="K2967" s="232"/>
      <c r="M2967" s="232"/>
      <c r="P2967" s="232"/>
      <c r="R2967" s="232"/>
      <c r="T2967" s="232"/>
    </row>
    <row r="2968" spans="3:20">
      <c r="C2968" s="232"/>
      <c r="E2968" s="232"/>
      <c r="G2968" s="232"/>
      <c r="I2968" s="232"/>
      <c r="K2968" s="232"/>
      <c r="M2968" s="232"/>
      <c r="P2968" s="232"/>
      <c r="R2968" s="232"/>
      <c r="T2968" s="232"/>
    </row>
    <row r="2969" spans="3:20">
      <c r="C2969" s="232"/>
      <c r="E2969" s="232"/>
      <c r="G2969" s="232"/>
      <c r="I2969" s="232"/>
      <c r="K2969" s="232"/>
      <c r="M2969" s="232"/>
      <c r="P2969" s="232"/>
      <c r="R2969" s="232"/>
      <c r="T2969" s="232"/>
    </row>
    <row r="2970" spans="3:20">
      <c r="C2970" s="232"/>
      <c r="E2970" s="232"/>
      <c r="G2970" s="232"/>
      <c r="I2970" s="232"/>
      <c r="K2970" s="232"/>
      <c r="M2970" s="232"/>
      <c r="P2970" s="232"/>
      <c r="R2970" s="232"/>
      <c r="T2970" s="232"/>
    </row>
    <row r="2971" spans="3:20">
      <c r="C2971" s="232"/>
      <c r="E2971" s="232"/>
      <c r="G2971" s="232"/>
      <c r="I2971" s="232"/>
      <c r="K2971" s="232"/>
      <c r="M2971" s="232"/>
      <c r="P2971" s="232"/>
      <c r="R2971" s="232"/>
      <c r="T2971" s="232"/>
    </row>
    <row r="2972" spans="3:20">
      <c r="C2972" s="232"/>
      <c r="E2972" s="232"/>
      <c r="G2972" s="232"/>
      <c r="I2972" s="232"/>
      <c r="K2972" s="232"/>
      <c r="M2972" s="232"/>
      <c r="P2972" s="232"/>
      <c r="R2972" s="232"/>
      <c r="T2972" s="232"/>
    </row>
    <row r="2973" spans="3:20">
      <c r="C2973" s="232"/>
      <c r="E2973" s="232"/>
      <c r="G2973" s="232"/>
      <c r="I2973" s="232"/>
      <c r="K2973" s="232"/>
      <c r="M2973" s="232"/>
      <c r="P2973" s="232"/>
      <c r="R2973" s="232"/>
      <c r="T2973" s="232"/>
    </row>
    <row r="2974" spans="3:20">
      <c r="C2974" s="232"/>
      <c r="E2974" s="232"/>
      <c r="G2974" s="232"/>
      <c r="I2974" s="232"/>
      <c r="K2974" s="232"/>
      <c r="M2974" s="232"/>
      <c r="P2974" s="232"/>
      <c r="R2974" s="232"/>
      <c r="T2974" s="232"/>
    </row>
    <row r="2975" spans="3:20">
      <c r="C2975" s="232"/>
      <c r="E2975" s="232"/>
      <c r="G2975" s="232"/>
      <c r="I2975" s="232"/>
      <c r="K2975" s="232"/>
      <c r="M2975" s="232"/>
      <c r="P2975" s="232"/>
      <c r="R2975" s="232"/>
      <c r="T2975" s="232"/>
    </row>
    <row r="2976" spans="3:20">
      <c r="C2976" s="232"/>
      <c r="E2976" s="232"/>
      <c r="G2976" s="232"/>
      <c r="I2976" s="232"/>
      <c r="K2976" s="232"/>
      <c r="M2976" s="232"/>
      <c r="P2976" s="232"/>
      <c r="R2976" s="232"/>
      <c r="T2976" s="232"/>
    </row>
    <row r="2977" spans="3:20">
      <c r="C2977" s="232"/>
      <c r="E2977" s="232"/>
      <c r="G2977" s="232"/>
      <c r="I2977" s="232"/>
      <c r="K2977" s="232"/>
      <c r="M2977" s="232"/>
      <c r="P2977" s="232"/>
      <c r="R2977" s="232"/>
      <c r="T2977" s="232"/>
    </row>
    <row r="2978" spans="3:20">
      <c r="C2978" s="232"/>
      <c r="E2978" s="232"/>
      <c r="G2978" s="232"/>
      <c r="I2978" s="232"/>
      <c r="K2978" s="232"/>
      <c r="M2978" s="232"/>
      <c r="P2978" s="232"/>
      <c r="R2978" s="232"/>
      <c r="T2978" s="232"/>
    </row>
    <row r="2979" spans="3:20">
      <c r="C2979" s="232"/>
      <c r="E2979" s="232"/>
      <c r="G2979" s="232"/>
      <c r="I2979" s="232"/>
      <c r="K2979" s="232"/>
      <c r="M2979" s="232"/>
      <c r="P2979" s="232"/>
      <c r="R2979" s="232"/>
      <c r="T2979" s="232"/>
    </row>
    <row r="2980" spans="3:20">
      <c r="C2980" s="232"/>
      <c r="E2980" s="232"/>
      <c r="G2980" s="232"/>
      <c r="I2980" s="232"/>
      <c r="K2980" s="232"/>
      <c r="M2980" s="232"/>
      <c r="P2980" s="232"/>
      <c r="R2980" s="232"/>
      <c r="T2980" s="232"/>
    </row>
    <row r="2981" spans="3:20">
      <c r="C2981" s="232"/>
      <c r="E2981" s="232"/>
      <c r="G2981" s="232"/>
      <c r="I2981" s="232"/>
      <c r="K2981" s="232"/>
      <c r="M2981" s="232"/>
      <c r="P2981" s="232"/>
      <c r="R2981" s="232"/>
      <c r="T2981" s="232"/>
    </row>
    <row r="2982" spans="3:20">
      <c r="C2982" s="232"/>
      <c r="E2982" s="232"/>
      <c r="G2982" s="232"/>
      <c r="I2982" s="232"/>
      <c r="K2982" s="232"/>
      <c r="M2982" s="232"/>
      <c r="P2982" s="232"/>
      <c r="R2982" s="232"/>
      <c r="T2982" s="232"/>
    </row>
    <row r="2983" spans="3:20">
      <c r="C2983" s="232"/>
      <c r="E2983" s="232"/>
      <c r="G2983" s="232"/>
      <c r="I2983" s="232"/>
      <c r="K2983" s="232"/>
      <c r="M2983" s="232"/>
      <c r="P2983" s="232"/>
      <c r="R2983" s="232"/>
      <c r="T2983" s="232"/>
    </row>
    <row r="2984" spans="3:20">
      <c r="C2984" s="232"/>
      <c r="E2984" s="232"/>
      <c r="G2984" s="232"/>
      <c r="I2984" s="232"/>
      <c r="K2984" s="232"/>
      <c r="M2984" s="232"/>
      <c r="P2984" s="232"/>
      <c r="R2984" s="232"/>
      <c r="T2984" s="232"/>
    </row>
    <row r="2985" spans="3:20">
      <c r="C2985" s="232"/>
      <c r="E2985" s="232"/>
      <c r="G2985" s="232"/>
      <c r="I2985" s="232"/>
      <c r="K2985" s="232"/>
      <c r="M2985" s="232"/>
      <c r="P2985" s="232"/>
      <c r="R2985" s="232"/>
      <c r="T2985" s="232"/>
    </row>
    <row r="2986" spans="3:20">
      <c r="C2986" s="232"/>
      <c r="E2986" s="232"/>
      <c r="G2986" s="232"/>
      <c r="I2986" s="232"/>
      <c r="K2986" s="232"/>
      <c r="M2986" s="232"/>
      <c r="P2986" s="232"/>
      <c r="R2986" s="232"/>
      <c r="T2986" s="232"/>
    </row>
    <row r="2987" spans="3:20">
      <c r="C2987" s="232"/>
      <c r="E2987" s="232"/>
      <c r="G2987" s="232"/>
      <c r="I2987" s="232"/>
      <c r="K2987" s="232"/>
      <c r="M2987" s="232"/>
      <c r="P2987" s="232"/>
      <c r="R2987" s="232"/>
      <c r="T2987" s="232"/>
    </row>
    <row r="2988" spans="3:20">
      <c r="C2988" s="232"/>
      <c r="E2988" s="232"/>
      <c r="G2988" s="232"/>
      <c r="I2988" s="232"/>
      <c r="K2988" s="232"/>
      <c r="M2988" s="232"/>
      <c r="P2988" s="232"/>
      <c r="R2988" s="232"/>
      <c r="T2988" s="232"/>
    </row>
    <row r="2989" spans="3:20">
      <c r="C2989" s="232"/>
      <c r="E2989" s="232"/>
      <c r="G2989" s="232"/>
      <c r="I2989" s="232"/>
      <c r="K2989" s="232"/>
      <c r="M2989" s="232"/>
      <c r="P2989" s="232"/>
      <c r="R2989" s="232"/>
      <c r="T2989" s="232"/>
    </row>
    <row r="2990" spans="3:20">
      <c r="C2990" s="232"/>
      <c r="E2990" s="232"/>
      <c r="G2990" s="232"/>
      <c r="I2990" s="232"/>
      <c r="K2990" s="232"/>
      <c r="M2990" s="232"/>
      <c r="P2990" s="232"/>
      <c r="R2990" s="232"/>
      <c r="T2990" s="232"/>
    </row>
    <row r="2991" spans="3:20">
      <c r="C2991" s="232"/>
      <c r="E2991" s="232"/>
      <c r="G2991" s="232"/>
      <c r="I2991" s="232"/>
      <c r="K2991" s="232"/>
      <c r="M2991" s="232"/>
      <c r="P2991" s="232"/>
      <c r="R2991" s="232"/>
      <c r="T2991" s="232"/>
    </row>
    <row r="2992" spans="3:20">
      <c r="C2992" s="232"/>
      <c r="E2992" s="232"/>
      <c r="G2992" s="232"/>
      <c r="I2992" s="232"/>
      <c r="K2992" s="232"/>
      <c r="M2992" s="232"/>
      <c r="P2992" s="232"/>
      <c r="R2992" s="232"/>
      <c r="T2992" s="232"/>
    </row>
    <row r="2993" spans="3:20">
      <c r="C2993" s="232"/>
      <c r="E2993" s="232"/>
      <c r="G2993" s="232"/>
      <c r="I2993" s="232"/>
      <c r="K2993" s="232"/>
      <c r="M2993" s="232"/>
      <c r="P2993" s="232"/>
      <c r="R2993" s="232"/>
      <c r="T2993" s="232"/>
    </row>
    <row r="2994" spans="3:20">
      <c r="C2994" s="232"/>
      <c r="E2994" s="232"/>
      <c r="G2994" s="232"/>
      <c r="I2994" s="232"/>
      <c r="K2994" s="232"/>
      <c r="M2994" s="232"/>
      <c r="P2994" s="232"/>
      <c r="R2994" s="232"/>
      <c r="T2994" s="232"/>
    </row>
    <row r="2995" spans="3:20">
      <c r="C2995" s="232"/>
      <c r="E2995" s="232"/>
      <c r="G2995" s="232"/>
      <c r="I2995" s="232"/>
      <c r="K2995" s="232"/>
      <c r="M2995" s="232"/>
      <c r="P2995" s="232"/>
      <c r="R2995" s="232"/>
      <c r="T2995" s="232"/>
    </row>
    <row r="2996" spans="3:20">
      <c r="C2996" s="232"/>
      <c r="E2996" s="232"/>
      <c r="G2996" s="232"/>
      <c r="I2996" s="232"/>
      <c r="K2996" s="232"/>
      <c r="M2996" s="232"/>
      <c r="P2996" s="232"/>
      <c r="R2996" s="232"/>
      <c r="T2996" s="232"/>
    </row>
    <row r="2997" spans="3:20">
      <c r="C2997" s="232"/>
      <c r="E2997" s="232"/>
      <c r="G2997" s="232"/>
      <c r="I2997" s="232"/>
      <c r="K2997" s="232"/>
      <c r="M2997" s="232"/>
      <c r="P2997" s="232"/>
      <c r="R2997" s="232"/>
      <c r="T2997" s="232"/>
    </row>
    <row r="2998" spans="3:20">
      <c r="C2998" s="232"/>
      <c r="E2998" s="232"/>
      <c r="G2998" s="232"/>
      <c r="I2998" s="232"/>
      <c r="K2998" s="232"/>
      <c r="M2998" s="232"/>
      <c r="P2998" s="232"/>
      <c r="R2998" s="232"/>
      <c r="T2998" s="232"/>
    </row>
    <row r="2999" spans="3:20">
      <c r="C2999" s="232"/>
      <c r="E2999" s="232"/>
      <c r="G2999" s="232"/>
      <c r="I2999" s="232"/>
      <c r="K2999" s="232"/>
      <c r="M2999" s="232"/>
      <c r="P2999" s="232"/>
      <c r="R2999" s="232"/>
      <c r="T2999" s="232"/>
    </row>
    <row r="3000" spans="3:20">
      <c r="C3000" s="232"/>
      <c r="E3000" s="232"/>
      <c r="G3000" s="232"/>
      <c r="I3000" s="232"/>
      <c r="K3000" s="232"/>
      <c r="M3000" s="232"/>
      <c r="P3000" s="232"/>
      <c r="R3000" s="232"/>
      <c r="T3000" s="232"/>
    </row>
    <row r="3001" spans="3:20">
      <c r="C3001" s="232"/>
      <c r="E3001" s="232"/>
      <c r="G3001" s="232"/>
      <c r="I3001" s="232"/>
      <c r="K3001" s="232"/>
      <c r="M3001" s="232"/>
      <c r="P3001" s="232"/>
      <c r="R3001" s="232"/>
      <c r="T3001" s="232"/>
    </row>
    <row r="3002" spans="3:20">
      <c r="C3002" s="232"/>
      <c r="E3002" s="232"/>
      <c r="G3002" s="232"/>
      <c r="I3002" s="232"/>
      <c r="K3002" s="232"/>
      <c r="M3002" s="232"/>
      <c r="P3002" s="232"/>
      <c r="R3002" s="232"/>
      <c r="T3002" s="232"/>
    </row>
    <row r="3003" spans="3:20">
      <c r="C3003" s="232"/>
      <c r="E3003" s="232"/>
      <c r="G3003" s="232"/>
      <c r="I3003" s="232"/>
      <c r="K3003" s="232"/>
      <c r="M3003" s="232"/>
      <c r="P3003" s="232"/>
      <c r="R3003" s="232"/>
      <c r="T3003" s="232"/>
    </row>
    <row r="3004" spans="3:20">
      <c r="C3004" s="232"/>
      <c r="E3004" s="232"/>
      <c r="G3004" s="232"/>
      <c r="I3004" s="232"/>
      <c r="K3004" s="232"/>
      <c r="M3004" s="232"/>
      <c r="P3004" s="232"/>
      <c r="R3004" s="232"/>
      <c r="T3004" s="232"/>
    </row>
    <row r="3005" spans="3:20">
      <c r="C3005" s="232"/>
      <c r="E3005" s="232"/>
      <c r="G3005" s="232"/>
      <c r="I3005" s="232"/>
      <c r="K3005" s="232"/>
      <c r="M3005" s="232"/>
      <c r="P3005" s="232"/>
      <c r="R3005" s="232"/>
      <c r="T3005" s="232"/>
    </row>
    <row r="3006" spans="3:20">
      <c r="C3006" s="232"/>
      <c r="E3006" s="232"/>
      <c r="G3006" s="232"/>
      <c r="I3006" s="232"/>
      <c r="K3006" s="232"/>
      <c r="M3006" s="232"/>
      <c r="P3006" s="232"/>
      <c r="R3006" s="232"/>
      <c r="T3006" s="232"/>
    </row>
    <row r="3007" spans="3:20">
      <c r="C3007" s="232"/>
      <c r="E3007" s="232"/>
      <c r="G3007" s="232"/>
      <c r="I3007" s="232"/>
      <c r="K3007" s="232"/>
      <c r="M3007" s="232"/>
      <c r="P3007" s="232"/>
      <c r="R3007" s="232"/>
      <c r="T3007" s="232"/>
    </row>
    <row r="3008" spans="3:20">
      <c r="C3008" s="232"/>
      <c r="E3008" s="232"/>
      <c r="G3008" s="232"/>
      <c r="I3008" s="232"/>
      <c r="K3008" s="232"/>
      <c r="M3008" s="232"/>
      <c r="P3008" s="232"/>
      <c r="R3008" s="232"/>
      <c r="T3008" s="232"/>
    </row>
    <row r="3009" spans="3:20">
      <c r="C3009" s="232"/>
      <c r="E3009" s="232"/>
      <c r="G3009" s="232"/>
      <c r="I3009" s="232"/>
      <c r="K3009" s="232"/>
      <c r="M3009" s="232"/>
      <c r="P3009" s="232"/>
      <c r="R3009" s="232"/>
      <c r="T3009" s="232"/>
    </row>
    <row r="3010" spans="3:20">
      <c r="C3010" s="232"/>
      <c r="E3010" s="232"/>
      <c r="G3010" s="232"/>
      <c r="I3010" s="232"/>
      <c r="K3010" s="232"/>
      <c r="M3010" s="232"/>
      <c r="P3010" s="232"/>
      <c r="R3010" s="232"/>
      <c r="T3010" s="232"/>
    </row>
    <row r="3011" spans="3:20">
      <c r="C3011" s="232"/>
      <c r="E3011" s="232"/>
      <c r="G3011" s="232"/>
      <c r="I3011" s="232"/>
      <c r="K3011" s="232"/>
      <c r="M3011" s="232"/>
      <c r="P3011" s="232"/>
      <c r="R3011" s="232"/>
      <c r="T3011" s="232"/>
    </row>
    <row r="3012" spans="3:20">
      <c r="C3012" s="232"/>
      <c r="E3012" s="232"/>
      <c r="G3012" s="232"/>
      <c r="I3012" s="232"/>
      <c r="K3012" s="232"/>
      <c r="M3012" s="232"/>
      <c r="P3012" s="232"/>
      <c r="R3012" s="232"/>
      <c r="T3012" s="232"/>
    </row>
    <row r="3013" spans="3:20">
      <c r="C3013" s="232"/>
      <c r="E3013" s="232"/>
      <c r="G3013" s="232"/>
      <c r="I3013" s="232"/>
      <c r="K3013" s="232"/>
      <c r="M3013" s="232"/>
      <c r="P3013" s="232"/>
      <c r="R3013" s="232"/>
      <c r="T3013" s="232"/>
    </row>
    <row r="3014" spans="3:20">
      <c r="C3014" s="232"/>
      <c r="E3014" s="232"/>
      <c r="G3014" s="232"/>
      <c r="I3014" s="232"/>
      <c r="K3014" s="232"/>
      <c r="M3014" s="232"/>
      <c r="P3014" s="232"/>
      <c r="R3014" s="232"/>
      <c r="T3014" s="232"/>
    </row>
    <row r="3015" spans="3:20">
      <c r="C3015" s="232"/>
      <c r="E3015" s="232"/>
      <c r="G3015" s="232"/>
      <c r="I3015" s="232"/>
      <c r="K3015" s="232"/>
      <c r="M3015" s="232"/>
      <c r="P3015" s="232"/>
      <c r="R3015" s="232"/>
      <c r="T3015" s="232"/>
    </row>
    <row r="3016" spans="3:20">
      <c r="C3016" s="232"/>
      <c r="E3016" s="232"/>
      <c r="G3016" s="232"/>
      <c r="I3016" s="232"/>
      <c r="K3016" s="232"/>
      <c r="M3016" s="232"/>
      <c r="P3016" s="232"/>
      <c r="R3016" s="232"/>
      <c r="T3016" s="232"/>
    </row>
    <row r="3017" spans="3:20">
      <c r="C3017" s="232"/>
      <c r="E3017" s="232"/>
      <c r="G3017" s="232"/>
      <c r="I3017" s="232"/>
      <c r="K3017" s="232"/>
      <c r="M3017" s="232"/>
      <c r="P3017" s="232"/>
      <c r="R3017" s="232"/>
      <c r="T3017" s="232"/>
    </row>
    <row r="3018" spans="3:20">
      <c r="C3018" s="232"/>
      <c r="E3018" s="232"/>
      <c r="G3018" s="232"/>
      <c r="I3018" s="232"/>
      <c r="K3018" s="232"/>
      <c r="M3018" s="232"/>
      <c r="P3018" s="232"/>
      <c r="R3018" s="232"/>
      <c r="T3018" s="232"/>
    </row>
    <row r="3019" spans="3:20">
      <c r="C3019" s="232"/>
      <c r="E3019" s="232"/>
      <c r="G3019" s="232"/>
      <c r="I3019" s="232"/>
      <c r="K3019" s="232"/>
      <c r="M3019" s="232"/>
      <c r="P3019" s="232"/>
      <c r="R3019" s="232"/>
      <c r="T3019" s="232"/>
    </row>
    <row r="3020" spans="3:20">
      <c r="C3020" s="232"/>
      <c r="E3020" s="232"/>
      <c r="G3020" s="232"/>
      <c r="I3020" s="232"/>
      <c r="K3020" s="232"/>
      <c r="M3020" s="232"/>
      <c r="P3020" s="232"/>
      <c r="R3020" s="232"/>
      <c r="T3020" s="232"/>
    </row>
    <row r="3021" spans="3:20">
      <c r="C3021" s="232"/>
      <c r="E3021" s="232"/>
      <c r="G3021" s="232"/>
      <c r="I3021" s="232"/>
      <c r="K3021" s="232"/>
      <c r="M3021" s="232"/>
      <c r="P3021" s="232"/>
      <c r="R3021" s="232"/>
      <c r="T3021" s="232"/>
    </row>
    <row r="3022" spans="3:20">
      <c r="C3022" s="232"/>
      <c r="E3022" s="232"/>
      <c r="G3022" s="232"/>
      <c r="I3022" s="232"/>
      <c r="K3022" s="232"/>
      <c r="M3022" s="232"/>
      <c r="P3022" s="232"/>
      <c r="R3022" s="232"/>
      <c r="T3022" s="232"/>
    </row>
    <row r="3023" spans="3:20">
      <c r="C3023" s="232"/>
      <c r="E3023" s="232"/>
      <c r="G3023" s="232"/>
      <c r="I3023" s="232"/>
      <c r="K3023" s="232"/>
      <c r="M3023" s="232"/>
      <c r="P3023" s="232"/>
      <c r="R3023" s="232"/>
      <c r="T3023" s="232"/>
    </row>
    <row r="3024" spans="3:20">
      <c r="C3024" s="232"/>
      <c r="E3024" s="232"/>
      <c r="G3024" s="232"/>
      <c r="I3024" s="232"/>
      <c r="K3024" s="232"/>
      <c r="M3024" s="232"/>
      <c r="P3024" s="232"/>
      <c r="R3024" s="232"/>
      <c r="T3024" s="232"/>
    </row>
    <row r="3025" spans="3:20">
      <c r="C3025" s="232"/>
      <c r="E3025" s="232"/>
      <c r="G3025" s="232"/>
      <c r="I3025" s="232"/>
      <c r="K3025" s="232"/>
      <c r="M3025" s="232"/>
      <c r="P3025" s="232"/>
      <c r="R3025" s="232"/>
      <c r="T3025" s="232"/>
    </row>
    <row r="3026" spans="3:20">
      <c r="C3026" s="232"/>
      <c r="E3026" s="232"/>
      <c r="G3026" s="232"/>
      <c r="I3026" s="232"/>
      <c r="K3026" s="232"/>
      <c r="M3026" s="232"/>
      <c r="P3026" s="232"/>
      <c r="R3026" s="232"/>
      <c r="T3026" s="232"/>
    </row>
    <row r="3027" spans="3:20">
      <c r="C3027" s="232"/>
      <c r="E3027" s="232"/>
      <c r="G3027" s="232"/>
      <c r="I3027" s="232"/>
      <c r="K3027" s="232"/>
      <c r="M3027" s="232"/>
      <c r="P3027" s="232"/>
      <c r="R3027" s="232"/>
      <c r="T3027" s="232"/>
    </row>
    <row r="3028" spans="3:20">
      <c r="C3028" s="232"/>
      <c r="E3028" s="232"/>
      <c r="G3028" s="232"/>
      <c r="I3028" s="232"/>
      <c r="K3028" s="232"/>
      <c r="M3028" s="232"/>
      <c r="P3028" s="232"/>
      <c r="R3028" s="232"/>
      <c r="T3028" s="232"/>
    </row>
    <row r="3029" spans="3:20">
      <c r="C3029" s="232"/>
      <c r="E3029" s="232"/>
      <c r="G3029" s="232"/>
      <c r="I3029" s="232"/>
      <c r="K3029" s="232"/>
      <c r="M3029" s="232"/>
      <c r="P3029" s="232"/>
      <c r="R3029" s="232"/>
      <c r="T3029" s="232"/>
    </row>
    <row r="3030" spans="3:20">
      <c r="C3030" s="232"/>
      <c r="E3030" s="232"/>
      <c r="G3030" s="232"/>
      <c r="I3030" s="232"/>
      <c r="K3030" s="232"/>
      <c r="M3030" s="232"/>
      <c r="P3030" s="232"/>
      <c r="R3030" s="232"/>
      <c r="T3030" s="232"/>
    </row>
    <row r="3031" spans="3:20">
      <c r="C3031" s="232"/>
      <c r="E3031" s="232"/>
      <c r="G3031" s="232"/>
      <c r="I3031" s="232"/>
      <c r="K3031" s="232"/>
      <c r="M3031" s="232"/>
      <c r="P3031" s="232"/>
      <c r="R3031" s="232"/>
      <c r="T3031" s="232"/>
    </row>
    <row r="3032" spans="3:20">
      <c r="C3032" s="232"/>
      <c r="E3032" s="232"/>
      <c r="G3032" s="232"/>
      <c r="I3032" s="232"/>
      <c r="K3032" s="232"/>
      <c r="M3032" s="232"/>
      <c r="P3032" s="232"/>
      <c r="R3032" s="232"/>
      <c r="T3032" s="232"/>
    </row>
    <row r="3033" spans="3:20">
      <c r="C3033" s="232"/>
      <c r="E3033" s="232"/>
      <c r="G3033" s="232"/>
      <c r="I3033" s="232"/>
      <c r="K3033" s="232"/>
      <c r="M3033" s="232"/>
      <c r="P3033" s="232"/>
      <c r="R3033" s="232"/>
      <c r="T3033" s="232"/>
    </row>
    <row r="3034" spans="3:20">
      <c r="C3034" s="232"/>
      <c r="E3034" s="232"/>
      <c r="G3034" s="232"/>
      <c r="I3034" s="232"/>
      <c r="K3034" s="232"/>
      <c r="M3034" s="232"/>
      <c r="P3034" s="232"/>
      <c r="R3034" s="232"/>
      <c r="T3034" s="232"/>
    </row>
    <row r="3035" spans="3:20">
      <c r="C3035" s="232"/>
      <c r="E3035" s="232"/>
      <c r="G3035" s="232"/>
      <c r="I3035" s="232"/>
      <c r="K3035" s="232"/>
      <c r="M3035" s="232"/>
      <c r="P3035" s="232"/>
      <c r="R3035" s="232"/>
      <c r="T3035" s="232"/>
    </row>
    <row r="3036" spans="3:20">
      <c r="C3036" s="232"/>
      <c r="E3036" s="232"/>
      <c r="G3036" s="232"/>
      <c r="I3036" s="232"/>
      <c r="K3036" s="232"/>
      <c r="M3036" s="232"/>
      <c r="P3036" s="232"/>
      <c r="R3036" s="232"/>
      <c r="T3036" s="232"/>
    </row>
    <row r="3037" spans="3:20">
      <c r="C3037" s="232"/>
      <c r="E3037" s="232"/>
      <c r="G3037" s="232"/>
      <c r="I3037" s="232"/>
      <c r="K3037" s="232"/>
      <c r="M3037" s="232"/>
      <c r="P3037" s="232"/>
      <c r="R3037" s="232"/>
      <c r="T3037" s="232"/>
    </row>
    <row r="3038" spans="3:20">
      <c r="C3038" s="232"/>
      <c r="E3038" s="232"/>
      <c r="G3038" s="232"/>
      <c r="I3038" s="232"/>
      <c r="K3038" s="232"/>
      <c r="M3038" s="232"/>
      <c r="P3038" s="232"/>
      <c r="R3038" s="232"/>
      <c r="T3038" s="232"/>
    </row>
    <row r="3039" spans="3:20">
      <c r="C3039" s="232"/>
      <c r="E3039" s="232"/>
      <c r="G3039" s="232"/>
      <c r="I3039" s="232"/>
      <c r="K3039" s="232"/>
      <c r="M3039" s="232"/>
      <c r="P3039" s="232"/>
      <c r="R3039" s="232"/>
      <c r="T3039" s="232"/>
    </row>
    <row r="3040" spans="3:20">
      <c r="C3040" s="232"/>
      <c r="E3040" s="232"/>
      <c r="G3040" s="232"/>
      <c r="I3040" s="232"/>
      <c r="K3040" s="232"/>
      <c r="M3040" s="232"/>
      <c r="P3040" s="232"/>
      <c r="R3040" s="232"/>
      <c r="T3040" s="232"/>
    </row>
    <row r="3041" spans="3:20">
      <c r="C3041" s="232"/>
      <c r="E3041" s="232"/>
      <c r="G3041" s="232"/>
      <c r="I3041" s="232"/>
      <c r="K3041" s="232"/>
      <c r="M3041" s="232"/>
      <c r="P3041" s="232"/>
      <c r="R3041" s="232"/>
      <c r="T3041" s="232"/>
    </row>
    <row r="3042" spans="3:20">
      <c r="C3042" s="232"/>
      <c r="E3042" s="232"/>
      <c r="G3042" s="232"/>
      <c r="I3042" s="232"/>
      <c r="K3042" s="232"/>
      <c r="M3042" s="232"/>
      <c r="P3042" s="232"/>
      <c r="R3042" s="232"/>
      <c r="T3042" s="232"/>
    </row>
    <row r="3043" spans="3:20">
      <c r="C3043" s="232"/>
      <c r="E3043" s="232"/>
      <c r="G3043" s="232"/>
      <c r="I3043" s="232"/>
      <c r="K3043" s="232"/>
      <c r="M3043" s="232"/>
      <c r="P3043" s="232"/>
      <c r="R3043" s="232"/>
      <c r="T3043" s="232"/>
    </row>
    <row r="3044" spans="3:20">
      <c r="C3044" s="232"/>
      <c r="E3044" s="232"/>
      <c r="G3044" s="232"/>
      <c r="I3044" s="232"/>
      <c r="K3044" s="232"/>
      <c r="M3044" s="232"/>
      <c r="P3044" s="232"/>
      <c r="R3044" s="232"/>
      <c r="T3044" s="232"/>
    </row>
    <row r="3045" spans="3:20">
      <c r="C3045" s="232"/>
      <c r="E3045" s="232"/>
      <c r="G3045" s="232"/>
      <c r="I3045" s="232"/>
      <c r="K3045" s="232"/>
      <c r="M3045" s="232"/>
      <c r="P3045" s="232"/>
      <c r="R3045" s="232"/>
      <c r="T3045" s="232"/>
    </row>
    <row r="3046" spans="3:20">
      <c r="C3046" s="232"/>
      <c r="E3046" s="232"/>
      <c r="G3046" s="232"/>
      <c r="I3046" s="232"/>
      <c r="K3046" s="232"/>
      <c r="M3046" s="232"/>
      <c r="P3046" s="232"/>
      <c r="R3046" s="232"/>
      <c r="T3046" s="232"/>
    </row>
    <row r="3047" spans="3:20">
      <c r="C3047" s="232"/>
      <c r="E3047" s="232"/>
      <c r="G3047" s="232"/>
      <c r="I3047" s="232"/>
      <c r="K3047" s="232"/>
      <c r="M3047" s="232"/>
      <c r="P3047" s="232"/>
      <c r="R3047" s="232"/>
      <c r="T3047" s="232"/>
    </row>
    <row r="3048" spans="3:20">
      <c r="C3048" s="232"/>
      <c r="E3048" s="232"/>
      <c r="G3048" s="232"/>
      <c r="I3048" s="232"/>
      <c r="K3048" s="232"/>
      <c r="M3048" s="232"/>
      <c r="P3048" s="232"/>
      <c r="R3048" s="232"/>
      <c r="T3048" s="232"/>
    </row>
    <row r="3049" spans="3:20">
      <c r="C3049" s="232"/>
      <c r="E3049" s="232"/>
      <c r="G3049" s="232"/>
      <c r="I3049" s="232"/>
      <c r="K3049" s="232"/>
      <c r="M3049" s="232"/>
      <c r="P3049" s="232"/>
      <c r="R3049" s="232"/>
      <c r="T3049" s="232"/>
    </row>
    <row r="3050" spans="3:20">
      <c r="C3050" s="232"/>
      <c r="E3050" s="232"/>
      <c r="G3050" s="232"/>
      <c r="I3050" s="232"/>
      <c r="K3050" s="232"/>
      <c r="M3050" s="232"/>
      <c r="P3050" s="232"/>
      <c r="R3050" s="232"/>
      <c r="T3050" s="232"/>
    </row>
    <row r="3051" spans="3:20">
      <c r="C3051" s="232"/>
      <c r="E3051" s="232"/>
      <c r="G3051" s="232"/>
      <c r="I3051" s="232"/>
      <c r="K3051" s="232"/>
      <c r="M3051" s="232"/>
      <c r="P3051" s="232"/>
      <c r="R3051" s="232"/>
      <c r="T3051" s="232"/>
    </row>
    <row r="3052" spans="3:20">
      <c r="C3052" s="232"/>
      <c r="E3052" s="232"/>
      <c r="G3052" s="232"/>
      <c r="I3052" s="232"/>
      <c r="K3052" s="232"/>
      <c r="M3052" s="232"/>
      <c r="P3052" s="232"/>
      <c r="R3052" s="232"/>
      <c r="T3052" s="232"/>
    </row>
    <row r="3053" spans="3:20">
      <c r="C3053" s="232"/>
      <c r="E3053" s="232"/>
      <c r="G3053" s="232"/>
      <c r="I3053" s="232"/>
      <c r="K3053" s="232"/>
      <c r="M3053" s="232"/>
      <c r="P3053" s="232"/>
      <c r="R3053" s="232"/>
      <c r="T3053" s="232"/>
    </row>
    <row r="3054" spans="3:20">
      <c r="C3054" s="232"/>
      <c r="E3054" s="232"/>
      <c r="G3054" s="232"/>
      <c r="I3054" s="232"/>
      <c r="K3054" s="232"/>
      <c r="M3054" s="232"/>
      <c r="P3054" s="232"/>
      <c r="R3054" s="232"/>
      <c r="T3054" s="232"/>
    </row>
    <row r="3055" spans="3:20">
      <c r="C3055" s="232"/>
      <c r="E3055" s="232"/>
      <c r="G3055" s="232"/>
      <c r="I3055" s="232"/>
      <c r="K3055" s="232"/>
      <c r="M3055" s="232"/>
      <c r="P3055" s="232"/>
      <c r="R3055" s="232"/>
      <c r="T3055" s="232"/>
    </row>
    <row r="3056" spans="3:20">
      <c r="C3056" s="232"/>
      <c r="E3056" s="232"/>
      <c r="G3056" s="232"/>
      <c r="I3056" s="232"/>
      <c r="K3056" s="232"/>
      <c r="M3056" s="232"/>
      <c r="P3056" s="232"/>
      <c r="R3056" s="232"/>
      <c r="T3056" s="232"/>
    </row>
    <row r="3057" spans="3:20">
      <c r="C3057" s="232"/>
      <c r="E3057" s="232"/>
      <c r="G3057" s="232"/>
      <c r="I3057" s="232"/>
      <c r="K3057" s="232"/>
      <c r="M3057" s="232"/>
      <c r="P3057" s="232"/>
      <c r="R3057" s="232"/>
      <c r="T3057" s="232"/>
    </row>
    <row r="3058" spans="3:20">
      <c r="C3058" s="232"/>
      <c r="E3058" s="232"/>
      <c r="G3058" s="232"/>
      <c r="I3058" s="232"/>
      <c r="K3058" s="232"/>
      <c r="M3058" s="232"/>
      <c r="P3058" s="232"/>
      <c r="R3058" s="232"/>
      <c r="T3058" s="232"/>
    </row>
    <row r="3059" spans="3:20">
      <c r="C3059" s="232"/>
      <c r="E3059" s="232"/>
      <c r="G3059" s="232"/>
      <c r="I3059" s="232"/>
      <c r="K3059" s="232"/>
      <c r="M3059" s="232"/>
      <c r="P3059" s="232"/>
      <c r="R3059" s="232"/>
      <c r="T3059" s="232"/>
    </row>
    <row r="3060" spans="3:20">
      <c r="C3060" s="232"/>
      <c r="E3060" s="232"/>
      <c r="G3060" s="232"/>
      <c r="I3060" s="232"/>
      <c r="K3060" s="232"/>
      <c r="M3060" s="232"/>
      <c r="P3060" s="232"/>
      <c r="R3060" s="232"/>
      <c r="T3060" s="232"/>
    </row>
    <row r="3061" spans="3:20">
      <c r="C3061" s="232"/>
      <c r="E3061" s="232"/>
      <c r="G3061" s="232"/>
      <c r="I3061" s="232"/>
      <c r="K3061" s="232"/>
      <c r="M3061" s="232"/>
      <c r="P3061" s="232"/>
      <c r="R3061" s="232"/>
      <c r="T3061" s="232"/>
    </row>
    <row r="3062" spans="3:20">
      <c r="C3062" s="232"/>
      <c r="E3062" s="232"/>
      <c r="G3062" s="232"/>
      <c r="I3062" s="232"/>
      <c r="K3062" s="232"/>
      <c r="M3062" s="232"/>
      <c r="P3062" s="232"/>
      <c r="R3062" s="232"/>
      <c r="T3062" s="232"/>
    </row>
    <row r="3063" spans="3:20">
      <c r="C3063" s="232"/>
      <c r="E3063" s="232"/>
      <c r="G3063" s="232"/>
      <c r="I3063" s="232"/>
      <c r="K3063" s="232"/>
      <c r="M3063" s="232"/>
      <c r="P3063" s="232"/>
      <c r="R3063" s="232"/>
      <c r="T3063" s="232"/>
    </row>
    <row r="3064" spans="3:20">
      <c r="C3064" s="232"/>
      <c r="E3064" s="232"/>
      <c r="G3064" s="232"/>
      <c r="I3064" s="232"/>
      <c r="K3064" s="232"/>
      <c r="M3064" s="232"/>
      <c r="P3064" s="232"/>
      <c r="R3064" s="232"/>
      <c r="T3064" s="232"/>
    </row>
    <row r="3065" spans="3:20">
      <c r="C3065" s="232"/>
      <c r="E3065" s="232"/>
      <c r="G3065" s="232"/>
      <c r="I3065" s="232"/>
      <c r="K3065" s="232"/>
      <c r="M3065" s="232"/>
      <c r="P3065" s="232"/>
      <c r="R3065" s="232"/>
      <c r="T3065" s="232"/>
    </row>
    <row r="3066" spans="3:20">
      <c r="C3066" s="232"/>
      <c r="E3066" s="232"/>
      <c r="G3066" s="232"/>
      <c r="I3066" s="232"/>
      <c r="K3066" s="232"/>
      <c r="M3066" s="232"/>
      <c r="P3066" s="232"/>
      <c r="R3066" s="232"/>
      <c r="T3066" s="232"/>
    </row>
    <row r="3067" spans="3:20">
      <c r="C3067" s="232"/>
      <c r="E3067" s="232"/>
      <c r="G3067" s="232"/>
      <c r="I3067" s="232"/>
      <c r="K3067" s="232"/>
      <c r="M3067" s="232"/>
      <c r="P3067" s="232"/>
      <c r="R3067" s="232"/>
      <c r="T3067" s="232"/>
    </row>
    <row r="3068" spans="3:20">
      <c r="C3068" s="232"/>
      <c r="E3068" s="232"/>
      <c r="G3068" s="232"/>
      <c r="I3068" s="232"/>
      <c r="K3068" s="232"/>
      <c r="M3068" s="232"/>
      <c r="P3068" s="232"/>
      <c r="R3068" s="232"/>
      <c r="T3068" s="232"/>
    </row>
    <row r="3069" spans="3:20">
      <c r="C3069" s="232"/>
      <c r="E3069" s="232"/>
      <c r="G3069" s="232"/>
      <c r="I3069" s="232"/>
      <c r="K3069" s="232"/>
      <c r="M3069" s="232"/>
      <c r="P3069" s="232"/>
      <c r="R3069" s="232"/>
      <c r="T3069" s="232"/>
    </row>
    <row r="3070" spans="3:20">
      <c r="C3070" s="232"/>
      <c r="E3070" s="232"/>
      <c r="G3070" s="232"/>
      <c r="I3070" s="232"/>
      <c r="K3070" s="232"/>
      <c r="M3070" s="232"/>
      <c r="P3070" s="232"/>
      <c r="R3070" s="232"/>
      <c r="T3070" s="232"/>
    </row>
    <row r="3071" spans="3:20">
      <c r="C3071" s="232"/>
      <c r="E3071" s="232"/>
      <c r="G3071" s="232"/>
      <c r="I3071" s="232"/>
      <c r="K3071" s="232"/>
      <c r="M3071" s="232"/>
      <c r="P3071" s="232"/>
      <c r="R3071" s="232"/>
      <c r="T3071" s="232"/>
    </row>
    <row r="3072" spans="3:20">
      <c r="C3072" s="232"/>
      <c r="E3072" s="232"/>
      <c r="G3072" s="232"/>
      <c r="I3072" s="232"/>
      <c r="K3072" s="232"/>
      <c r="M3072" s="232"/>
      <c r="P3072" s="232"/>
      <c r="R3072" s="232"/>
      <c r="T3072" s="232"/>
    </row>
    <row r="3073" spans="3:20">
      <c r="C3073" s="232"/>
      <c r="E3073" s="232"/>
      <c r="G3073" s="232"/>
      <c r="I3073" s="232"/>
      <c r="K3073" s="232"/>
      <c r="M3073" s="232"/>
      <c r="P3073" s="232"/>
      <c r="R3073" s="232"/>
      <c r="T3073" s="232"/>
    </row>
    <row r="3074" spans="3:20">
      <c r="C3074" s="232"/>
      <c r="E3074" s="232"/>
      <c r="G3074" s="232"/>
      <c r="I3074" s="232"/>
      <c r="K3074" s="232"/>
      <c r="M3074" s="232"/>
      <c r="P3074" s="232"/>
      <c r="R3074" s="232"/>
      <c r="T3074" s="232"/>
    </row>
    <row r="3075" spans="3:20">
      <c r="C3075" s="232"/>
      <c r="E3075" s="232"/>
      <c r="G3075" s="232"/>
      <c r="I3075" s="232"/>
      <c r="K3075" s="232"/>
      <c r="M3075" s="232"/>
      <c r="P3075" s="232"/>
      <c r="R3075" s="232"/>
      <c r="T3075" s="232"/>
    </row>
    <row r="3076" spans="3:20">
      <c r="C3076" s="232"/>
      <c r="E3076" s="232"/>
      <c r="G3076" s="232"/>
      <c r="I3076" s="232"/>
      <c r="K3076" s="232"/>
      <c r="M3076" s="232"/>
      <c r="P3076" s="232"/>
      <c r="R3076" s="232"/>
      <c r="T3076" s="232"/>
    </row>
    <row r="3077" spans="3:20">
      <c r="C3077" s="232"/>
      <c r="E3077" s="232"/>
      <c r="G3077" s="232"/>
      <c r="I3077" s="232"/>
      <c r="K3077" s="232"/>
      <c r="M3077" s="232"/>
      <c r="P3077" s="232"/>
      <c r="R3077" s="232"/>
      <c r="T3077" s="232"/>
    </row>
    <row r="3078" spans="3:20">
      <c r="C3078" s="232"/>
      <c r="E3078" s="232"/>
      <c r="G3078" s="232"/>
      <c r="I3078" s="232"/>
      <c r="K3078" s="232"/>
      <c r="M3078" s="232"/>
      <c r="P3078" s="232"/>
      <c r="R3078" s="232"/>
      <c r="T3078" s="232"/>
    </row>
    <row r="3079" spans="3:20">
      <c r="C3079" s="232"/>
      <c r="E3079" s="232"/>
      <c r="G3079" s="232"/>
      <c r="I3079" s="232"/>
      <c r="K3079" s="232"/>
      <c r="M3079" s="232"/>
      <c r="P3079" s="232"/>
      <c r="R3079" s="232"/>
      <c r="T3079" s="232"/>
    </row>
    <row r="3080" spans="3:20">
      <c r="C3080" s="232"/>
      <c r="E3080" s="232"/>
      <c r="G3080" s="232"/>
      <c r="I3080" s="232"/>
      <c r="K3080" s="232"/>
      <c r="M3080" s="232"/>
      <c r="P3080" s="232"/>
      <c r="R3080" s="232"/>
      <c r="T3080" s="232"/>
    </row>
    <row r="3081" spans="3:20">
      <c r="C3081" s="232"/>
      <c r="E3081" s="232"/>
      <c r="G3081" s="232"/>
      <c r="I3081" s="232"/>
      <c r="K3081" s="232"/>
      <c r="M3081" s="232"/>
      <c r="P3081" s="232"/>
      <c r="R3081" s="232"/>
      <c r="T3081" s="232"/>
    </row>
    <row r="3082" spans="3:20">
      <c r="C3082" s="232"/>
      <c r="E3082" s="232"/>
      <c r="G3082" s="232"/>
      <c r="I3082" s="232"/>
      <c r="K3082" s="232"/>
      <c r="M3082" s="232"/>
      <c r="P3082" s="232"/>
      <c r="R3082" s="232"/>
      <c r="T3082" s="232"/>
    </row>
    <row r="3083" spans="3:20">
      <c r="C3083" s="232"/>
      <c r="E3083" s="232"/>
      <c r="G3083" s="232"/>
      <c r="I3083" s="232"/>
      <c r="K3083" s="232"/>
      <c r="M3083" s="232"/>
      <c r="P3083" s="232"/>
      <c r="R3083" s="232"/>
      <c r="T3083" s="232"/>
    </row>
    <row r="3084" spans="3:20">
      <c r="C3084" s="232"/>
      <c r="E3084" s="232"/>
      <c r="G3084" s="232"/>
      <c r="I3084" s="232"/>
      <c r="K3084" s="232"/>
      <c r="M3084" s="232"/>
      <c r="P3084" s="232"/>
      <c r="R3084" s="232"/>
      <c r="T3084" s="232"/>
    </row>
    <row r="3085" spans="3:20">
      <c r="C3085" s="232"/>
      <c r="E3085" s="232"/>
      <c r="G3085" s="232"/>
      <c r="I3085" s="232"/>
      <c r="K3085" s="232"/>
      <c r="M3085" s="232"/>
      <c r="P3085" s="232"/>
      <c r="R3085" s="232"/>
      <c r="T3085" s="232"/>
    </row>
    <row r="3086" spans="3:20">
      <c r="C3086" s="232"/>
      <c r="E3086" s="232"/>
      <c r="G3086" s="232"/>
      <c r="I3086" s="232"/>
      <c r="K3086" s="232"/>
      <c r="M3086" s="232"/>
      <c r="P3086" s="232"/>
      <c r="R3086" s="232"/>
      <c r="T3086" s="232"/>
    </row>
    <row r="3087" spans="3:20">
      <c r="C3087" s="232"/>
      <c r="E3087" s="232"/>
      <c r="G3087" s="232"/>
      <c r="I3087" s="232"/>
      <c r="K3087" s="232"/>
      <c r="M3087" s="232"/>
      <c r="P3087" s="232"/>
      <c r="R3087" s="232"/>
      <c r="T3087" s="232"/>
    </row>
    <row r="3088" spans="3:20">
      <c r="C3088" s="232"/>
      <c r="E3088" s="232"/>
      <c r="G3088" s="232"/>
      <c r="I3088" s="232"/>
      <c r="K3088" s="232"/>
      <c r="M3088" s="232"/>
      <c r="P3088" s="232"/>
      <c r="R3088" s="232"/>
      <c r="T3088" s="232"/>
    </row>
    <row r="3089" spans="3:20">
      <c r="C3089" s="232"/>
      <c r="E3089" s="232"/>
      <c r="G3089" s="232"/>
      <c r="I3089" s="232"/>
      <c r="K3089" s="232"/>
      <c r="M3089" s="232"/>
      <c r="P3089" s="232"/>
      <c r="R3089" s="232"/>
      <c r="T3089" s="232"/>
    </row>
    <row r="3090" spans="3:20">
      <c r="C3090" s="232"/>
      <c r="E3090" s="232"/>
      <c r="G3090" s="232"/>
      <c r="I3090" s="232"/>
      <c r="K3090" s="232"/>
      <c r="M3090" s="232"/>
      <c r="P3090" s="232"/>
      <c r="R3090" s="232"/>
      <c r="T3090" s="232"/>
    </row>
    <row r="3091" spans="3:20">
      <c r="C3091" s="232"/>
      <c r="E3091" s="232"/>
      <c r="G3091" s="232"/>
      <c r="I3091" s="232"/>
      <c r="K3091" s="232"/>
      <c r="M3091" s="232"/>
      <c r="P3091" s="232"/>
      <c r="R3091" s="232"/>
      <c r="T3091" s="232"/>
    </row>
    <row r="3092" spans="3:20">
      <c r="C3092" s="232"/>
      <c r="E3092" s="232"/>
      <c r="G3092" s="232"/>
      <c r="I3092" s="232"/>
      <c r="K3092" s="232"/>
      <c r="M3092" s="232"/>
      <c r="P3092" s="232"/>
      <c r="R3092" s="232"/>
      <c r="T3092" s="232"/>
    </row>
    <row r="3093" spans="3:20">
      <c r="C3093" s="232"/>
      <c r="E3093" s="232"/>
      <c r="G3093" s="232"/>
      <c r="I3093" s="232"/>
      <c r="K3093" s="232"/>
      <c r="M3093" s="232"/>
      <c r="P3093" s="232"/>
      <c r="R3093" s="232"/>
      <c r="T3093" s="232"/>
    </row>
    <row r="3094" spans="3:20">
      <c r="C3094" s="232"/>
      <c r="E3094" s="232"/>
      <c r="G3094" s="232"/>
      <c r="I3094" s="232"/>
      <c r="K3094" s="232"/>
      <c r="M3094" s="232"/>
      <c r="P3094" s="232"/>
      <c r="R3094" s="232"/>
      <c r="T3094" s="232"/>
    </row>
    <row r="3095" spans="3:20">
      <c r="C3095" s="232"/>
      <c r="E3095" s="232"/>
      <c r="G3095" s="232"/>
      <c r="I3095" s="232"/>
      <c r="K3095" s="232"/>
      <c r="M3095" s="232"/>
      <c r="P3095" s="232"/>
      <c r="R3095" s="232"/>
      <c r="T3095" s="232"/>
    </row>
    <row r="3096" spans="3:20">
      <c r="C3096" s="232"/>
      <c r="E3096" s="232"/>
      <c r="G3096" s="232"/>
      <c r="I3096" s="232"/>
      <c r="K3096" s="232"/>
      <c r="M3096" s="232"/>
      <c r="P3096" s="232"/>
      <c r="R3096" s="232"/>
      <c r="T3096" s="232"/>
    </row>
    <row r="3097" spans="3:20">
      <c r="C3097" s="232"/>
      <c r="E3097" s="232"/>
      <c r="G3097" s="232"/>
      <c r="I3097" s="232"/>
      <c r="K3097" s="232"/>
      <c r="M3097" s="232"/>
      <c r="P3097" s="232"/>
      <c r="R3097" s="232"/>
      <c r="T3097" s="232"/>
    </row>
    <row r="3098" spans="3:20">
      <c r="C3098" s="232"/>
      <c r="E3098" s="232"/>
      <c r="G3098" s="232"/>
      <c r="I3098" s="232"/>
      <c r="K3098" s="232"/>
      <c r="M3098" s="232"/>
      <c r="P3098" s="232"/>
      <c r="R3098" s="232"/>
      <c r="T3098" s="232"/>
    </row>
    <row r="3099" spans="3:20">
      <c r="C3099" s="232"/>
      <c r="E3099" s="232"/>
      <c r="G3099" s="232"/>
      <c r="I3099" s="232"/>
      <c r="K3099" s="232"/>
      <c r="M3099" s="232"/>
      <c r="P3099" s="232"/>
      <c r="R3099" s="232"/>
      <c r="T3099" s="232"/>
    </row>
    <row r="3100" spans="3:20">
      <c r="C3100" s="232"/>
      <c r="E3100" s="232"/>
      <c r="G3100" s="232"/>
      <c r="I3100" s="232"/>
      <c r="K3100" s="232"/>
      <c r="M3100" s="232"/>
      <c r="P3100" s="232"/>
      <c r="R3100" s="232"/>
      <c r="T3100" s="232"/>
    </row>
    <row r="3101" spans="3:20">
      <c r="C3101" s="232"/>
      <c r="E3101" s="232"/>
      <c r="G3101" s="232"/>
      <c r="I3101" s="232"/>
      <c r="K3101" s="232"/>
      <c r="M3101" s="232"/>
      <c r="P3101" s="232"/>
      <c r="R3101" s="232"/>
      <c r="T3101" s="232"/>
    </row>
    <row r="3102" spans="3:20">
      <c r="C3102" s="232"/>
      <c r="E3102" s="232"/>
      <c r="G3102" s="232"/>
      <c r="I3102" s="232"/>
      <c r="K3102" s="232"/>
      <c r="M3102" s="232"/>
      <c r="P3102" s="232"/>
      <c r="R3102" s="232"/>
      <c r="T3102" s="232"/>
    </row>
    <row r="3103" spans="3:20">
      <c r="C3103" s="232"/>
      <c r="E3103" s="232"/>
      <c r="G3103" s="232"/>
      <c r="I3103" s="232"/>
      <c r="K3103" s="232"/>
      <c r="M3103" s="232"/>
      <c r="P3103" s="232"/>
      <c r="R3103" s="232"/>
      <c r="T3103" s="232"/>
    </row>
    <row r="3104" spans="3:20">
      <c r="C3104" s="232"/>
      <c r="E3104" s="232"/>
      <c r="G3104" s="232"/>
      <c r="I3104" s="232"/>
      <c r="K3104" s="232"/>
      <c r="M3104" s="232"/>
      <c r="P3104" s="232"/>
      <c r="R3104" s="232"/>
      <c r="T3104" s="232"/>
    </row>
    <row r="3105" spans="3:20">
      <c r="C3105" s="232"/>
      <c r="E3105" s="232"/>
      <c r="G3105" s="232"/>
      <c r="I3105" s="232"/>
      <c r="K3105" s="232"/>
      <c r="M3105" s="232"/>
      <c r="P3105" s="232"/>
      <c r="R3105" s="232"/>
      <c r="T3105" s="232"/>
    </row>
    <row r="3106" spans="3:20">
      <c r="C3106" s="232"/>
      <c r="E3106" s="232"/>
      <c r="G3106" s="232"/>
      <c r="I3106" s="232"/>
      <c r="K3106" s="232"/>
      <c r="M3106" s="232"/>
      <c r="P3106" s="232"/>
      <c r="R3106" s="232"/>
      <c r="T3106" s="232"/>
    </row>
    <row r="3107" spans="3:20">
      <c r="C3107" s="232"/>
      <c r="E3107" s="232"/>
      <c r="G3107" s="232"/>
      <c r="I3107" s="232"/>
      <c r="K3107" s="232"/>
      <c r="M3107" s="232"/>
      <c r="P3107" s="232"/>
      <c r="R3107" s="232"/>
      <c r="T3107" s="232"/>
    </row>
    <row r="3108" spans="3:20">
      <c r="C3108" s="232"/>
      <c r="E3108" s="232"/>
      <c r="G3108" s="232"/>
      <c r="I3108" s="232"/>
      <c r="K3108" s="232"/>
      <c r="M3108" s="232"/>
      <c r="P3108" s="232"/>
      <c r="R3108" s="232"/>
      <c r="T3108" s="232"/>
    </row>
    <row r="3109" spans="3:20">
      <c r="C3109" s="232"/>
      <c r="E3109" s="232"/>
      <c r="G3109" s="232"/>
      <c r="I3109" s="232"/>
      <c r="K3109" s="232"/>
      <c r="M3109" s="232"/>
      <c r="P3109" s="232"/>
      <c r="R3109" s="232"/>
      <c r="T3109" s="232"/>
    </row>
    <row r="3110" spans="3:20">
      <c r="C3110" s="232"/>
      <c r="E3110" s="232"/>
      <c r="G3110" s="232"/>
      <c r="I3110" s="232"/>
      <c r="K3110" s="232"/>
      <c r="M3110" s="232"/>
      <c r="P3110" s="232"/>
      <c r="R3110" s="232"/>
      <c r="T3110" s="232"/>
    </row>
    <row r="3111" spans="3:20">
      <c r="C3111" s="232"/>
      <c r="E3111" s="232"/>
      <c r="G3111" s="232"/>
      <c r="I3111" s="232"/>
      <c r="K3111" s="232"/>
      <c r="M3111" s="232"/>
      <c r="P3111" s="232"/>
      <c r="R3111" s="232"/>
      <c r="T3111" s="232"/>
    </row>
    <row r="3112" spans="3:20">
      <c r="C3112" s="232"/>
      <c r="E3112" s="232"/>
      <c r="G3112" s="232"/>
      <c r="I3112" s="232"/>
      <c r="K3112" s="232"/>
      <c r="M3112" s="232"/>
      <c r="P3112" s="232"/>
      <c r="R3112" s="232"/>
      <c r="T3112" s="232"/>
    </row>
    <row r="3113" spans="3:20">
      <c r="C3113" s="232"/>
      <c r="E3113" s="232"/>
      <c r="G3113" s="232"/>
      <c r="I3113" s="232"/>
      <c r="K3113" s="232"/>
      <c r="M3113" s="232"/>
      <c r="P3113" s="232"/>
      <c r="R3113" s="232"/>
      <c r="T3113" s="232"/>
    </row>
    <row r="3114" spans="3:20">
      <c r="C3114" s="232"/>
      <c r="E3114" s="232"/>
      <c r="G3114" s="232"/>
      <c r="I3114" s="232"/>
      <c r="K3114" s="232"/>
      <c r="M3114" s="232"/>
      <c r="P3114" s="232"/>
      <c r="R3114" s="232"/>
      <c r="T3114" s="232"/>
    </row>
    <row r="3115" spans="3:20">
      <c r="C3115" s="232"/>
      <c r="E3115" s="232"/>
      <c r="G3115" s="232"/>
      <c r="I3115" s="232"/>
      <c r="K3115" s="232"/>
      <c r="M3115" s="232"/>
      <c r="P3115" s="232"/>
      <c r="R3115" s="232"/>
      <c r="T3115" s="232"/>
    </row>
    <row r="3116" spans="3:20">
      <c r="C3116" s="232"/>
      <c r="E3116" s="232"/>
      <c r="G3116" s="232"/>
      <c r="I3116" s="232"/>
      <c r="K3116" s="232"/>
      <c r="M3116" s="232"/>
      <c r="P3116" s="232"/>
      <c r="R3116" s="232"/>
      <c r="T3116" s="232"/>
    </row>
    <row r="3117" spans="3:20">
      <c r="C3117" s="232"/>
      <c r="E3117" s="232"/>
      <c r="G3117" s="232"/>
      <c r="I3117" s="232"/>
      <c r="K3117" s="232"/>
      <c r="M3117" s="232"/>
      <c r="P3117" s="232"/>
      <c r="R3117" s="232"/>
      <c r="T3117" s="232"/>
    </row>
    <row r="3118" spans="3:20">
      <c r="C3118" s="232"/>
      <c r="E3118" s="232"/>
      <c r="G3118" s="232"/>
      <c r="I3118" s="232"/>
      <c r="K3118" s="232"/>
      <c r="M3118" s="232"/>
      <c r="P3118" s="232"/>
      <c r="R3118" s="232"/>
      <c r="T3118" s="232"/>
    </row>
    <row r="3119" spans="3:20">
      <c r="C3119" s="232"/>
      <c r="E3119" s="232"/>
      <c r="G3119" s="232"/>
      <c r="I3119" s="232"/>
      <c r="K3119" s="232"/>
      <c r="M3119" s="232"/>
      <c r="P3119" s="232"/>
      <c r="R3119" s="232"/>
      <c r="T3119" s="232"/>
    </row>
    <row r="3120" spans="3:20">
      <c r="C3120" s="232"/>
      <c r="E3120" s="232"/>
      <c r="G3120" s="232"/>
      <c r="I3120" s="232"/>
      <c r="K3120" s="232"/>
      <c r="M3120" s="232"/>
      <c r="P3120" s="232"/>
      <c r="R3120" s="232"/>
      <c r="T3120" s="232"/>
    </row>
    <row r="3121" spans="3:20">
      <c r="C3121" s="232"/>
      <c r="E3121" s="232"/>
      <c r="G3121" s="232"/>
      <c r="I3121" s="232"/>
      <c r="K3121" s="232"/>
      <c r="M3121" s="232"/>
      <c r="P3121" s="232"/>
      <c r="R3121" s="232"/>
      <c r="T3121" s="232"/>
    </row>
    <row r="3122" spans="3:20">
      <c r="C3122" s="232"/>
      <c r="E3122" s="232"/>
      <c r="G3122" s="232"/>
      <c r="I3122" s="232"/>
      <c r="K3122" s="232"/>
      <c r="M3122" s="232"/>
      <c r="P3122" s="232"/>
      <c r="R3122" s="232"/>
      <c r="T3122" s="232"/>
    </row>
    <row r="3123" spans="3:20">
      <c r="C3123" s="232"/>
      <c r="E3123" s="232"/>
      <c r="G3123" s="232"/>
      <c r="I3123" s="232"/>
      <c r="K3123" s="232"/>
      <c r="M3123" s="232"/>
      <c r="P3123" s="232"/>
      <c r="R3123" s="232"/>
      <c r="T3123" s="232"/>
    </row>
    <row r="3124" spans="3:20">
      <c r="C3124" s="232"/>
      <c r="E3124" s="232"/>
      <c r="G3124" s="232"/>
      <c r="I3124" s="232"/>
      <c r="K3124" s="232"/>
      <c r="M3124" s="232"/>
      <c r="P3124" s="232"/>
      <c r="R3124" s="232"/>
      <c r="T3124" s="232"/>
    </row>
    <row r="3125" spans="3:20">
      <c r="C3125" s="232"/>
      <c r="E3125" s="232"/>
      <c r="G3125" s="232"/>
      <c r="I3125" s="232"/>
      <c r="K3125" s="232"/>
      <c r="M3125" s="232"/>
      <c r="P3125" s="232"/>
      <c r="R3125" s="232"/>
      <c r="T3125" s="232"/>
    </row>
    <row r="3126" spans="3:20">
      <c r="C3126" s="232"/>
      <c r="E3126" s="232"/>
      <c r="G3126" s="232"/>
      <c r="I3126" s="232"/>
      <c r="K3126" s="232"/>
      <c r="M3126" s="232"/>
      <c r="P3126" s="232"/>
      <c r="R3126" s="232"/>
      <c r="T3126" s="232"/>
    </row>
    <row r="3127" spans="3:20">
      <c r="C3127" s="232"/>
      <c r="E3127" s="232"/>
      <c r="G3127" s="232"/>
      <c r="I3127" s="232"/>
      <c r="K3127" s="232"/>
      <c r="M3127" s="232"/>
      <c r="P3127" s="232"/>
      <c r="R3127" s="232"/>
      <c r="T3127" s="232"/>
    </row>
    <row r="3128" spans="3:20">
      <c r="C3128" s="232"/>
      <c r="E3128" s="232"/>
      <c r="G3128" s="232"/>
      <c r="I3128" s="232"/>
      <c r="K3128" s="232"/>
      <c r="M3128" s="232"/>
      <c r="P3128" s="232"/>
      <c r="R3128" s="232"/>
      <c r="T3128" s="232"/>
    </row>
    <row r="3129" spans="3:20">
      <c r="C3129" s="232"/>
      <c r="E3129" s="232"/>
      <c r="G3129" s="232"/>
      <c r="I3129" s="232"/>
      <c r="K3129" s="232"/>
      <c r="M3129" s="232"/>
      <c r="P3129" s="232"/>
      <c r="R3129" s="232"/>
      <c r="T3129" s="232"/>
    </row>
    <row r="3130" spans="3:20">
      <c r="C3130" s="232"/>
      <c r="E3130" s="232"/>
      <c r="G3130" s="232"/>
      <c r="I3130" s="232"/>
      <c r="K3130" s="232"/>
      <c r="M3130" s="232"/>
      <c r="P3130" s="232"/>
      <c r="R3130" s="232"/>
      <c r="T3130" s="232"/>
    </row>
    <row r="3131" spans="3:20">
      <c r="C3131" s="232"/>
      <c r="E3131" s="232"/>
      <c r="G3131" s="232"/>
      <c r="I3131" s="232"/>
      <c r="K3131" s="232"/>
      <c r="M3131" s="232"/>
      <c r="P3131" s="232"/>
      <c r="R3131" s="232"/>
      <c r="T3131" s="232"/>
    </row>
    <row r="3132" spans="3:20">
      <c r="C3132" s="232"/>
      <c r="E3132" s="232"/>
      <c r="G3132" s="232"/>
      <c r="I3132" s="232"/>
      <c r="K3132" s="232"/>
      <c r="M3132" s="232"/>
      <c r="P3132" s="232"/>
      <c r="R3132" s="232"/>
      <c r="T3132" s="232"/>
    </row>
    <row r="3133" spans="3:20">
      <c r="C3133" s="232"/>
      <c r="E3133" s="232"/>
      <c r="G3133" s="232"/>
      <c r="I3133" s="232"/>
      <c r="K3133" s="232"/>
      <c r="M3133" s="232"/>
      <c r="P3133" s="232"/>
      <c r="R3133" s="232"/>
      <c r="T3133" s="232"/>
    </row>
    <row r="3134" spans="3:20">
      <c r="C3134" s="232"/>
      <c r="E3134" s="232"/>
      <c r="G3134" s="232"/>
      <c r="I3134" s="232"/>
      <c r="K3134" s="232"/>
      <c r="M3134" s="232"/>
      <c r="P3134" s="232"/>
      <c r="R3134" s="232"/>
      <c r="T3134" s="232"/>
    </row>
    <row r="3135" spans="3:20">
      <c r="C3135" s="232"/>
      <c r="E3135" s="232"/>
      <c r="G3135" s="232"/>
      <c r="I3135" s="232"/>
      <c r="K3135" s="232"/>
      <c r="M3135" s="232"/>
      <c r="P3135" s="232"/>
      <c r="R3135" s="232"/>
      <c r="T3135" s="232"/>
    </row>
    <row r="3136" spans="3:20">
      <c r="C3136" s="232"/>
      <c r="E3136" s="232"/>
      <c r="G3136" s="232"/>
      <c r="I3136" s="232"/>
      <c r="K3136" s="232"/>
      <c r="M3136" s="232"/>
      <c r="P3136" s="232"/>
      <c r="R3136" s="232"/>
      <c r="T3136" s="232"/>
    </row>
    <row r="3137" spans="3:20">
      <c r="C3137" s="232"/>
      <c r="E3137" s="232"/>
      <c r="G3137" s="232"/>
      <c r="I3137" s="232"/>
      <c r="K3137" s="232"/>
      <c r="M3137" s="232"/>
      <c r="P3137" s="232"/>
      <c r="R3137" s="232"/>
      <c r="T3137" s="232"/>
    </row>
    <row r="3138" spans="3:20">
      <c r="C3138" s="232"/>
      <c r="E3138" s="232"/>
      <c r="G3138" s="232"/>
      <c r="I3138" s="232"/>
      <c r="K3138" s="232"/>
      <c r="M3138" s="232"/>
      <c r="P3138" s="232"/>
      <c r="R3138" s="232"/>
      <c r="T3138" s="232"/>
    </row>
    <row r="3139" spans="3:20">
      <c r="C3139" s="232"/>
      <c r="E3139" s="232"/>
      <c r="G3139" s="232"/>
      <c r="I3139" s="232"/>
      <c r="K3139" s="232"/>
      <c r="M3139" s="232"/>
      <c r="P3139" s="232"/>
      <c r="R3139" s="232"/>
      <c r="T3139" s="232"/>
    </row>
    <row r="3140" spans="3:20">
      <c r="C3140" s="232"/>
      <c r="E3140" s="232"/>
      <c r="G3140" s="232"/>
      <c r="I3140" s="232"/>
      <c r="K3140" s="232"/>
      <c r="M3140" s="232"/>
      <c r="P3140" s="232"/>
      <c r="R3140" s="232"/>
      <c r="T3140" s="232"/>
    </row>
    <row r="3141" spans="3:20">
      <c r="C3141" s="232"/>
      <c r="E3141" s="232"/>
      <c r="G3141" s="232"/>
      <c r="I3141" s="232"/>
      <c r="K3141" s="232"/>
      <c r="M3141" s="232"/>
      <c r="P3141" s="232"/>
      <c r="R3141" s="232"/>
      <c r="T3141" s="232"/>
    </row>
    <row r="3142" spans="3:20">
      <c r="C3142" s="232"/>
      <c r="E3142" s="232"/>
      <c r="G3142" s="232"/>
      <c r="I3142" s="232"/>
      <c r="K3142" s="232"/>
      <c r="M3142" s="232"/>
      <c r="P3142" s="232"/>
      <c r="R3142" s="232"/>
      <c r="T3142" s="232"/>
    </row>
    <row r="3143" spans="3:20">
      <c r="C3143" s="232"/>
      <c r="E3143" s="232"/>
      <c r="G3143" s="232"/>
      <c r="I3143" s="232"/>
      <c r="K3143" s="232"/>
      <c r="M3143" s="232"/>
      <c r="P3143" s="232"/>
      <c r="R3143" s="232"/>
      <c r="T3143" s="232"/>
    </row>
    <row r="3144" spans="3:20">
      <c r="C3144" s="232"/>
      <c r="E3144" s="232"/>
      <c r="G3144" s="232"/>
      <c r="I3144" s="232"/>
      <c r="K3144" s="232"/>
      <c r="M3144" s="232"/>
      <c r="P3144" s="232"/>
      <c r="R3144" s="232"/>
      <c r="T3144" s="232"/>
    </row>
    <row r="3145" spans="3:20">
      <c r="C3145" s="232"/>
      <c r="E3145" s="232"/>
      <c r="G3145" s="232"/>
      <c r="I3145" s="232"/>
      <c r="K3145" s="232"/>
      <c r="M3145" s="232"/>
      <c r="P3145" s="232"/>
      <c r="R3145" s="232"/>
      <c r="T3145" s="232"/>
    </row>
    <row r="3146" spans="3:20">
      <c r="C3146" s="232"/>
      <c r="E3146" s="232"/>
      <c r="G3146" s="232"/>
      <c r="I3146" s="232"/>
      <c r="K3146" s="232"/>
      <c r="M3146" s="232"/>
      <c r="P3146" s="232"/>
      <c r="R3146" s="232"/>
      <c r="T3146" s="232"/>
    </row>
    <row r="3147" spans="3:20">
      <c r="C3147" s="232"/>
      <c r="E3147" s="232"/>
      <c r="G3147" s="232"/>
      <c r="I3147" s="232"/>
      <c r="K3147" s="232"/>
      <c r="M3147" s="232"/>
      <c r="P3147" s="232"/>
      <c r="R3147" s="232"/>
      <c r="T3147" s="232"/>
    </row>
    <row r="3148" spans="3:20">
      <c r="C3148" s="232"/>
      <c r="E3148" s="232"/>
      <c r="G3148" s="232"/>
      <c r="I3148" s="232"/>
      <c r="K3148" s="232"/>
      <c r="M3148" s="232"/>
      <c r="P3148" s="232"/>
      <c r="R3148" s="232"/>
      <c r="T3148" s="232"/>
    </row>
    <row r="3149" spans="3:20">
      <c r="C3149" s="232"/>
      <c r="E3149" s="232"/>
      <c r="G3149" s="232"/>
      <c r="I3149" s="232"/>
      <c r="K3149" s="232"/>
      <c r="M3149" s="232"/>
      <c r="P3149" s="232"/>
      <c r="R3149" s="232"/>
      <c r="T3149" s="232"/>
    </row>
    <row r="3150" spans="3:20">
      <c r="C3150" s="232"/>
      <c r="E3150" s="232"/>
      <c r="G3150" s="232"/>
      <c r="I3150" s="232"/>
      <c r="K3150" s="232"/>
      <c r="M3150" s="232"/>
      <c r="P3150" s="232"/>
      <c r="R3150" s="232"/>
      <c r="T3150" s="232"/>
    </row>
    <row r="3151" spans="3:20">
      <c r="C3151" s="232"/>
      <c r="E3151" s="232"/>
      <c r="G3151" s="232"/>
      <c r="I3151" s="232"/>
      <c r="K3151" s="232"/>
      <c r="M3151" s="232"/>
      <c r="P3151" s="232"/>
      <c r="R3151" s="232"/>
      <c r="T3151" s="232"/>
    </row>
    <row r="3152" spans="3:20">
      <c r="C3152" s="232"/>
      <c r="E3152" s="232"/>
      <c r="G3152" s="232"/>
      <c r="I3152" s="232"/>
      <c r="K3152" s="232"/>
      <c r="M3152" s="232"/>
      <c r="P3152" s="232"/>
      <c r="R3152" s="232"/>
      <c r="T3152" s="232"/>
    </row>
    <row r="3153" spans="3:20">
      <c r="C3153" s="232"/>
      <c r="E3153" s="232"/>
      <c r="G3153" s="232"/>
      <c r="I3153" s="232"/>
      <c r="K3153" s="232"/>
      <c r="M3153" s="232"/>
      <c r="P3153" s="232"/>
      <c r="R3153" s="232"/>
      <c r="T3153" s="232"/>
    </row>
    <row r="3154" spans="3:20">
      <c r="C3154" s="232"/>
      <c r="E3154" s="232"/>
      <c r="G3154" s="232"/>
      <c r="I3154" s="232"/>
      <c r="K3154" s="232"/>
      <c r="M3154" s="232"/>
      <c r="P3154" s="232"/>
      <c r="R3154" s="232"/>
      <c r="T3154" s="232"/>
    </row>
    <row r="3155" spans="3:20">
      <c r="C3155" s="232"/>
      <c r="E3155" s="232"/>
      <c r="G3155" s="232"/>
      <c r="I3155" s="232"/>
      <c r="K3155" s="232"/>
      <c r="M3155" s="232"/>
      <c r="P3155" s="232"/>
      <c r="R3155" s="232"/>
      <c r="T3155" s="232"/>
    </row>
    <row r="3156" spans="3:20">
      <c r="C3156" s="232"/>
      <c r="E3156" s="232"/>
      <c r="G3156" s="232"/>
      <c r="I3156" s="232"/>
      <c r="K3156" s="232"/>
      <c r="M3156" s="232"/>
      <c r="P3156" s="232"/>
      <c r="R3156" s="232"/>
      <c r="T3156" s="232"/>
    </row>
    <row r="3157" spans="3:20">
      <c r="C3157" s="232"/>
      <c r="E3157" s="232"/>
      <c r="G3157" s="232"/>
      <c r="I3157" s="232"/>
      <c r="K3157" s="232"/>
      <c r="M3157" s="232"/>
      <c r="P3157" s="232"/>
      <c r="R3157" s="232"/>
      <c r="T3157" s="232"/>
    </row>
    <row r="3158" spans="3:20">
      <c r="C3158" s="232"/>
      <c r="E3158" s="232"/>
      <c r="G3158" s="232"/>
      <c r="I3158" s="232"/>
      <c r="K3158" s="232"/>
      <c r="M3158" s="232"/>
      <c r="P3158" s="232"/>
      <c r="R3158" s="232"/>
      <c r="T3158" s="232"/>
    </row>
    <row r="3159" spans="3:20">
      <c r="C3159" s="232"/>
      <c r="E3159" s="232"/>
      <c r="G3159" s="232"/>
      <c r="I3159" s="232"/>
      <c r="K3159" s="232"/>
      <c r="M3159" s="232"/>
      <c r="P3159" s="232"/>
      <c r="R3159" s="232"/>
      <c r="T3159" s="232"/>
    </row>
    <row r="3160" spans="3:20">
      <c r="C3160" s="232"/>
      <c r="E3160" s="232"/>
      <c r="G3160" s="232"/>
      <c r="I3160" s="232"/>
      <c r="K3160" s="232"/>
      <c r="M3160" s="232"/>
      <c r="P3160" s="232"/>
      <c r="R3160" s="232"/>
      <c r="T3160" s="232"/>
    </row>
    <row r="3161" spans="3:20">
      <c r="C3161" s="232"/>
      <c r="E3161" s="232"/>
      <c r="G3161" s="232"/>
      <c r="I3161" s="232"/>
      <c r="K3161" s="232"/>
      <c r="M3161" s="232"/>
      <c r="P3161" s="232"/>
      <c r="R3161" s="232"/>
      <c r="T3161" s="232"/>
    </row>
    <row r="3162" spans="3:20">
      <c r="C3162" s="232"/>
      <c r="E3162" s="232"/>
      <c r="G3162" s="232"/>
      <c r="I3162" s="232"/>
      <c r="K3162" s="232"/>
      <c r="M3162" s="232"/>
      <c r="P3162" s="232"/>
      <c r="R3162" s="232"/>
      <c r="T3162" s="232"/>
    </row>
    <row r="3163" spans="3:20">
      <c r="C3163" s="232"/>
      <c r="E3163" s="232"/>
      <c r="G3163" s="232"/>
      <c r="I3163" s="232"/>
      <c r="K3163" s="232"/>
      <c r="M3163" s="232"/>
      <c r="P3163" s="232"/>
      <c r="R3163" s="232"/>
      <c r="T3163" s="232"/>
    </row>
    <row r="3164" spans="3:20">
      <c r="C3164" s="232"/>
      <c r="E3164" s="232"/>
      <c r="G3164" s="232"/>
      <c r="I3164" s="232"/>
      <c r="K3164" s="232"/>
      <c r="M3164" s="232"/>
      <c r="P3164" s="232"/>
      <c r="R3164" s="232"/>
      <c r="T3164" s="232"/>
    </row>
    <row r="3165" spans="3:20">
      <c r="C3165" s="232"/>
      <c r="E3165" s="232"/>
      <c r="G3165" s="232"/>
      <c r="I3165" s="232"/>
      <c r="K3165" s="232"/>
      <c r="M3165" s="232"/>
      <c r="P3165" s="232"/>
      <c r="R3165" s="232"/>
      <c r="T3165" s="232"/>
    </row>
    <row r="3166" spans="3:20">
      <c r="C3166" s="232"/>
      <c r="E3166" s="232"/>
      <c r="G3166" s="232"/>
      <c r="I3166" s="232"/>
      <c r="K3166" s="232"/>
      <c r="M3166" s="232"/>
      <c r="P3166" s="232"/>
      <c r="R3166" s="232"/>
      <c r="T3166" s="232"/>
    </row>
    <row r="3167" spans="3:20">
      <c r="C3167" s="232"/>
      <c r="E3167" s="232"/>
      <c r="G3167" s="232"/>
      <c r="I3167" s="232"/>
      <c r="K3167" s="232"/>
      <c r="M3167" s="232"/>
      <c r="P3167" s="232"/>
      <c r="R3167" s="232"/>
      <c r="T3167" s="232"/>
    </row>
    <row r="3168" spans="3:20">
      <c r="C3168" s="232"/>
      <c r="E3168" s="232"/>
      <c r="G3168" s="232"/>
      <c r="I3168" s="232"/>
      <c r="K3168" s="232"/>
      <c r="M3168" s="232"/>
      <c r="P3168" s="232"/>
      <c r="R3168" s="232"/>
      <c r="T3168" s="232"/>
    </row>
    <row r="3169" spans="3:20">
      <c r="C3169" s="232"/>
      <c r="E3169" s="232"/>
      <c r="G3169" s="232"/>
      <c r="I3169" s="232"/>
      <c r="K3169" s="232"/>
      <c r="M3169" s="232"/>
      <c r="P3169" s="232"/>
      <c r="R3169" s="232"/>
      <c r="T3169" s="232"/>
    </row>
    <row r="3170" spans="3:20">
      <c r="C3170" s="232"/>
      <c r="E3170" s="232"/>
      <c r="G3170" s="232"/>
      <c r="I3170" s="232"/>
      <c r="K3170" s="232"/>
      <c r="M3170" s="232"/>
      <c r="P3170" s="232"/>
      <c r="R3170" s="232"/>
      <c r="T3170" s="232"/>
    </row>
    <row r="3171" spans="3:20">
      <c r="C3171" s="232"/>
      <c r="E3171" s="232"/>
      <c r="G3171" s="232"/>
      <c r="I3171" s="232"/>
      <c r="K3171" s="232"/>
      <c r="M3171" s="232"/>
      <c r="P3171" s="232"/>
      <c r="R3171" s="232"/>
      <c r="T3171" s="232"/>
    </row>
    <row r="3172" spans="3:20">
      <c r="C3172" s="232"/>
      <c r="E3172" s="232"/>
      <c r="G3172" s="232"/>
      <c r="I3172" s="232"/>
      <c r="K3172" s="232"/>
      <c r="M3172" s="232"/>
      <c r="P3172" s="232"/>
      <c r="R3172" s="232"/>
      <c r="T3172" s="232"/>
    </row>
    <row r="3173" spans="3:20">
      <c r="C3173" s="232"/>
      <c r="E3173" s="232"/>
      <c r="G3173" s="232"/>
      <c r="I3173" s="232"/>
      <c r="K3173" s="232"/>
      <c r="M3173" s="232"/>
      <c r="P3173" s="232"/>
      <c r="R3173" s="232"/>
      <c r="T3173" s="232"/>
    </row>
    <row r="3174" spans="3:20">
      <c r="C3174" s="232"/>
      <c r="E3174" s="232"/>
      <c r="G3174" s="232"/>
      <c r="I3174" s="232"/>
      <c r="K3174" s="232"/>
      <c r="M3174" s="232"/>
      <c r="P3174" s="232"/>
      <c r="R3174" s="232"/>
      <c r="T3174" s="232"/>
    </row>
    <row r="3175" spans="3:20">
      <c r="C3175" s="232"/>
      <c r="E3175" s="232"/>
      <c r="G3175" s="232"/>
      <c r="I3175" s="232"/>
      <c r="K3175" s="232"/>
      <c r="M3175" s="232"/>
      <c r="P3175" s="232"/>
      <c r="R3175" s="232"/>
      <c r="T3175" s="232"/>
    </row>
    <row r="3176" spans="3:20">
      <c r="C3176" s="232"/>
      <c r="E3176" s="232"/>
      <c r="G3176" s="232"/>
      <c r="I3176" s="232"/>
      <c r="K3176" s="232"/>
      <c r="M3176" s="232"/>
      <c r="P3176" s="232"/>
      <c r="R3176" s="232"/>
      <c r="T3176" s="232"/>
    </row>
    <row r="3177" spans="3:20">
      <c r="C3177" s="232"/>
      <c r="E3177" s="232"/>
      <c r="G3177" s="232"/>
      <c r="I3177" s="232"/>
      <c r="K3177" s="232"/>
      <c r="M3177" s="232"/>
      <c r="P3177" s="232"/>
      <c r="R3177" s="232"/>
      <c r="T3177" s="232"/>
    </row>
    <row r="3178" spans="3:20">
      <c r="C3178" s="232"/>
      <c r="E3178" s="232"/>
      <c r="G3178" s="232"/>
      <c r="I3178" s="232"/>
      <c r="K3178" s="232"/>
      <c r="M3178" s="232"/>
      <c r="P3178" s="232"/>
      <c r="R3178" s="232"/>
      <c r="T3178" s="232"/>
    </row>
    <row r="3179" spans="3:20">
      <c r="C3179" s="232"/>
      <c r="E3179" s="232"/>
      <c r="G3179" s="232"/>
      <c r="I3179" s="232"/>
      <c r="K3179" s="232"/>
      <c r="M3179" s="232"/>
      <c r="P3179" s="232"/>
      <c r="R3179" s="232"/>
      <c r="T3179" s="232"/>
    </row>
    <row r="3180" spans="3:20">
      <c r="C3180" s="232"/>
      <c r="E3180" s="232"/>
      <c r="G3180" s="232"/>
      <c r="I3180" s="232"/>
      <c r="K3180" s="232"/>
      <c r="M3180" s="232"/>
      <c r="P3180" s="232"/>
      <c r="R3180" s="232"/>
      <c r="T3180" s="232"/>
    </row>
    <row r="3181" spans="3:20">
      <c r="C3181" s="232"/>
      <c r="E3181" s="232"/>
      <c r="G3181" s="232"/>
      <c r="I3181" s="232"/>
      <c r="K3181" s="232"/>
      <c r="M3181" s="232"/>
      <c r="P3181" s="232"/>
      <c r="R3181" s="232"/>
      <c r="T3181" s="232"/>
    </row>
    <row r="3182" spans="3:20">
      <c r="C3182" s="232"/>
      <c r="E3182" s="232"/>
      <c r="G3182" s="232"/>
      <c r="I3182" s="232"/>
      <c r="K3182" s="232"/>
      <c r="M3182" s="232"/>
      <c r="P3182" s="232"/>
      <c r="R3182" s="232"/>
      <c r="T3182" s="232"/>
    </row>
    <row r="3183" spans="3:20">
      <c r="C3183" s="232"/>
      <c r="E3183" s="232"/>
      <c r="G3183" s="232"/>
      <c r="I3183" s="232"/>
      <c r="K3183" s="232"/>
      <c r="M3183" s="232"/>
      <c r="P3183" s="232"/>
      <c r="R3183" s="232"/>
      <c r="T3183" s="232"/>
    </row>
    <row r="3184" spans="3:20">
      <c r="C3184" s="232"/>
      <c r="E3184" s="232"/>
      <c r="G3184" s="232"/>
      <c r="I3184" s="232"/>
      <c r="K3184" s="232"/>
      <c r="M3184" s="232"/>
      <c r="P3184" s="232"/>
      <c r="R3184" s="232"/>
      <c r="T3184" s="232"/>
    </row>
    <row r="3185" spans="3:20">
      <c r="C3185" s="232"/>
      <c r="E3185" s="232"/>
      <c r="G3185" s="232"/>
      <c r="I3185" s="232"/>
      <c r="K3185" s="232"/>
      <c r="M3185" s="232"/>
      <c r="P3185" s="232"/>
      <c r="R3185" s="232"/>
      <c r="T3185" s="232"/>
    </row>
    <row r="3186" spans="3:20">
      <c r="C3186" s="232"/>
      <c r="E3186" s="232"/>
      <c r="G3186" s="232"/>
      <c r="I3186" s="232"/>
      <c r="K3186" s="232"/>
      <c r="M3186" s="232"/>
      <c r="P3186" s="232"/>
      <c r="R3186" s="232"/>
      <c r="T3186" s="232"/>
    </row>
    <row r="3187" spans="3:20">
      <c r="C3187" s="232"/>
      <c r="E3187" s="232"/>
      <c r="G3187" s="232"/>
      <c r="I3187" s="232"/>
      <c r="K3187" s="232"/>
      <c r="M3187" s="232"/>
      <c r="P3187" s="232"/>
      <c r="R3187" s="232"/>
      <c r="T3187" s="232"/>
    </row>
    <row r="3188" spans="3:20">
      <c r="C3188" s="232"/>
      <c r="E3188" s="232"/>
      <c r="G3188" s="232"/>
      <c r="I3188" s="232"/>
      <c r="K3188" s="232"/>
      <c r="M3188" s="232"/>
      <c r="P3188" s="232"/>
      <c r="R3188" s="232"/>
      <c r="T3188" s="232"/>
    </row>
    <row r="3189" spans="3:20">
      <c r="C3189" s="232"/>
      <c r="E3189" s="232"/>
      <c r="G3189" s="232"/>
      <c r="I3189" s="232"/>
      <c r="K3189" s="232"/>
      <c r="M3189" s="232"/>
      <c r="P3189" s="232"/>
      <c r="R3189" s="232"/>
      <c r="T3189" s="232"/>
    </row>
    <row r="3190" spans="3:20">
      <c r="C3190" s="232"/>
      <c r="E3190" s="232"/>
      <c r="G3190" s="232"/>
      <c r="I3190" s="232"/>
      <c r="K3190" s="232"/>
      <c r="M3190" s="232"/>
      <c r="P3190" s="232"/>
      <c r="R3190" s="232"/>
      <c r="T3190" s="232"/>
    </row>
    <row r="3191" spans="3:20">
      <c r="C3191" s="232"/>
      <c r="E3191" s="232"/>
      <c r="G3191" s="232"/>
      <c r="I3191" s="232"/>
      <c r="K3191" s="232"/>
      <c r="M3191" s="232"/>
      <c r="P3191" s="232"/>
      <c r="R3191" s="232"/>
      <c r="T3191" s="232"/>
    </row>
    <row r="3192" spans="3:20">
      <c r="C3192" s="232"/>
      <c r="E3192" s="232"/>
      <c r="G3192" s="232"/>
      <c r="I3192" s="232"/>
      <c r="K3192" s="232"/>
      <c r="M3192" s="232"/>
      <c r="P3192" s="232"/>
      <c r="R3192" s="232"/>
      <c r="T3192" s="232"/>
    </row>
    <row r="3193" spans="3:20">
      <c r="C3193" s="232"/>
      <c r="E3193" s="232"/>
      <c r="G3193" s="232"/>
      <c r="I3193" s="232"/>
      <c r="K3193" s="232"/>
      <c r="M3193" s="232"/>
      <c r="P3193" s="232"/>
      <c r="R3193" s="232"/>
      <c r="T3193" s="232"/>
    </row>
    <row r="3194" spans="3:20">
      <c r="C3194" s="232"/>
      <c r="E3194" s="232"/>
      <c r="G3194" s="232"/>
      <c r="I3194" s="232"/>
      <c r="K3194" s="232"/>
      <c r="M3194" s="232"/>
      <c r="P3194" s="232"/>
      <c r="R3194" s="232"/>
      <c r="T3194" s="232"/>
    </row>
    <row r="3195" spans="3:20">
      <c r="C3195" s="232"/>
      <c r="E3195" s="232"/>
      <c r="G3195" s="232"/>
      <c r="I3195" s="232"/>
      <c r="K3195" s="232"/>
      <c r="M3195" s="232"/>
      <c r="P3195" s="232"/>
      <c r="R3195" s="232"/>
      <c r="T3195" s="232"/>
    </row>
    <row r="3196" spans="3:20">
      <c r="C3196" s="232"/>
      <c r="E3196" s="232"/>
      <c r="G3196" s="232"/>
      <c r="I3196" s="232"/>
      <c r="K3196" s="232"/>
      <c r="M3196" s="232"/>
      <c r="P3196" s="232"/>
      <c r="R3196" s="232"/>
      <c r="T3196" s="232"/>
    </row>
    <row r="3197" spans="3:20">
      <c r="C3197" s="232"/>
      <c r="E3197" s="232"/>
      <c r="G3197" s="232"/>
      <c r="I3197" s="232"/>
      <c r="K3197" s="232"/>
      <c r="M3197" s="232"/>
      <c r="P3197" s="232"/>
      <c r="R3197" s="232"/>
      <c r="T3197" s="232"/>
    </row>
    <row r="3198" spans="3:20">
      <c r="C3198" s="232"/>
      <c r="E3198" s="232"/>
      <c r="G3198" s="232"/>
      <c r="I3198" s="232"/>
      <c r="K3198" s="232"/>
      <c r="M3198" s="232"/>
      <c r="P3198" s="232"/>
      <c r="R3198" s="232"/>
      <c r="T3198" s="232"/>
    </row>
    <row r="3199" spans="3:20">
      <c r="C3199" s="232"/>
      <c r="E3199" s="232"/>
      <c r="G3199" s="232"/>
      <c r="I3199" s="232"/>
      <c r="K3199" s="232"/>
      <c r="M3199" s="232"/>
      <c r="P3199" s="232"/>
      <c r="R3199" s="232"/>
      <c r="T3199" s="232"/>
    </row>
    <row r="3200" spans="3:20">
      <c r="C3200" s="232"/>
      <c r="E3200" s="232"/>
      <c r="G3200" s="232"/>
      <c r="I3200" s="232"/>
      <c r="K3200" s="232"/>
      <c r="M3200" s="232"/>
      <c r="P3200" s="232"/>
      <c r="R3200" s="232"/>
      <c r="T3200" s="232"/>
    </row>
    <row r="3201" spans="3:20">
      <c r="C3201" s="232"/>
      <c r="E3201" s="232"/>
      <c r="G3201" s="232"/>
      <c r="I3201" s="232"/>
      <c r="K3201" s="232"/>
      <c r="M3201" s="232"/>
      <c r="P3201" s="232"/>
      <c r="R3201" s="232"/>
      <c r="T3201" s="232"/>
    </row>
    <row r="3202" spans="3:20">
      <c r="C3202" s="232"/>
      <c r="E3202" s="232"/>
      <c r="G3202" s="232"/>
      <c r="I3202" s="232"/>
      <c r="K3202" s="232"/>
      <c r="M3202" s="232"/>
      <c r="P3202" s="232"/>
      <c r="R3202" s="232"/>
      <c r="T3202" s="232"/>
    </row>
    <row r="3203" spans="3:20">
      <c r="C3203" s="232"/>
      <c r="E3203" s="232"/>
      <c r="G3203" s="232"/>
      <c r="I3203" s="232"/>
      <c r="K3203" s="232"/>
      <c r="M3203" s="232"/>
      <c r="P3203" s="232"/>
      <c r="R3203" s="232"/>
      <c r="T3203" s="232"/>
    </row>
    <row r="3204" spans="3:20">
      <c r="C3204" s="232"/>
      <c r="E3204" s="232"/>
      <c r="G3204" s="232"/>
      <c r="I3204" s="232"/>
      <c r="K3204" s="232"/>
      <c r="M3204" s="232"/>
      <c r="P3204" s="232"/>
      <c r="R3204" s="232"/>
      <c r="T3204" s="232"/>
    </row>
    <row r="3205" spans="3:20">
      <c r="C3205" s="232"/>
      <c r="E3205" s="232"/>
      <c r="G3205" s="232"/>
      <c r="I3205" s="232"/>
      <c r="K3205" s="232"/>
      <c r="M3205" s="232"/>
      <c r="P3205" s="232"/>
      <c r="R3205" s="232"/>
      <c r="T3205" s="232"/>
    </row>
    <row r="3206" spans="3:20">
      <c r="C3206" s="232"/>
      <c r="E3206" s="232"/>
      <c r="G3206" s="232"/>
      <c r="I3206" s="232"/>
      <c r="K3206" s="232"/>
      <c r="M3206" s="232"/>
      <c r="P3206" s="232"/>
      <c r="R3206" s="232"/>
      <c r="T3206" s="232"/>
    </row>
    <row r="3207" spans="3:20">
      <c r="C3207" s="232"/>
      <c r="E3207" s="232"/>
      <c r="G3207" s="232"/>
      <c r="I3207" s="232"/>
      <c r="K3207" s="232"/>
      <c r="M3207" s="232"/>
      <c r="P3207" s="232"/>
      <c r="R3207" s="232"/>
      <c r="T3207" s="232"/>
    </row>
    <row r="3208" spans="3:20">
      <c r="C3208" s="232"/>
      <c r="E3208" s="232"/>
      <c r="G3208" s="232"/>
      <c r="I3208" s="232"/>
      <c r="K3208" s="232"/>
      <c r="M3208" s="232"/>
      <c r="P3208" s="232"/>
      <c r="R3208" s="232"/>
      <c r="T3208" s="232"/>
    </row>
    <row r="3209" spans="3:20">
      <c r="C3209" s="232"/>
      <c r="E3209" s="232"/>
      <c r="G3209" s="232"/>
      <c r="I3209" s="232"/>
      <c r="K3209" s="232"/>
      <c r="M3209" s="232"/>
      <c r="P3209" s="232"/>
      <c r="R3209" s="232"/>
      <c r="T3209" s="232"/>
    </row>
    <row r="3210" spans="3:20">
      <c r="C3210" s="232"/>
      <c r="E3210" s="232"/>
      <c r="G3210" s="232"/>
      <c r="I3210" s="232"/>
      <c r="K3210" s="232"/>
      <c r="M3210" s="232"/>
      <c r="P3210" s="232"/>
      <c r="R3210" s="232"/>
      <c r="T3210" s="232"/>
    </row>
    <row r="3211" spans="3:20">
      <c r="C3211" s="232"/>
      <c r="E3211" s="232"/>
      <c r="G3211" s="232"/>
      <c r="I3211" s="232"/>
      <c r="K3211" s="232"/>
      <c r="M3211" s="232"/>
      <c r="P3211" s="232"/>
      <c r="R3211" s="232"/>
      <c r="T3211" s="232"/>
    </row>
    <row r="3212" spans="3:20">
      <c r="C3212" s="232"/>
      <c r="E3212" s="232"/>
      <c r="G3212" s="232"/>
      <c r="I3212" s="232"/>
      <c r="K3212" s="232"/>
      <c r="M3212" s="232"/>
      <c r="P3212" s="232"/>
      <c r="R3212" s="232"/>
      <c r="T3212" s="232"/>
    </row>
    <row r="3213" spans="3:20">
      <c r="C3213" s="232"/>
      <c r="E3213" s="232"/>
      <c r="G3213" s="232"/>
      <c r="I3213" s="232"/>
      <c r="K3213" s="232"/>
      <c r="M3213" s="232"/>
      <c r="P3213" s="232"/>
      <c r="R3213" s="232"/>
      <c r="T3213" s="232"/>
    </row>
    <row r="3214" spans="3:20">
      <c r="C3214" s="232"/>
      <c r="E3214" s="232"/>
      <c r="G3214" s="232"/>
      <c r="I3214" s="232"/>
      <c r="K3214" s="232"/>
      <c r="M3214" s="232"/>
      <c r="P3214" s="232"/>
      <c r="R3214" s="232"/>
      <c r="T3214" s="232"/>
    </row>
    <row r="3215" spans="3:20">
      <c r="C3215" s="232"/>
      <c r="E3215" s="232"/>
      <c r="G3215" s="232"/>
      <c r="I3215" s="232"/>
      <c r="K3215" s="232"/>
      <c r="M3215" s="232"/>
      <c r="P3215" s="232"/>
      <c r="R3215" s="232"/>
      <c r="T3215" s="232"/>
    </row>
    <row r="3216" spans="3:20">
      <c r="C3216" s="232"/>
      <c r="E3216" s="232"/>
      <c r="G3216" s="232"/>
      <c r="I3216" s="232"/>
      <c r="K3216" s="232"/>
      <c r="M3216" s="232"/>
      <c r="P3216" s="232"/>
      <c r="R3216" s="232"/>
      <c r="T3216" s="232"/>
    </row>
    <row r="3217" spans="3:20">
      <c r="C3217" s="232"/>
      <c r="E3217" s="232"/>
      <c r="G3217" s="232"/>
      <c r="I3217" s="232"/>
      <c r="K3217" s="232"/>
      <c r="M3217" s="232"/>
      <c r="P3217" s="232"/>
      <c r="R3217" s="232"/>
      <c r="T3217" s="232"/>
    </row>
    <row r="3218" spans="3:20">
      <c r="C3218" s="232"/>
      <c r="E3218" s="232"/>
      <c r="G3218" s="232"/>
      <c r="I3218" s="232"/>
      <c r="K3218" s="232"/>
      <c r="M3218" s="232"/>
      <c r="P3218" s="232"/>
      <c r="R3218" s="232"/>
      <c r="T3218" s="232"/>
    </row>
    <row r="3219" spans="3:20">
      <c r="C3219" s="232"/>
      <c r="E3219" s="232"/>
      <c r="G3219" s="232"/>
      <c r="I3219" s="232"/>
      <c r="K3219" s="232"/>
      <c r="M3219" s="232"/>
      <c r="P3219" s="232"/>
      <c r="R3219" s="232"/>
      <c r="T3219" s="232"/>
    </row>
    <row r="3220" spans="3:20">
      <c r="C3220" s="232"/>
      <c r="E3220" s="232"/>
      <c r="G3220" s="232"/>
      <c r="I3220" s="232"/>
      <c r="K3220" s="232"/>
      <c r="M3220" s="232"/>
      <c r="P3220" s="232"/>
      <c r="R3220" s="232"/>
      <c r="T3220" s="232"/>
    </row>
    <row r="3221" spans="3:20">
      <c r="C3221" s="232"/>
      <c r="E3221" s="232"/>
      <c r="G3221" s="232"/>
      <c r="I3221" s="232"/>
      <c r="K3221" s="232"/>
      <c r="M3221" s="232"/>
      <c r="P3221" s="232"/>
      <c r="R3221" s="232"/>
      <c r="T3221" s="232"/>
    </row>
    <row r="3222" spans="3:20">
      <c r="C3222" s="232"/>
      <c r="E3222" s="232"/>
      <c r="G3222" s="232"/>
      <c r="I3222" s="232"/>
      <c r="K3222" s="232"/>
      <c r="M3222" s="232"/>
      <c r="P3222" s="232"/>
      <c r="R3222" s="232"/>
      <c r="T3222" s="232"/>
    </row>
    <row r="3223" spans="3:20">
      <c r="C3223" s="232"/>
      <c r="E3223" s="232"/>
      <c r="G3223" s="232"/>
      <c r="I3223" s="232"/>
      <c r="K3223" s="232"/>
      <c r="M3223" s="232"/>
      <c r="P3223" s="232"/>
      <c r="R3223" s="232"/>
      <c r="T3223" s="232"/>
    </row>
    <row r="3224" spans="3:20">
      <c r="C3224" s="232"/>
      <c r="E3224" s="232"/>
      <c r="G3224" s="232"/>
      <c r="I3224" s="232"/>
      <c r="K3224" s="232"/>
      <c r="M3224" s="232"/>
      <c r="P3224" s="232"/>
      <c r="R3224" s="232"/>
      <c r="T3224" s="232"/>
    </row>
    <row r="3225" spans="3:20">
      <c r="C3225" s="232"/>
      <c r="E3225" s="232"/>
      <c r="G3225" s="232"/>
      <c r="I3225" s="232"/>
      <c r="K3225" s="232"/>
      <c r="M3225" s="232"/>
      <c r="P3225" s="232"/>
      <c r="R3225" s="232"/>
      <c r="T3225" s="232"/>
    </row>
    <row r="3226" spans="3:20">
      <c r="C3226" s="232"/>
      <c r="E3226" s="232"/>
      <c r="G3226" s="232"/>
      <c r="I3226" s="232"/>
      <c r="K3226" s="232"/>
      <c r="M3226" s="232"/>
      <c r="P3226" s="232"/>
      <c r="R3226" s="232"/>
      <c r="T3226" s="232"/>
    </row>
    <row r="3227" spans="3:20">
      <c r="C3227" s="232"/>
      <c r="E3227" s="232"/>
      <c r="G3227" s="232"/>
      <c r="I3227" s="232"/>
      <c r="K3227" s="232"/>
      <c r="M3227" s="232"/>
      <c r="P3227" s="232"/>
      <c r="R3227" s="232"/>
      <c r="T3227" s="232"/>
    </row>
    <row r="3228" spans="3:20">
      <c r="C3228" s="232"/>
      <c r="E3228" s="232"/>
      <c r="G3228" s="232"/>
      <c r="I3228" s="232"/>
      <c r="K3228" s="232"/>
      <c r="M3228" s="232"/>
      <c r="P3228" s="232"/>
      <c r="R3228" s="232"/>
      <c r="T3228" s="232"/>
    </row>
    <row r="3229" spans="3:20">
      <c r="C3229" s="232"/>
      <c r="E3229" s="232"/>
      <c r="G3229" s="232"/>
      <c r="I3229" s="232"/>
      <c r="K3229" s="232"/>
      <c r="M3229" s="232"/>
      <c r="P3229" s="232"/>
      <c r="R3229" s="232"/>
      <c r="T3229" s="232"/>
    </row>
    <row r="3230" spans="3:20">
      <c r="C3230" s="232"/>
      <c r="E3230" s="232"/>
      <c r="G3230" s="232"/>
      <c r="I3230" s="232"/>
      <c r="K3230" s="232"/>
      <c r="M3230" s="232"/>
      <c r="P3230" s="232"/>
      <c r="R3230" s="232"/>
      <c r="T3230" s="232"/>
    </row>
    <row r="3231" spans="3:20">
      <c r="C3231" s="232"/>
      <c r="E3231" s="232"/>
      <c r="G3231" s="232"/>
      <c r="I3231" s="232"/>
      <c r="K3231" s="232"/>
      <c r="M3231" s="232"/>
      <c r="P3231" s="232"/>
      <c r="R3231" s="232"/>
      <c r="T3231" s="232"/>
    </row>
    <row r="3232" spans="3:20">
      <c r="C3232" s="232"/>
      <c r="E3232" s="232"/>
      <c r="G3232" s="232"/>
      <c r="I3232" s="232"/>
      <c r="K3232" s="232"/>
      <c r="M3232" s="232"/>
      <c r="P3232" s="232"/>
      <c r="R3232" s="232"/>
      <c r="T3232" s="232"/>
    </row>
    <row r="3233" spans="3:20">
      <c r="C3233" s="232"/>
      <c r="E3233" s="232"/>
      <c r="G3233" s="232"/>
      <c r="I3233" s="232"/>
      <c r="K3233" s="232"/>
      <c r="M3233" s="232"/>
      <c r="P3233" s="232"/>
      <c r="R3233" s="232"/>
      <c r="T3233" s="232"/>
    </row>
    <row r="3234" spans="3:20">
      <c r="C3234" s="232"/>
      <c r="E3234" s="232"/>
      <c r="G3234" s="232"/>
      <c r="I3234" s="232"/>
      <c r="K3234" s="232"/>
      <c r="M3234" s="232"/>
      <c r="P3234" s="232"/>
      <c r="R3234" s="232"/>
      <c r="T3234" s="232"/>
    </row>
    <row r="3235" spans="3:20">
      <c r="C3235" s="232"/>
      <c r="E3235" s="232"/>
      <c r="G3235" s="232"/>
      <c r="I3235" s="232"/>
      <c r="K3235" s="232"/>
      <c r="M3235" s="232"/>
      <c r="P3235" s="232"/>
      <c r="R3235" s="232"/>
      <c r="T3235" s="232"/>
    </row>
    <row r="3236" spans="3:20">
      <c r="C3236" s="232"/>
      <c r="E3236" s="232"/>
      <c r="G3236" s="232"/>
      <c r="I3236" s="232"/>
      <c r="K3236" s="232"/>
      <c r="M3236" s="232"/>
      <c r="P3236" s="232"/>
      <c r="R3236" s="232"/>
      <c r="T3236" s="232"/>
    </row>
    <row r="3237" spans="3:20">
      <c r="C3237" s="232"/>
      <c r="E3237" s="232"/>
      <c r="G3237" s="232"/>
      <c r="I3237" s="232"/>
      <c r="K3237" s="232"/>
      <c r="M3237" s="232"/>
      <c r="P3237" s="232"/>
      <c r="R3237" s="232"/>
      <c r="T3237" s="232"/>
    </row>
    <row r="3238" spans="3:20">
      <c r="C3238" s="232"/>
      <c r="E3238" s="232"/>
      <c r="G3238" s="232"/>
      <c r="I3238" s="232"/>
      <c r="K3238" s="232"/>
      <c r="M3238" s="232"/>
      <c r="P3238" s="232"/>
      <c r="R3238" s="232"/>
      <c r="T3238" s="232"/>
    </row>
    <row r="3239" spans="3:20">
      <c r="C3239" s="232"/>
      <c r="E3239" s="232"/>
      <c r="G3239" s="232"/>
      <c r="I3239" s="232"/>
      <c r="K3239" s="232"/>
      <c r="M3239" s="232"/>
      <c r="P3239" s="232"/>
      <c r="R3239" s="232"/>
      <c r="T3239" s="232"/>
    </row>
    <row r="3240" spans="3:20">
      <c r="C3240" s="232"/>
      <c r="E3240" s="232"/>
      <c r="G3240" s="232"/>
      <c r="I3240" s="232"/>
      <c r="K3240" s="232"/>
      <c r="M3240" s="232"/>
      <c r="P3240" s="232"/>
      <c r="R3240" s="232"/>
      <c r="T3240" s="232"/>
    </row>
    <row r="3241" spans="3:20">
      <c r="C3241" s="232"/>
      <c r="E3241" s="232"/>
      <c r="G3241" s="232"/>
      <c r="I3241" s="232"/>
      <c r="K3241" s="232"/>
      <c r="M3241" s="232"/>
      <c r="P3241" s="232"/>
      <c r="R3241" s="232"/>
      <c r="T3241" s="232"/>
    </row>
    <row r="3242" spans="3:20">
      <c r="C3242" s="232"/>
      <c r="E3242" s="232"/>
      <c r="G3242" s="232"/>
      <c r="I3242" s="232"/>
      <c r="K3242" s="232"/>
      <c r="M3242" s="232"/>
      <c r="P3242" s="232"/>
      <c r="R3242" s="232"/>
      <c r="T3242" s="232"/>
    </row>
    <row r="3243" spans="3:20">
      <c r="C3243" s="232"/>
      <c r="E3243" s="232"/>
      <c r="G3243" s="232"/>
      <c r="I3243" s="232"/>
      <c r="K3243" s="232"/>
      <c r="M3243" s="232"/>
      <c r="P3243" s="232"/>
      <c r="R3243" s="232"/>
      <c r="T3243" s="232"/>
    </row>
    <row r="3244" spans="3:20">
      <c r="C3244" s="232"/>
      <c r="E3244" s="232"/>
      <c r="G3244" s="232"/>
      <c r="I3244" s="232"/>
      <c r="K3244" s="232"/>
      <c r="M3244" s="232"/>
      <c r="P3244" s="232"/>
      <c r="R3244" s="232"/>
      <c r="T3244" s="232"/>
    </row>
    <row r="3245" spans="3:20">
      <c r="C3245" s="232"/>
      <c r="E3245" s="232"/>
      <c r="G3245" s="232"/>
      <c r="I3245" s="232"/>
      <c r="K3245" s="232"/>
      <c r="M3245" s="232"/>
      <c r="P3245" s="232"/>
      <c r="R3245" s="232"/>
      <c r="T3245" s="232"/>
    </row>
    <row r="3246" spans="3:20">
      <c r="C3246" s="232"/>
      <c r="E3246" s="232"/>
      <c r="G3246" s="232"/>
      <c r="I3246" s="232"/>
      <c r="K3246" s="232"/>
      <c r="M3246" s="232"/>
      <c r="P3246" s="232"/>
      <c r="R3246" s="232"/>
      <c r="T3246" s="232"/>
    </row>
    <row r="3247" spans="3:20">
      <c r="C3247" s="232"/>
      <c r="E3247" s="232"/>
      <c r="G3247" s="232"/>
      <c r="I3247" s="232"/>
      <c r="K3247" s="232"/>
      <c r="M3247" s="232"/>
      <c r="P3247" s="232"/>
      <c r="R3247" s="232"/>
      <c r="T3247" s="232"/>
    </row>
    <row r="3248" spans="3:20">
      <c r="C3248" s="232"/>
      <c r="E3248" s="232"/>
      <c r="G3248" s="232"/>
      <c r="I3248" s="232"/>
      <c r="K3248" s="232"/>
      <c r="M3248" s="232"/>
      <c r="P3248" s="232"/>
      <c r="R3248" s="232"/>
      <c r="T3248" s="232"/>
    </row>
    <row r="3249" spans="3:20">
      <c r="C3249" s="232"/>
      <c r="E3249" s="232"/>
      <c r="G3249" s="232"/>
      <c r="I3249" s="232"/>
      <c r="K3249" s="232"/>
      <c r="M3249" s="232"/>
      <c r="P3249" s="232"/>
      <c r="R3249" s="232"/>
      <c r="T3249" s="232"/>
    </row>
    <row r="3250" spans="3:20">
      <c r="C3250" s="232"/>
      <c r="E3250" s="232"/>
      <c r="G3250" s="232"/>
      <c r="I3250" s="232"/>
      <c r="K3250" s="232"/>
      <c r="M3250" s="232"/>
      <c r="P3250" s="232"/>
      <c r="R3250" s="232"/>
      <c r="T3250" s="232"/>
    </row>
    <row r="3251" spans="3:20">
      <c r="C3251" s="232"/>
      <c r="E3251" s="232"/>
      <c r="G3251" s="232"/>
      <c r="I3251" s="232"/>
      <c r="K3251" s="232"/>
      <c r="M3251" s="232"/>
      <c r="P3251" s="232"/>
      <c r="R3251" s="232"/>
      <c r="T3251" s="232"/>
    </row>
    <row r="3252" spans="3:20">
      <c r="C3252" s="232"/>
      <c r="E3252" s="232"/>
      <c r="G3252" s="232"/>
      <c r="I3252" s="232"/>
      <c r="K3252" s="232"/>
      <c r="M3252" s="232"/>
      <c r="P3252" s="232"/>
      <c r="R3252" s="232"/>
      <c r="T3252" s="232"/>
    </row>
    <row r="3253" spans="3:20">
      <c r="C3253" s="232"/>
      <c r="E3253" s="232"/>
      <c r="G3253" s="232"/>
      <c r="I3253" s="232"/>
      <c r="K3253" s="232"/>
      <c r="M3253" s="232"/>
      <c r="P3253" s="232"/>
      <c r="R3253" s="232"/>
      <c r="T3253" s="232"/>
    </row>
    <row r="3254" spans="3:20">
      <c r="C3254" s="232"/>
      <c r="E3254" s="232"/>
      <c r="G3254" s="232"/>
      <c r="I3254" s="232"/>
      <c r="K3254" s="232"/>
      <c r="M3254" s="232"/>
      <c r="P3254" s="232"/>
      <c r="R3254" s="232"/>
      <c r="T3254" s="232"/>
    </row>
    <row r="3255" spans="3:20">
      <c r="C3255" s="232"/>
      <c r="E3255" s="232"/>
      <c r="G3255" s="232"/>
      <c r="I3255" s="232"/>
      <c r="K3255" s="232"/>
      <c r="M3255" s="232"/>
      <c r="P3255" s="232"/>
      <c r="R3255" s="232"/>
      <c r="T3255" s="232"/>
    </row>
    <row r="3256" spans="3:20">
      <c r="C3256" s="232"/>
      <c r="E3256" s="232"/>
      <c r="G3256" s="232"/>
      <c r="I3256" s="232"/>
      <c r="K3256" s="232"/>
      <c r="M3256" s="232"/>
      <c r="P3256" s="232"/>
      <c r="R3256" s="232"/>
      <c r="T3256" s="232"/>
    </row>
    <row r="3257" spans="3:20">
      <c r="C3257" s="232"/>
      <c r="E3257" s="232"/>
      <c r="G3257" s="232"/>
      <c r="I3257" s="232"/>
      <c r="K3257" s="232"/>
      <c r="M3257" s="232"/>
      <c r="P3257" s="232"/>
      <c r="R3257" s="232"/>
      <c r="T3257" s="232"/>
    </row>
    <row r="3258" spans="3:20">
      <c r="C3258" s="232"/>
      <c r="E3258" s="232"/>
      <c r="G3258" s="232"/>
      <c r="I3258" s="232"/>
      <c r="K3258" s="232"/>
      <c r="M3258" s="232"/>
      <c r="P3258" s="232"/>
      <c r="R3258" s="232"/>
      <c r="T3258" s="232"/>
    </row>
    <row r="3259" spans="3:20">
      <c r="C3259" s="232"/>
      <c r="E3259" s="232"/>
      <c r="G3259" s="232"/>
      <c r="I3259" s="232"/>
      <c r="K3259" s="232"/>
      <c r="M3259" s="232"/>
      <c r="P3259" s="232"/>
      <c r="R3259" s="232"/>
      <c r="T3259" s="232"/>
    </row>
    <row r="3260" spans="3:20">
      <c r="C3260" s="232"/>
      <c r="E3260" s="232"/>
      <c r="G3260" s="232"/>
      <c r="I3260" s="232"/>
      <c r="K3260" s="232"/>
      <c r="M3260" s="232"/>
      <c r="P3260" s="232"/>
      <c r="R3260" s="232"/>
      <c r="T3260" s="232"/>
    </row>
    <row r="3261" spans="3:20">
      <c r="C3261" s="232"/>
      <c r="E3261" s="232"/>
      <c r="G3261" s="232"/>
      <c r="I3261" s="232"/>
      <c r="K3261" s="232"/>
      <c r="M3261" s="232"/>
      <c r="P3261" s="232"/>
      <c r="R3261" s="232"/>
      <c r="T3261" s="232"/>
    </row>
    <row r="3262" spans="3:20">
      <c r="C3262" s="232"/>
      <c r="E3262" s="232"/>
      <c r="G3262" s="232"/>
      <c r="I3262" s="232"/>
      <c r="K3262" s="232"/>
      <c r="M3262" s="232"/>
      <c r="P3262" s="232"/>
      <c r="R3262" s="232"/>
      <c r="T3262" s="232"/>
    </row>
    <row r="3263" spans="3:20">
      <c r="C3263" s="232"/>
      <c r="E3263" s="232"/>
      <c r="G3263" s="232"/>
      <c r="I3263" s="232"/>
      <c r="K3263" s="232"/>
      <c r="M3263" s="232"/>
      <c r="P3263" s="232"/>
      <c r="R3263" s="232"/>
      <c r="T3263" s="232"/>
    </row>
    <row r="3264" spans="3:20">
      <c r="C3264" s="232"/>
      <c r="E3264" s="232"/>
      <c r="G3264" s="232"/>
      <c r="I3264" s="232"/>
      <c r="K3264" s="232"/>
      <c r="M3264" s="232"/>
      <c r="P3264" s="232"/>
      <c r="R3264" s="232"/>
      <c r="T3264" s="232"/>
    </row>
    <row r="3265" spans="3:20">
      <c r="C3265" s="232"/>
      <c r="E3265" s="232"/>
      <c r="G3265" s="232"/>
      <c r="I3265" s="232"/>
      <c r="K3265" s="232"/>
      <c r="M3265" s="232"/>
      <c r="P3265" s="232"/>
      <c r="R3265" s="232"/>
      <c r="T3265" s="232"/>
    </row>
    <row r="3266" spans="3:20">
      <c r="C3266" s="232"/>
      <c r="E3266" s="232"/>
      <c r="G3266" s="232"/>
      <c r="I3266" s="232"/>
      <c r="K3266" s="232"/>
      <c r="M3266" s="232"/>
      <c r="P3266" s="232"/>
      <c r="R3266" s="232"/>
      <c r="T3266" s="232"/>
    </row>
    <row r="3267" spans="3:20">
      <c r="C3267" s="232"/>
      <c r="E3267" s="232"/>
      <c r="G3267" s="232"/>
      <c r="I3267" s="232"/>
      <c r="K3267" s="232"/>
      <c r="M3267" s="232"/>
      <c r="P3267" s="232"/>
      <c r="R3267" s="232"/>
      <c r="T3267" s="232"/>
    </row>
    <row r="3268" spans="3:20">
      <c r="C3268" s="232"/>
      <c r="E3268" s="232"/>
      <c r="G3268" s="232"/>
      <c r="I3268" s="232"/>
      <c r="K3268" s="232"/>
      <c r="M3268" s="232"/>
      <c r="P3268" s="232"/>
      <c r="R3268" s="232"/>
      <c r="T3268" s="232"/>
    </row>
    <row r="3269" spans="3:20">
      <c r="C3269" s="232"/>
      <c r="E3269" s="232"/>
      <c r="G3269" s="232"/>
      <c r="I3269" s="232"/>
      <c r="K3269" s="232"/>
      <c r="M3269" s="232"/>
      <c r="P3269" s="232"/>
      <c r="R3269" s="232"/>
      <c r="T3269" s="232"/>
    </row>
    <row r="3270" spans="3:20">
      <c r="C3270" s="232"/>
      <c r="E3270" s="232"/>
      <c r="G3270" s="232"/>
      <c r="I3270" s="232"/>
      <c r="K3270" s="232"/>
      <c r="M3270" s="232"/>
      <c r="P3270" s="232"/>
      <c r="R3270" s="232"/>
      <c r="T3270" s="232"/>
    </row>
    <row r="3271" spans="3:20">
      <c r="C3271" s="232"/>
      <c r="E3271" s="232"/>
      <c r="G3271" s="232"/>
      <c r="I3271" s="232"/>
      <c r="K3271" s="232"/>
      <c r="M3271" s="232"/>
      <c r="P3271" s="232"/>
      <c r="R3271" s="232"/>
      <c r="T3271" s="232"/>
    </row>
    <row r="3272" spans="3:20">
      <c r="C3272" s="232"/>
      <c r="E3272" s="232"/>
      <c r="G3272" s="232"/>
      <c r="I3272" s="232"/>
      <c r="K3272" s="232"/>
      <c r="M3272" s="232"/>
      <c r="P3272" s="232"/>
      <c r="R3272" s="232"/>
      <c r="T3272" s="232"/>
    </row>
    <row r="3273" spans="3:20">
      <c r="C3273" s="232"/>
      <c r="E3273" s="232"/>
      <c r="G3273" s="232"/>
      <c r="I3273" s="232"/>
      <c r="K3273" s="232"/>
      <c r="M3273" s="232"/>
      <c r="P3273" s="232"/>
      <c r="R3273" s="232"/>
      <c r="T3273" s="232"/>
    </row>
    <row r="3274" spans="3:20">
      <c r="C3274" s="232"/>
      <c r="E3274" s="232"/>
      <c r="G3274" s="232"/>
      <c r="I3274" s="232"/>
      <c r="K3274" s="232"/>
      <c r="M3274" s="232"/>
      <c r="P3274" s="232"/>
      <c r="R3274" s="232"/>
      <c r="T3274" s="232"/>
    </row>
    <row r="3275" spans="3:20">
      <c r="C3275" s="232"/>
      <c r="E3275" s="232"/>
      <c r="G3275" s="232"/>
      <c r="I3275" s="232"/>
      <c r="K3275" s="232"/>
      <c r="M3275" s="232"/>
      <c r="P3275" s="232"/>
      <c r="R3275" s="232"/>
      <c r="T3275" s="232"/>
    </row>
    <row r="3276" spans="3:20">
      <c r="C3276" s="232"/>
      <c r="E3276" s="232"/>
      <c r="G3276" s="232"/>
      <c r="I3276" s="232"/>
      <c r="K3276" s="232"/>
      <c r="M3276" s="232"/>
      <c r="P3276" s="232"/>
      <c r="R3276" s="232"/>
      <c r="T3276" s="232"/>
    </row>
    <row r="3277" spans="3:20">
      <c r="C3277" s="232"/>
      <c r="E3277" s="232"/>
      <c r="G3277" s="232"/>
      <c r="I3277" s="232"/>
      <c r="K3277" s="232"/>
      <c r="M3277" s="232"/>
      <c r="P3277" s="232"/>
      <c r="R3277" s="232"/>
      <c r="T3277" s="232"/>
    </row>
    <row r="3278" spans="3:20">
      <c r="C3278" s="232"/>
      <c r="E3278" s="232"/>
      <c r="G3278" s="232"/>
      <c r="I3278" s="232"/>
      <c r="K3278" s="232"/>
      <c r="M3278" s="232"/>
      <c r="P3278" s="232"/>
      <c r="R3278" s="232"/>
      <c r="T3278" s="232"/>
    </row>
    <row r="3279" spans="3:20">
      <c r="C3279" s="232"/>
      <c r="E3279" s="232"/>
      <c r="G3279" s="232"/>
      <c r="I3279" s="232"/>
      <c r="K3279" s="232"/>
      <c r="M3279" s="232"/>
      <c r="P3279" s="232"/>
      <c r="R3279" s="232"/>
      <c r="T3279" s="232"/>
    </row>
    <row r="3280" spans="3:20">
      <c r="C3280" s="232"/>
      <c r="E3280" s="232"/>
      <c r="G3280" s="232"/>
      <c r="I3280" s="232"/>
      <c r="K3280" s="232"/>
      <c r="M3280" s="232"/>
      <c r="P3280" s="232"/>
      <c r="R3280" s="232"/>
      <c r="T3280" s="232"/>
    </row>
    <row r="3281" spans="3:20">
      <c r="C3281" s="232"/>
      <c r="E3281" s="232"/>
      <c r="G3281" s="232"/>
      <c r="I3281" s="232"/>
      <c r="K3281" s="232"/>
      <c r="M3281" s="232"/>
      <c r="P3281" s="232"/>
      <c r="R3281" s="232"/>
      <c r="T3281" s="232"/>
    </row>
    <row r="3282" spans="3:20">
      <c r="C3282" s="232"/>
      <c r="E3282" s="232"/>
      <c r="G3282" s="232"/>
      <c r="I3282" s="232"/>
      <c r="K3282" s="232"/>
      <c r="M3282" s="232"/>
      <c r="P3282" s="232"/>
      <c r="R3282" s="232"/>
      <c r="T3282" s="232"/>
    </row>
    <row r="3283" spans="3:20">
      <c r="C3283" s="232"/>
      <c r="E3283" s="232"/>
      <c r="G3283" s="232"/>
      <c r="I3283" s="232"/>
      <c r="K3283" s="232"/>
      <c r="M3283" s="232"/>
      <c r="P3283" s="232"/>
      <c r="R3283" s="232"/>
      <c r="T3283" s="232"/>
    </row>
    <row r="3284" spans="3:20">
      <c r="C3284" s="232"/>
      <c r="E3284" s="232"/>
      <c r="G3284" s="232"/>
      <c r="I3284" s="232"/>
      <c r="K3284" s="232"/>
      <c r="M3284" s="232"/>
      <c r="P3284" s="232"/>
      <c r="R3284" s="232"/>
      <c r="T3284" s="232"/>
    </row>
    <row r="3285" spans="3:20">
      <c r="C3285" s="232"/>
      <c r="E3285" s="232"/>
      <c r="G3285" s="232"/>
      <c r="I3285" s="232"/>
      <c r="K3285" s="232"/>
      <c r="M3285" s="232"/>
      <c r="P3285" s="232"/>
      <c r="R3285" s="232"/>
      <c r="T3285" s="232"/>
    </row>
    <row r="3286" spans="3:20">
      <c r="C3286" s="232"/>
      <c r="E3286" s="232"/>
      <c r="G3286" s="232"/>
      <c r="I3286" s="232"/>
      <c r="K3286" s="232"/>
      <c r="M3286" s="232"/>
      <c r="P3286" s="232"/>
      <c r="R3286" s="232"/>
      <c r="T3286" s="232"/>
    </row>
    <row r="3287" spans="3:20">
      <c r="C3287" s="232"/>
      <c r="E3287" s="232"/>
      <c r="G3287" s="232"/>
      <c r="I3287" s="232"/>
      <c r="K3287" s="232"/>
      <c r="M3287" s="232"/>
      <c r="P3287" s="232"/>
      <c r="R3287" s="232"/>
      <c r="T3287" s="232"/>
    </row>
    <row r="3288" spans="3:20">
      <c r="C3288" s="232"/>
      <c r="E3288" s="232"/>
      <c r="G3288" s="232"/>
      <c r="I3288" s="232"/>
      <c r="K3288" s="232"/>
      <c r="M3288" s="232"/>
      <c r="P3288" s="232"/>
      <c r="R3288" s="232"/>
      <c r="T3288" s="232"/>
    </row>
    <row r="3289" spans="3:20">
      <c r="C3289" s="232"/>
      <c r="E3289" s="232"/>
      <c r="G3289" s="232"/>
      <c r="I3289" s="232"/>
      <c r="K3289" s="232"/>
      <c r="M3289" s="232"/>
      <c r="P3289" s="232"/>
      <c r="R3289" s="232"/>
      <c r="T3289" s="232"/>
    </row>
    <row r="3290" spans="3:20">
      <c r="C3290" s="232"/>
      <c r="E3290" s="232"/>
      <c r="G3290" s="232"/>
      <c r="I3290" s="232"/>
      <c r="K3290" s="232"/>
      <c r="M3290" s="232"/>
      <c r="P3290" s="232"/>
      <c r="R3290" s="232"/>
      <c r="T3290" s="232"/>
    </row>
    <row r="3291" spans="3:20">
      <c r="C3291" s="232"/>
      <c r="E3291" s="232"/>
      <c r="G3291" s="232"/>
      <c r="I3291" s="232"/>
      <c r="K3291" s="232"/>
      <c r="M3291" s="232"/>
      <c r="P3291" s="232"/>
      <c r="R3291" s="232"/>
      <c r="T3291" s="232"/>
    </row>
    <row r="3292" spans="3:20">
      <c r="C3292" s="232"/>
      <c r="E3292" s="232"/>
      <c r="G3292" s="232"/>
      <c r="I3292" s="232"/>
      <c r="K3292" s="232"/>
      <c r="M3292" s="232"/>
      <c r="P3292" s="232"/>
      <c r="R3292" s="232"/>
      <c r="T3292" s="232"/>
    </row>
    <row r="3293" spans="3:20">
      <c r="C3293" s="232"/>
      <c r="E3293" s="232"/>
      <c r="G3293" s="232"/>
      <c r="I3293" s="232"/>
      <c r="K3293" s="232"/>
      <c r="M3293" s="232"/>
      <c r="P3293" s="232"/>
      <c r="R3293" s="232"/>
      <c r="T3293" s="232"/>
    </row>
    <row r="3294" spans="3:20">
      <c r="C3294" s="232"/>
      <c r="E3294" s="232"/>
      <c r="G3294" s="232"/>
      <c r="I3294" s="232"/>
      <c r="K3294" s="232"/>
      <c r="M3294" s="232"/>
      <c r="P3294" s="232"/>
      <c r="R3294" s="232"/>
      <c r="T3294" s="232"/>
    </row>
    <row r="3295" spans="3:20">
      <c r="C3295" s="232"/>
      <c r="E3295" s="232"/>
      <c r="G3295" s="232"/>
      <c r="I3295" s="232"/>
      <c r="K3295" s="232"/>
      <c r="M3295" s="232"/>
      <c r="P3295" s="232"/>
      <c r="R3295" s="232"/>
      <c r="T3295" s="232"/>
    </row>
    <row r="3296" spans="3:20">
      <c r="C3296" s="232"/>
      <c r="E3296" s="232"/>
      <c r="G3296" s="232"/>
      <c r="I3296" s="232"/>
      <c r="K3296" s="232"/>
      <c r="M3296" s="232"/>
      <c r="P3296" s="232"/>
      <c r="R3296" s="232"/>
      <c r="T3296" s="232"/>
    </row>
    <row r="3297" spans="3:20">
      <c r="C3297" s="232"/>
      <c r="E3297" s="232"/>
      <c r="G3297" s="232"/>
      <c r="I3297" s="232"/>
      <c r="K3297" s="232"/>
      <c r="M3297" s="232"/>
      <c r="P3297" s="232"/>
      <c r="R3297" s="232"/>
      <c r="T3297" s="232"/>
    </row>
    <row r="3298" spans="3:20">
      <c r="C3298" s="232"/>
      <c r="E3298" s="232"/>
      <c r="G3298" s="232"/>
      <c r="I3298" s="232"/>
      <c r="K3298" s="232"/>
      <c r="M3298" s="232"/>
      <c r="P3298" s="232"/>
      <c r="R3298" s="232"/>
      <c r="T3298" s="232"/>
    </row>
    <row r="3299" spans="3:20">
      <c r="C3299" s="232"/>
      <c r="E3299" s="232"/>
      <c r="G3299" s="232"/>
      <c r="I3299" s="232"/>
      <c r="K3299" s="232"/>
      <c r="M3299" s="232"/>
      <c r="P3299" s="232"/>
      <c r="R3299" s="232"/>
      <c r="T3299" s="232"/>
    </row>
    <row r="3300" spans="3:20">
      <c r="C3300" s="232"/>
      <c r="E3300" s="232"/>
      <c r="G3300" s="232"/>
      <c r="I3300" s="232"/>
      <c r="K3300" s="232"/>
      <c r="M3300" s="232"/>
      <c r="P3300" s="232"/>
      <c r="R3300" s="232"/>
      <c r="T3300" s="232"/>
    </row>
    <row r="3301" spans="3:20">
      <c r="C3301" s="232"/>
      <c r="E3301" s="232"/>
      <c r="G3301" s="232"/>
      <c r="I3301" s="232"/>
      <c r="K3301" s="232"/>
      <c r="M3301" s="232"/>
      <c r="P3301" s="232"/>
      <c r="R3301" s="232"/>
      <c r="T3301" s="232"/>
    </row>
    <row r="3302" spans="3:20">
      <c r="C3302" s="232"/>
      <c r="E3302" s="232"/>
      <c r="G3302" s="232"/>
      <c r="I3302" s="232"/>
      <c r="K3302" s="232"/>
      <c r="M3302" s="232"/>
      <c r="P3302" s="232"/>
      <c r="R3302" s="232"/>
      <c r="T3302" s="232"/>
    </row>
    <row r="3303" spans="3:20">
      <c r="C3303" s="232"/>
      <c r="E3303" s="232"/>
      <c r="G3303" s="232"/>
      <c r="I3303" s="232"/>
      <c r="K3303" s="232"/>
      <c r="M3303" s="232"/>
      <c r="P3303" s="232"/>
      <c r="R3303" s="232"/>
      <c r="T3303" s="232"/>
    </row>
    <row r="3304" spans="3:20">
      <c r="C3304" s="232"/>
      <c r="E3304" s="232"/>
      <c r="G3304" s="232"/>
      <c r="I3304" s="232"/>
      <c r="K3304" s="232"/>
      <c r="M3304" s="232"/>
      <c r="P3304" s="232"/>
      <c r="R3304" s="232"/>
      <c r="T3304" s="232"/>
    </row>
    <row r="3305" spans="3:20">
      <c r="C3305" s="232"/>
      <c r="E3305" s="232"/>
      <c r="G3305" s="232"/>
      <c r="I3305" s="232"/>
      <c r="K3305" s="232"/>
      <c r="M3305" s="232"/>
      <c r="P3305" s="232"/>
      <c r="R3305" s="232"/>
      <c r="T3305" s="232"/>
    </row>
    <row r="3306" spans="3:20">
      <c r="C3306" s="232"/>
      <c r="E3306" s="232"/>
      <c r="G3306" s="232"/>
      <c r="I3306" s="232"/>
      <c r="K3306" s="232"/>
      <c r="M3306" s="232"/>
      <c r="P3306" s="232"/>
      <c r="R3306" s="232"/>
      <c r="T3306" s="232"/>
    </row>
    <row r="3307" spans="3:20">
      <c r="C3307" s="232"/>
      <c r="E3307" s="232"/>
      <c r="G3307" s="232"/>
      <c r="I3307" s="232"/>
      <c r="K3307" s="232"/>
      <c r="M3307" s="232"/>
      <c r="P3307" s="232"/>
      <c r="R3307" s="232"/>
      <c r="T3307" s="232"/>
    </row>
    <row r="3308" spans="3:20">
      <c r="C3308" s="232"/>
      <c r="E3308" s="232"/>
      <c r="G3308" s="232"/>
      <c r="I3308" s="232"/>
      <c r="K3308" s="232"/>
      <c r="M3308" s="232"/>
      <c r="P3308" s="232"/>
      <c r="R3308" s="232"/>
      <c r="T3308" s="232"/>
    </row>
    <row r="3309" spans="3:20">
      <c r="C3309" s="232"/>
      <c r="E3309" s="232"/>
      <c r="G3309" s="232"/>
      <c r="I3309" s="232"/>
      <c r="K3309" s="232"/>
      <c r="M3309" s="232"/>
      <c r="P3309" s="232"/>
      <c r="R3309" s="232"/>
      <c r="T3309" s="232"/>
    </row>
    <row r="3310" spans="3:20">
      <c r="C3310" s="232"/>
      <c r="E3310" s="232"/>
      <c r="G3310" s="232"/>
      <c r="I3310" s="232"/>
      <c r="K3310" s="232"/>
      <c r="M3310" s="232"/>
      <c r="P3310" s="232"/>
      <c r="R3310" s="232"/>
      <c r="T3310" s="232"/>
    </row>
    <row r="3311" spans="3:20">
      <c r="C3311" s="232"/>
      <c r="E3311" s="232"/>
      <c r="G3311" s="232"/>
      <c r="I3311" s="232"/>
      <c r="K3311" s="232"/>
      <c r="M3311" s="232"/>
      <c r="P3311" s="232"/>
      <c r="R3311" s="232"/>
      <c r="T3311" s="232"/>
    </row>
    <row r="3312" spans="3:20">
      <c r="C3312" s="232"/>
      <c r="E3312" s="232"/>
      <c r="G3312" s="232"/>
      <c r="I3312" s="232"/>
      <c r="K3312" s="232"/>
      <c r="M3312" s="232"/>
      <c r="P3312" s="232"/>
      <c r="R3312" s="232"/>
      <c r="T3312" s="232"/>
    </row>
    <row r="3313" spans="3:20">
      <c r="C3313" s="232"/>
      <c r="E3313" s="232"/>
      <c r="G3313" s="232"/>
      <c r="I3313" s="232"/>
      <c r="K3313" s="232"/>
      <c r="M3313" s="232"/>
      <c r="P3313" s="232"/>
      <c r="R3313" s="232"/>
      <c r="T3313" s="232"/>
    </row>
    <row r="3314" spans="3:20">
      <c r="C3314" s="232"/>
      <c r="E3314" s="232"/>
      <c r="G3314" s="232"/>
      <c r="I3314" s="232"/>
      <c r="K3314" s="232"/>
      <c r="M3314" s="232"/>
      <c r="P3314" s="232"/>
      <c r="R3314" s="232"/>
      <c r="T3314" s="232"/>
    </row>
    <row r="3315" spans="3:20">
      <c r="C3315" s="232"/>
      <c r="E3315" s="232"/>
      <c r="G3315" s="232"/>
      <c r="I3315" s="232"/>
      <c r="K3315" s="232"/>
      <c r="M3315" s="232"/>
      <c r="P3315" s="232"/>
      <c r="R3315" s="232"/>
      <c r="T3315" s="232"/>
    </row>
    <row r="3316" spans="3:20">
      <c r="C3316" s="232"/>
      <c r="E3316" s="232"/>
      <c r="G3316" s="232"/>
      <c r="I3316" s="232"/>
      <c r="K3316" s="232"/>
      <c r="M3316" s="232"/>
      <c r="P3316" s="232"/>
      <c r="R3316" s="232"/>
      <c r="T3316" s="232"/>
    </row>
    <row r="3317" spans="3:20">
      <c r="C3317" s="232"/>
      <c r="E3317" s="232"/>
      <c r="G3317" s="232"/>
      <c r="I3317" s="232"/>
      <c r="K3317" s="232"/>
      <c r="M3317" s="232"/>
      <c r="P3317" s="232"/>
      <c r="R3317" s="232"/>
      <c r="T3317" s="232"/>
    </row>
    <row r="3318" spans="3:20">
      <c r="C3318" s="232"/>
      <c r="E3318" s="232"/>
      <c r="G3318" s="232"/>
      <c r="I3318" s="232"/>
      <c r="K3318" s="232"/>
      <c r="M3318" s="232"/>
      <c r="P3318" s="232"/>
      <c r="R3318" s="232"/>
      <c r="T3318" s="232"/>
    </row>
    <row r="3319" spans="3:20">
      <c r="C3319" s="232"/>
      <c r="E3319" s="232"/>
      <c r="G3319" s="232"/>
      <c r="I3319" s="232"/>
      <c r="K3319" s="232"/>
      <c r="M3319" s="232"/>
      <c r="P3319" s="232"/>
      <c r="R3319" s="232"/>
      <c r="T3319" s="232"/>
    </row>
    <row r="3320" spans="3:20">
      <c r="C3320" s="232"/>
      <c r="E3320" s="232"/>
      <c r="G3320" s="232"/>
      <c r="I3320" s="232"/>
      <c r="K3320" s="232"/>
      <c r="M3320" s="232"/>
      <c r="P3320" s="232"/>
      <c r="R3320" s="232"/>
      <c r="T3320" s="232"/>
    </row>
    <row r="3321" spans="3:20">
      <c r="C3321" s="232"/>
      <c r="E3321" s="232"/>
      <c r="G3321" s="232"/>
      <c r="I3321" s="232"/>
      <c r="K3321" s="232"/>
      <c r="M3321" s="232"/>
      <c r="P3321" s="232"/>
      <c r="R3321" s="232"/>
      <c r="T3321" s="232"/>
    </row>
    <row r="3322" spans="3:20">
      <c r="C3322" s="232"/>
      <c r="E3322" s="232"/>
      <c r="G3322" s="232"/>
      <c r="I3322" s="232"/>
      <c r="K3322" s="232"/>
      <c r="M3322" s="232"/>
      <c r="P3322" s="232"/>
      <c r="R3322" s="232"/>
      <c r="T3322" s="232"/>
    </row>
    <row r="3323" spans="3:20">
      <c r="C3323" s="232"/>
      <c r="E3323" s="232"/>
      <c r="G3323" s="232"/>
      <c r="I3323" s="232"/>
      <c r="K3323" s="232"/>
      <c r="M3323" s="232"/>
      <c r="P3323" s="232"/>
      <c r="R3323" s="232"/>
      <c r="T3323" s="232"/>
    </row>
    <row r="3324" spans="3:20">
      <c r="C3324" s="232"/>
      <c r="E3324" s="232"/>
      <c r="G3324" s="232"/>
      <c r="I3324" s="232"/>
      <c r="K3324" s="232"/>
      <c r="M3324" s="232"/>
      <c r="P3324" s="232"/>
      <c r="R3324" s="232"/>
      <c r="T3324" s="232"/>
    </row>
    <row r="3325" spans="3:20">
      <c r="C3325" s="232"/>
      <c r="E3325" s="232"/>
      <c r="G3325" s="232"/>
      <c r="I3325" s="232"/>
      <c r="K3325" s="232"/>
      <c r="M3325" s="232"/>
      <c r="P3325" s="232"/>
      <c r="R3325" s="232"/>
      <c r="T3325" s="232"/>
    </row>
    <row r="3326" spans="3:20">
      <c r="C3326" s="232"/>
      <c r="E3326" s="232"/>
      <c r="G3326" s="232"/>
      <c r="I3326" s="232"/>
      <c r="K3326" s="232"/>
      <c r="M3326" s="232"/>
      <c r="P3326" s="232"/>
      <c r="R3326" s="232"/>
      <c r="T3326" s="232"/>
    </row>
    <row r="3327" spans="3:20">
      <c r="C3327" s="232"/>
      <c r="E3327" s="232"/>
      <c r="G3327" s="232"/>
      <c r="I3327" s="232"/>
      <c r="K3327" s="232"/>
      <c r="M3327" s="232"/>
      <c r="P3327" s="232"/>
      <c r="R3327" s="232"/>
      <c r="T3327" s="232"/>
    </row>
    <row r="3328" spans="3:20">
      <c r="C3328" s="232"/>
      <c r="E3328" s="232"/>
      <c r="G3328" s="232"/>
      <c r="I3328" s="232"/>
      <c r="K3328" s="232"/>
      <c r="M3328" s="232"/>
      <c r="P3328" s="232"/>
      <c r="R3328" s="232"/>
      <c r="T3328" s="232"/>
    </row>
    <row r="3329" spans="3:20">
      <c r="C3329" s="232"/>
      <c r="E3329" s="232"/>
      <c r="G3329" s="232"/>
      <c r="I3329" s="232"/>
      <c r="K3329" s="232"/>
      <c r="M3329" s="232"/>
      <c r="P3329" s="232"/>
      <c r="R3329" s="232"/>
      <c r="T3329" s="232"/>
    </row>
    <row r="3330" spans="3:20">
      <c r="C3330" s="232"/>
      <c r="E3330" s="232"/>
      <c r="G3330" s="232"/>
      <c r="I3330" s="232"/>
      <c r="K3330" s="232"/>
      <c r="M3330" s="232"/>
      <c r="P3330" s="232"/>
      <c r="R3330" s="232"/>
      <c r="T3330" s="232"/>
    </row>
    <row r="3331" spans="3:20">
      <c r="C3331" s="232"/>
      <c r="E3331" s="232"/>
      <c r="G3331" s="232"/>
      <c r="I3331" s="232"/>
      <c r="K3331" s="232"/>
      <c r="M3331" s="232"/>
      <c r="P3331" s="232"/>
      <c r="R3331" s="232"/>
      <c r="T3331" s="232"/>
    </row>
    <row r="3332" spans="3:20">
      <c r="C3332" s="232"/>
      <c r="E3332" s="232"/>
      <c r="G3332" s="232"/>
      <c r="I3332" s="232"/>
      <c r="K3332" s="232"/>
      <c r="M3332" s="232"/>
      <c r="P3332" s="232"/>
      <c r="R3332" s="232"/>
      <c r="T3332" s="232"/>
    </row>
    <row r="3333" spans="3:20">
      <c r="C3333" s="232"/>
      <c r="E3333" s="232"/>
      <c r="G3333" s="232"/>
      <c r="I3333" s="232"/>
      <c r="K3333" s="232"/>
      <c r="M3333" s="232"/>
      <c r="P3333" s="232"/>
      <c r="R3333" s="232"/>
      <c r="T3333" s="232"/>
    </row>
    <row r="3334" spans="3:20">
      <c r="C3334" s="232"/>
      <c r="E3334" s="232"/>
      <c r="G3334" s="232"/>
      <c r="I3334" s="232"/>
      <c r="K3334" s="232"/>
      <c r="M3334" s="232"/>
      <c r="P3334" s="232"/>
      <c r="R3334" s="232"/>
      <c r="T3334" s="232"/>
    </row>
    <row r="3335" spans="3:20">
      <c r="C3335" s="232"/>
      <c r="E3335" s="232"/>
      <c r="G3335" s="232"/>
      <c r="I3335" s="232"/>
      <c r="K3335" s="232"/>
      <c r="M3335" s="232"/>
      <c r="P3335" s="232"/>
      <c r="R3335" s="232"/>
      <c r="T3335" s="232"/>
    </row>
    <row r="3336" spans="3:20">
      <c r="C3336" s="232"/>
      <c r="E3336" s="232"/>
      <c r="G3336" s="232"/>
      <c r="I3336" s="232"/>
      <c r="K3336" s="232"/>
      <c r="M3336" s="232"/>
      <c r="P3336" s="232"/>
      <c r="R3336" s="232"/>
      <c r="T3336" s="232"/>
    </row>
    <row r="3337" spans="3:20">
      <c r="C3337" s="232"/>
      <c r="E3337" s="232"/>
      <c r="G3337" s="232"/>
      <c r="I3337" s="232"/>
      <c r="K3337" s="232"/>
      <c r="M3337" s="232"/>
      <c r="P3337" s="232"/>
      <c r="R3337" s="232"/>
      <c r="T3337" s="232"/>
    </row>
    <row r="3338" spans="3:20">
      <c r="C3338" s="232"/>
      <c r="E3338" s="232"/>
      <c r="G3338" s="232"/>
      <c r="I3338" s="232"/>
      <c r="K3338" s="232"/>
      <c r="M3338" s="232"/>
      <c r="P3338" s="232"/>
      <c r="R3338" s="232"/>
      <c r="T3338" s="232"/>
    </row>
    <row r="3339" spans="3:20">
      <c r="C3339" s="232"/>
      <c r="E3339" s="232"/>
      <c r="G3339" s="232"/>
      <c r="I3339" s="232"/>
      <c r="K3339" s="232"/>
      <c r="M3339" s="232"/>
      <c r="P3339" s="232"/>
      <c r="R3339" s="232"/>
      <c r="T3339" s="232"/>
    </row>
    <row r="3340" spans="3:20">
      <c r="C3340" s="232"/>
      <c r="E3340" s="232"/>
      <c r="G3340" s="232"/>
      <c r="I3340" s="232"/>
      <c r="K3340" s="232"/>
      <c r="M3340" s="232"/>
      <c r="P3340" s="232"/>
      <c r="R3340" s="232"/>
      <c r="T3340" s="232"/>
    </row>
    <row r="3341" spans="3:20">
      <c r="C3341" s="232"/>
      <c r="E3341" s="232"/>
      <c r="G3341" s="232"/>
      <c r="I3341" s="232"/>
      <c r="K3341" s="232"/>
      <c r="M3341" s="232"/>
      <c r="P3341" s="232"/>
      <c r="R3341" s="232"/>
      <c r="T3341" s="232"/>
    </row>
    <row r="3342" spans="3:20">
      <c r="C3342" s="232"/>
      <c r="E3342" s="232"/>
      <c r="G3342" s="232"/>
      <c r="I3342" s="232"/>
      <c r="K3342" s="232"/>
      <c r="M3342" s="232"/>
      <c r="P3342" s="232"/>
      <c r="R3342" s="232"/>
      <c r="T3342" s="232"/>
    </row>
    <row r="3343" spans="3:20">
      <c r="C3343" s="232"/>
      <c r="E3343" s="232"/>
      <c r="G3343" s="232"/>
      <c r="I3343" s="232"/>
      <c r="K3343" s="232"/>
      <c r="M3343" s="232"/>
      <c r="P3343" s="232"/>
      <c r="R3343" s="232"/>
      <c r="T3343" s="232"/>
    </row>
    <row r="3344" spans="3:20">
      <c r="C3344" s="232"/>
      <c r="E3344" s="232"/>
      <c r="G3344" s="232"/>
      <c r="I3344" s="232"/>
      <c r="K3344" s="232"/>
      <c r="M3344" s="232"/>
      <c r="P3344" s="232"/>
      <c r="R3344" s="232"/>
      <c r="T3344" s="232"/>
    </row>
    <row r="3345" spans="3:20">
      <c r="C3345" s="232"/>
      <c r="E3345" s="232"/>
      <c r="G3345" s="232"/>
      <c r="I3345" s="232"/>
      <c r="K3345" s="232"/>
      <c r="M3345" s="232"/>
      <c r="P3345" s="232"/>
      <c r="R3345" s="232"/>
      <c r="T3345" s="232"/>
    </row>
    <row r="3346" spans="3:20">
      <c r="C3346" s="232"/>
      <c r="E3346" s="232"/>
      <c r="G3346" s="232"/>
      <c r="I3346" s="232"/>
      <c r="K3346" s="232"/>
      <c r="M3346" s="232"/>
      <c r="P3346" s="232"/>
      <c r="R3346" s="232"/>
      <c r="T3346" s="232"/>
    </row>
    <row r="3347" spans="3:20">
      <c r="C3347" s="232"/>
      <c r="E3347" s="232"/>
      <c r="G3347" s="232"/>
      <c r="I3347" s="232"/>
      <c r="K3347" s="232"/>
      <c r="M3347" s="232"/>
      <c r="P3347" s="232"/>
      <c r="R3347" s="232"/>
      <c r="T3347" s="232"/>
    </row>
    <row r="3348" spans="3:20">
      <c r="C3348" s="232"/>
      <c r="E3348" s="232"/>
      <c r="G3348" s="232"/>
      <c r="I3348" s="232"/>
      <c r="K3348" s="232"/>
      <c r="M3348" s="232"/>
      <c r="P3348" s="232"/>
      <c r="R3348" s="232"/>
      <c r="T3348" s="232"/>
    </row>
    <row r="3349" spans="3:20">
      <c r="C3349" s="232"/>
      <c r="E3349" s="232"/>
      <c r="G3349" s="232"/>
      <c r="I3349" s="232"/>
      <c r="K3349" s="232"/>
      <c r="M3349" s="232"/>
      <c r="P3349" s="232"/>
      <c r="R3349" s="232"/>
      <c r="T3349" s="232"/>
    </row>
    <row r="3350" spans="3:20">
      <c r="C3350" s="232"/>
      <c r="E3350" s="232"/>
      <c r="G3350" s="232"/>
      <c r="I3350" s="232"/>
      <c r="K3350" s="232"/>
      <c r="M3350" s="232"/>
      <c r="P3350" s="232"/>
      <c r="R3350" s="232"/>
      <c r="T3350" s="232"/>
    </row>
    <row r="3351" spans="3:20">
      <c r="C3351" s="232"/>
      <c r="E3351" s="232"/>
      <c r="G3351" s="232"/>
      <c r="I3351" s="232"/>
      <c r="K3351" s="232"/>
      <c r="M3351" s="232"/>
      <c r="P3351" s="232"/>
      <c r="R3351" s="232"/>
      <c r="T3351" s="232"/>
    </row>
    <row r="3352" spans="3:20">
      <c r="C3352" s="232"/>
      <c r="E3352" s="232"/>
      <c r="G3352" s="232"/>
      <c r="I3352" s="232"/>
      <c r="K3352" s="232"/>
      <c r="M3352" s="232"/>
      <c r="P3352" s="232"/>
      <c r="R3352" s="232"/>
      <c r="T3352" s="232"/>
    </row>
    <row r="3353" spans="3:20">
      <c r="C3353" s="232"/>
      <c r="E3353" s="232"/>
      <c r="G3353" s="232"/>
      <c r="I3353" s="232"/>
      <c r="K3353" s="232"/>
      <c r="M3353" s="232"/>
      <c r="P3353" s="232"/>
      <c r="R3353" s="232"/>
      <c r="T3353" s="232"/>
    </row>
    <row r="3354" spans="3:20">
      <c r="C3354" s="232"/>
      <c r="E3354" s="232"/>
      <c r="G3354" s="232"/>
      <c r="I3354" s="232"/>
      <c r="K3354" s="232"/>
      <c r="M3354" s="232"/>
      <c r="P3354" s="232"/>
      <c r="R3354" s="232"/>
      <c r="T3354" s="232"/>
    </row>
    <row r="3355" spans="3:20">
      <c r="C3355" s="232"/>
      <c r="E3355" s="232"/>
      <c r="G3355" s="232"/>
      <c r="I3355" s="232"/>
      <c r="K3355" s="232"/>
      <c r="M3355" s="232"/>
      <c r="P3355" s="232"/>
      <c r="R3355" s="232"/>
      <c r="T3355" s="232"/>
    </row>
    <row r="3356" spans="3:20">
      <c r="C3356" s="232"/>
      <c r="E3356" s="232"/>
      <c r="G3356" s="232"/>
      <c r="I3356" s="232"/>
      <c r="K3356" s="232"/>
      <c r="M3356" s="232"/>
      <c r="P3356" s="232"/>
      <c r="R3356" s="232"/>
      <c r="T3356" s="232"/>
    </row>
    <row r="3357" spans="3:20">
      <c r="C3357" s="232"/>
      <c r="E3357" s="232"/>
      <c r="G3357" s="232"/>
      <c r="I3357" s="232"/>
      <c r="K3357" s="232"/>
      <c r="M3357" s="232"/>
      <c r="P3357" s="232"/>
      <c r="R3357" s="232"/>
      <c r="T3357" s="232"/>
    </row>
    <row r="3358" spans="3:20">
      <c r="C3358" s="232"/>
      <c r="E3358" s="232"/>
      <c r="G3358" s="232"/>
      <c r="I3358" s="232"/>
      <c r="K3358" s="232"/>
      <c r="M3358" s="232"/>
      <c r="P3358" s="232"/>
      <c r="R3358" s="232"/>
      <c r="T3358" s="232"/>
    </row>
    <row r="3359" spans="3:20">
      <c r="C3359" s="232"/>
      <c r="E3359" s="232"/>
      <c r="G3359" s="232"/>
      <c r="I3359" s="232"/>
      <c r="K3359" s="232"/>
      <c r="M3359" s="232"/>
      <c r="P3359" s="232"/>
      <c r="R3359" s="232"/>
      <c r="T3359" s="232"/>
    </row>
    <row r="3360" spans="3:20">
      <c r="C3360" s="232"/>
      <c r="E3360" s="232"/>
      <c r="G3360" s="232"/>
      <c r="I3360" s="232"/>
      <c r="K3360" s="232"/>
      <c r="M3360" s="232"/>
      <c r="P3360" s="232"/>
      <c r="R3360" s="232"/>
      <c r="T3360" s="232"/>
    </row>
    <row r="3361" spans="3:20">
      <c r="C3361" s="232"/>
      <c r="E3361" s="232"/>
      <c r="G3361" s="232"/>
      <c r="I3361" s="232"/>
      <c r="K3361" s="232"/>
      <c r="M3361" s="232"/>
      <c r="P3361" s="232"/>
      <c r="R3361" s="232"/>
      <c r="T3361" s="232"/>
    </row>
    <row r="3362" spans="3:20">
      <c r="C3362" s="232"/>
      <c r="E3362" s="232"/>
      <c r="G3362" s="232"/>
      <c r="I3362" s="232"/>
      <c r="K3362" s="232"/>
      <c r="M3362" s="232"/>
      <c r="P3362" s="232"/>
      <c r="R3362" s="232"/>
      <c r="T3362" s="232"/>
    </row>
    <row r="3363" spans="3:20">
      <c r="C3363" s="232"/>
      <c r="E3363" s="232"/>
      <c r="G3363" s="232"/>
      <c r="I3363" s="232"/>
      <c r="K3363" s="232"/>
      <c r="M3363" s="232"/>
      <c r="P3363" s="232"/>
      <c r="R3363" s="232"/>
      <c r="T3363" s="232"/>
    </row>
    <row r="3364" spans="3:20">
      <c r="C3364" s="232"/>
      <c r="E3364" s="232"/>
      <c r="G3364" s="232"/>
      <c r="I3364" s="232"/>
      <c r="K3364" s="232"/>
      <c r="M3364" s="232"/>
      <c r="P3364" s="232"/>
      <c r="R3364" s="232"/>
      <c r="T3364" s="232"/>
    </row>
    <row r="3365" spans="3:20">
      <c r="C3365" s="232"/>
      <c r="E3365" s="232"/>
      <c r="G3365" s="232"/>
      <c r="I3365" s="232"/>
      <c r="K3365" s="232"/>
      <c r="M3365" s="232"/>
      <c r="P3365" s="232"/>
      <c r="R3365" s="232"/>
      <c r="T3365" s="232"/>
    </row>
    <row r="3366" spans="3:20">
      <c r="C3366" s="232"/>
      <c r="E3366" s="232"/>
      <c r="G3366" s="232"/>
      <c r="I3366" s="232"/>
      <c r="K3366" s="232"/>
      <c r="M3366" s="232"/>
      <c r="P3366" s="232"/>
      <c r="R3366" s="232"/>
      <c r="T3366" s="232"/>
    </row>
    <row r="3367" spans="3:20">
      <c r="C3367" s="232"/>
      <c r="E3367" s="232"/>
      <c r="G3367" s="232"/>
      <c r="I3367" s="232"/>
      <c r="K3367" s="232"/>
      <c r="M3367" s="232"/>
      <c r="P3367" s="232"/>
      <c r="R3367" s="232"/>
      <c r="T3367" s="232"/>
    </row>
    <row r="3368" spans="3:20">
      <c r="C3368" s="232"/>
      <c r="E3368" s="232"/>
      <c r="G3368" s="232"/>
      <c r="I3368" s="232"/>
      <c r="K3368" s="232"/>
      <c r="M3368" s="232"/>
      <c r="P3368" s="232"/>
      <c r="R3368" s="232"/>
      <c r="T3368" s="232"/>
    </row>
    <row r="3369" spans="3:20">
      <c r="C3369" s="232"/>
      <c r="E3369" s="232"/>
      <c r="G3369" s="232"/>
      <c r="I3369" s="232"/>
      <c r="K3369" s="232"/>
      <c r="M3369" s="232"/>
      <c r="P3369" s="232"/>
      <c r="R3369" s="232"/>
      <c r="T3369" s="232"/>
    </row>
    <row r="3370" spans="3:20">
      <c r="C3370" s="232"/>
      <c r="E3370" s="232"/>
      <c r="G3370" s="232"/>
      <c r="I3370" s="232"/>
      <c r="K3370" s="232"/>
      <c r="M3370" s="232"/>
      <c r="P3370" s="232"/>
      <c r="R3370" s="232"/>
      <c r="T3370" s="232"/>
    </row>
    <row r="3371" spans="3:20">
      <c r="C3371" s="232"/>
      <c r="E3371" s="232"/>
      <c r="G3371" s="232"/>
      <c r="I3371" s="232"/>
      <c r="K3371" s="232"/>
      <c r="M3371" s="232"/>
      <c r="P3371" s="232"/>
      <c r="R3371" s="232"/>
      <c r="T3371" s="232"/>
    </row>
    <row r="3372" spans="3:20">
      <c r="C3372" s="232"/>
      <c r="E3372" s="232"/>
      <c r="G3372" s="232"/>
      <c r="I3372" s="232"/>
      <c r="K3372" s="232"/>
      <c r="M3372" s="232"/>
      <c r="P3372" s="232"/>
      <c r="R3372" s="232"/>
      <c r="T3372" s="232"/>
    </row>
    <row r="3373" spans="3:20">
      <c r="C3373" s="232"/>
      <c r="E3373" s="232"/>
      <c r="G3373" s="232"/>
      <c r="I3373" s="232"/>
      <c r="K3373" s="232"/>
      <c r="M3373" s="232"/>
      <c r="P3373" s="232"/>
      <c r="R3373" s="232"/>
      <c r="T3373" s="232"/>
    </row>
    <row r="3374" spans="3:20">
      <c r="C3374" s="232"/>
      <c r="E3374" s="232"/>
      <c r="G3374" s="232"/>
      <c r="I3374" s="232"/>
      <c r="K3374" s="232"/>
      <c r="M3374" s="232"/>
      <c r="P3374" s="232"/>
      <c r="R3374" s="232"/>
      <c r="T3374" s="232"/>
    </row>
    <row r="3375" spans="3:20">
      <c r="C3375" s="232"/>
      <c r="E3375" s="232"/>
      <c r="G3375" s="232"/>
      <c r="I3375" s="232"/>
      <c r="K3375" s="232"/>
      <c r="M3375" s="232"/>
      <c r="P3375" s="232"/>
      <c r="R3375" s="232"/>
      <c r="T3375" s="232"/>
    </row>
    <row r="3376" spans="3:20">
      <c r="C3376" s="232"/>
      <c r="E3376" s="232"/>
      <c r="G3376" s="232"/>
      <c r="I3376" s="232"/>
      <c r="K3376" s="232"/>
      <c r="M3376" s="232"/>
      <c r="P3376" s="232"/>
      <c r="R3376" s="232"/>
      <c r="T3376" s="232"/>
    </row>
    <row r="3377" spans="3:20">
      <c r="C3377" s="232"/>
      <c r="E3377" s="232"/>
      <c r="G3377" s="232"/>
      <c r="I3377" s="232"/>
      <c r="K3377" s="232"/>
      <c r="M3377" s="232"/>
      <c r="P3377" s="232"/>
      <c r="R3377" s="232"/>
      <c r="T3377" s="232"/>
    </row>
    <row r="3378" spans="3:20">
      <c r="C3378" s="232"/>
      <c r="E3378" s="232"/>
      <c r="G3378" s="232"/>
      <c r="I3378" s="232"/>
      <c r="K3378" s="232"/>
      <c r="M3378" s="232"/>
      <c r="P3378" s="232"/>
      <c r="R3378" s="232"/>
      <c r="T3378" s="232"/>
    </row>
    <row r="3379" spans="3:20">
      <c r="C3379" s="232"/>
      <c r="E3379" s="232"/>
      <c r="G3379" s="232"/>
      <c r="I3379" s="232"/>
      <c r="K3379" s="232"/>
      <c r="M3379" s="232"/>
      <c r="P3379" s="232"/>
      <c r="R3379" s="232"/>
      <c r="T3379" s="232"/>
    </row>
    <row r="3380" spans="3:20">
      <c r="C3380" s="232"/>
      <c r="E3380" s="232"/>
      <c r="G3380" s="232"/>
      <c r="I3380" s="232"/>
      <c r="K3380" s="232"/>
      <c r="M3380" s="232"/>
      <c r="P3380" s="232"/>
      <c r="R3380" s="232"/>
      <c r="T3380" s="232"/>
    </row>
    <row r="3381" spans="3:20">
      <c r="C3381" s="232"/>
      <c r="E3381" s="232"/>
      <c r="G3381" s="232"/>
      <c r="I3381" s="232"/>
      <c r="K3381" s="232"/>
      <c r="M3381" s="232"/>
      <c r="P3381" s="232"/>
      <c r="R3381" s="232"/>
      <c r="T3381" s="232"/>
    </row>
    <row r="3382" spans="3:20">
      <c r="C3382" s="232"/>
      <c r="E3382" s="232"/>
      <c r="G3382" s="232"/>
      <c r="I3382" s="232"/>
      <c r="K3382" s="232"/>
      <c r="M3382" s="232"/>
      <c r="P3382" s="232"/>
      <c r="R3382" s="232"/>
      <c r="T3382" s="232"/>
    </row>
    <row r="3383" spans="3:20">
      <c r="C3383" s="232"/>
      <c r="E3383" s="232"/>
      <c r="G3383" s="232"/>
      <c r="I3383" s="232"/>
      <c r="K3383" s="232"/>
      <c r="M3383" s="232"/>
      <c r="P3383" s="232"/>
      <c r="R3383" s="232"/>
      <c r="T3383" s="232"/>
    </row>
    <row r="3384" spans="3:20">
      <c r="C3384" s="232"/>
      <c r="E3384" s="232"/>
      <c r="G3384" s="232"/>
      <c r="I3384" s="232"/>
      <c r="K3384" s="232"/>
      <c r="M3384" s="232"/>
      <c r="P3384" s="232"/>
      <c r="R3384" s="232"/>
      <c r="T3384" s="232"/>
    </row>
    <row r="3385" spans="3:20">
      <c r="C3385" s="232"/>
      <c r="E3385" s="232"/>
      <c r="G3385" s="232"/>
      <c r="I3385" s="232"/>
      <c r="K3385" s="232"/>
      <c r="M3385" s="232"/>
      <c r="P3385" s="232"/>
      <c r="R3385" s="232"/>
      <c r="T3385" s="232"/>
    </row>
    <row r="3386" spans="3:20">
      <c r="C3386" s="232"/>
      <c r="E3386" s="232"/>
      <c r="G3386" s="232"/>
      <c r="I3386" s="232"/>
      <c r="K3386" s="232"/>
      <c r="M3386" s="232"/>
      <c r="P3386" s="232"/>
      <c r="R3386" s="232"/>
      <c r="T3386" s="232"/>
    </row>
    <row r="3387" spans="3:20">
      <c r="C3387" s="232"/>
      <c r="E3387" s="232"/>
      <c r="G3387" s="232"/>
      <c r="I3387" s="232"/>
      <c r="K3387" s="232"/>
      <c r="M3387" s="232"/>
      <c r="P3387" s="232"/>
      <c r="R3387" s="232"/>
      <c r="T3387" s="232"/>
    </row>
    <row r="3388" spans="3:20">
      <c r="C3388" s="232"/>
      <c r="E3388" s="232"/>
      <c r="G3388" s="232"/>
      <c r="I3388" s="232"/>
      <c r="K3388" s="232"/>
      <c r="M3388" s="232"/>
      <c r="P3388" s="232"/>
      <c r="R3388" s="232"/>
      <c r="T3388" s="232"/>
    </row>
    <row r="3389" spans="3:20">
      <c r="C3389" s="232"/>
      <c r="E3389" s="232"/>
      <c r="G3389" s="232"/>
      <c r="I3389" s="232"/>
      <c r="K3389" s="232"/>
      <c r="M3389" s="232"/>
      <c r="P3389" s="232"/>
      <c r="R3389" s="232"/>
      <c r="T3389" s="232"/>
    </row>
    <row r="3390" spans="3:20">
      <c r="C3390" s="232"/>
      <c r="E3390" s="232"/>
      <c r="G3390" s="232"/>
      <c r="I3390" s="232"/>
      <c r="K3390" s="232"/>
      <c r="M3390" s="232"/>
      <c r="P3390" s="232"/>
      <c r="R3390" s="232"/>
      <c r="T3390" s="232"/>
    </row>
    <row r="3391" spans="3:20">
      <c r="C3391" s="232"/>
      <c r="E3391" s="232"/>
      <c r="G3391" s="232"/>
      <c r="I3391" s="232"/>
      <c r="K3391" s="232"/>
      <c r="M3391" s="232"/>
      <c r="P3391" s="232"/>
      <c r="R3391" s="232"/>
      <c r="T3391" s="232"/>
    </row>
    <row r="3392" spans="3:20">
      <c r="C3392" s="232"/>
      <c r="E3392" s="232"/>
      <c r="G3392" s="232"/>
      <c r="I3392" s="232"/>
      <c r="K3392" s="232"/>
      <c r="M3392" s="232"/>
      <c r="P3392" s="232"/>
      <c r="R3392" s="232"/>
      <c r="T3392" s="232"/>
    </row>
    <row r="3393" spans="3:20">
      <c r="C3393" s="232"/>
      <c r="E3393" s="232"/>
      <c r="G3393" s="232"/>
      <c r="I3393" s="232"/>
      <c r="K3393" s="232"/>
      <c r="M3393" s="232"/>
      <c r="P3393" s="232"/>
      <c r="R3393" s="232"/>
      <c r="T3393" s="232"/>
    </row>
    <row r="3394" spans="3:20">
      <c r="C3394" s="232"/>
      <c r="E3394" s="232"/>
      <c r="G3394" s="232"/>
      <c r="I3394" s="232"/>
      <c r="K3394" s="232"/>
      <c r="M3394" s="232"/>
      <c r="P3394" s="232"/>
      <c r="R3394" s="232"/>
      <c r="T3394" s="232"/>
    </row>
    <row r="3395" spans="3:20">
      <c r="C3395" s="232"/>
      <c r="E3395" s="232"/>
      <c r="G3395" s="232"/>
      <c r="I3395" s="232"/>
      <c r="K3395" s="232"/>
      <c r="M3395" s="232"/>
      <c r="P3395" s="232"/>
      <c r="R3395" s="232"/>
      <c r="T3395" s="232"/>
    </row>
    <row r="3396" spans="3:20">
      <c r="C3396" s="232"/>
      <c r="E3396" s="232"/>
      <c r="G3396" s="232"/>
      <c r="I3396" s="232"/>
      <c r="K3396" s="232"/>
      <c r="M3396" s="232"/>
      <c r="P3396" s="232"/>
      <c r="R3396" s="232"/>
      <c r="T3396" s="232"/>
    </row>
    <row r="3397" spans="3:20">
      <c r="C3397" s="232"/>
      <c r="E3397" s="232"/>
      <c r="G3397" s="232"/>
      <c r="I3397" s="232"/>
      <c r="K3397" s="232"/>
      <c r="M3397" s="232"/>
      <c r="P3397" s="232"/>
      <c r="R3397" s="232"/>
      <c r="T3397" s="232"/>
    </row>
    <row r="3398" spans="3:20">
      <c r="C3398" s="232"/>
      <c r="E3398" s="232"/>
      <c r="G3398" s="232"/>
      <c r="I3398" s="232"/>
      <c r="K3398" s="232"/>
      <c r="M3398" s="232"/>
      <c r="P3398" s="232"/>
      <c r="R3398" s="232"/>
      <c r="T3398" s="232"/>
    </row>
    <row r="3399" spans="3:20">
      <c r="C3399" s="232"/>
      <c r="E3399" s="232"/>
      <c r="G3399" s="232"/>
      <c r="I3399" s="232"/>
      <c r="K3399" s="232"/>
      <c r="M3399" s="232"/>
      <c r="P3399" s="232"/>
      <c r="R3399" s="232"/>
      <c r="T3399" s="232"/>
    </row>
    <row r="3400" spans="3:20">
      <c r="C3400" s="232"/>
      <c r="E3400" s="232"/>
      <c r="G3400" s="232"/>
      <c r="I3400" s="232"/>
      <c r="K3400" s="232"/>
      <c r="M3400" s="232"/>
      <c r="P3400" s="232"/>
      <c r="R3400" s="232"/>
      <c r="T3400" s="232"/>
    </row>
    <row r="3401" spans="3:20">
      <c r="C3401" s="232"/>
      <c r="E3401" s="232"/>
      <c r="G3401" s="232"/>
      <c r="I3401" s="232"/>
      <c r="K3401" s="232"/>
      <c r="M3401" s="232"/>
      <c r="P3401" s="232"/>
      <c r="R3401" s="232"/>
      <c r="T3401" s="232"/>
    </row>
    <row r="3402" spans="3:20">
      <c r="C3402" s="232"/>
      <c r="E3402" s="232"/>
      <c r="G3402" s="232"/>
      <c r="I3402" s="232"/>
      <c r="K3402" s="232"/>
      <c r="M3402" s="232"/>
      <c r="P3402" s="232"/>
      <c r="R3402" s="232"/>
      <c r="T3402" s="232"/>
    </row>
    <row r="3403" spans="3:20">
      <c r="C3403" s="232"/>
      <c r="E3403" s="232"/>
      <c r="G3403" s="232"/>
      <c r="I3403" s="232"/>
      <c r="K3403" s="232"/>
      <c r="M3403" s="232"/>
      <c r="P3403" s="232"/>
      <c r="R3403" s="232"/>
      <c r="T3403" s="232"/>
    </row>
    <row r="3404" spans="3:20">
      <c r="C3404" s="232"/>
      <c r="E3404" s="232"/>
      <c r="G3404" s="232"/>
      <c r="I3404" s="232"/>
      <c r="K3404" s="232"/>
      <c r="M3404" s="232"/>
      <c r="P3404" s="232"/>
      <c r="R3404" s="232"/>
      <c r="T3404" s="232"/>
    </row>
    <row r="3405" spans="3:20">
      <c r="C3405" s="232"/>
      <c r="E3405" s="232"/>
      <c r="G3405" s="232"/>
      <c r="I3405" s="232"/>
      <c r="K3405" s="232"/>
      <c r="M3405" s="232"/>
      <c r="P3405" s="232"/>
      <c r="R3405" s="232"/>
      <c r="T3405" s="232"/>
    </row>
    <row r="3406" spans="3:20">
      <c r="C3406" s="232"/>
      <c r="E3406" s="232"/>
      <c r="G3406" s="232"/>
      <c r="I3406" s="232"/>
      <c r="K3406" s="232"/>
      <c r="M3406" s="232"/>
      <c r="P3406" s="232"/>
      <c r="R3406" s="232"/>
      <c r="T3406" s="232"/>
    </row>
    <row r="3407" spans="3:20">
      <c r="C3407" s="232"/>
      <c r="E3407" s="232"/>
      <c r="G3407" s="232"/>
      <c r="I3407" s="232"/>
      <c r="K3407" s="232"/>
      <c r="M3407" s="232"/>
      <c r="P3407" s="232"/>
      <c r="R3407" s="232"/>
      <c r="T3407" s="232"/>
    </row>
    <row r="3408" spans="3:20">
      <c r="C3408" s="232"/>
      <c r="E3408" s="232"/>
      <c r="G3408" s="232"/>
      <c r="I3408" s="232"/>
      <c r="K3408" s="232"/>
      <c r="M3408" s="232"/>
      <c r="P3408" s="232"/>
      <c r="R3408" s="232"/>
      <c r="T3408" s="232"/>
    </row>
    <row r="3409" spans="3:20">
      <c r="C3409" s="232"/>
      <c r="E3409" s="232"/>
      <c r="G3409" s="232"/>
      <c r="I3409" s="232"/>
      <c r="K3409" s="232"/>
      <c r="M3409" s="232"/>
      <c r="P3409" s="232"/>
      <c r="R3409" s="232"/>
      <c r="T3409" s="232"/>
    </row>
    <row r="3410" spans="3:20">
      <c r="C3410" s="232"/>
      <c r="E3410" s="232"/>
      <c r="G3410" s="232"/>
      <c r="I3410" s="232"/>
      <c r="K3410" s="232"/>
      <c r="M3410" s="232"/>
      <c r="P3410" s="232"/>
      <c r="R3410" s="232"/>
      <c r="T3410" s="232"/>
    </row>
    <row r="3411" spans="3:20">
      <c r="C3411" s="232"/>
      <c r="E3411" s="232"/>
      <c r="G3411" s="232"/>
      <c r="I3411" s="232"/>
      <c r="K3411" s="232"/>
      <c r="M3411" s="232"/>
      <c r="P3411" s="232"/>
      <c r="R3411" s="232"/>
      <c r="T3411" s="232"/>
    </row>
    <row r="3412" spans="3:20">
      <c r="C3412" s="232"/>
      <c r="E3412" s="232"/>
      <c r="G3412" s="232"/>
      <c r="I3412" s="232"/>
      <c r="K3412" s="232"/>
      <c r="M3412" s="232"/>
      <c r="P3412" s="232"/>
      <c r="R3412" s="232"/>
      <c r="T3412" s="232"/>
    </row>
    <row r="3413" spans="3:20">
      <c r="C3413" s="232"/>
      <c r="E3413" s="232"/>
      <c r="G3413" s="232"/>
      <c r="I3413" s="232"/>
      <c r="K3413" s="232"/>
      <c r="M3413" s="232"/>
      <c r="P3413" s="232"/>
      <c r="R3413" s="232"/>
      <c r="T3413" s="232"/>
    </row>
    <row r="3414" spans="3:20">
      <c r="C3414" s="232"/>
      <c r="E3414" s="232"/>
      <c r="G3414" s="232"/>
      <c r="I3414" s="232"/>
      <c r="K3414" s="232"/>
      <c r="M3414" s="232"/>
      <c r="P3414" s="232"/>
      <c r="R3414" s="232"/>
      <c r="T3414" s="232"/>
    </row>
    <row r="3415" spans="3:20">
      <c r="C3415" s="232"/>
      <c r="E3415" s="232"/>
      <c r="G3415" s="232"/>
      <c r="I3415" s="232"/>
      <c r="K3415" s="232"/>
      <c r="M3415" s="232"/>
      <c r="P3415" s="232"/>
      <c r="R3415" s="232"/>
      <c r="T3415" s="232"/>
    </row>
    <row r="3416" spans="3:20">
      <c r="C3416" s="232"/>
      <c r="E3416" s="232"/>
      <c r="G3416" s="232"/>
      <c r="I3416" s="232"/>
      <c r="K3416" s="232"/>
      <c r="M3416" s="232"/>
      <c r="P3416" s="232"/>
      <c r="R3416" s="232"/>
      <c r="T3416" s="232"/>
    </row>
    <row r="3417" spans="3:20">
      <c r="C3417" s="232"/>
      <c r="E3417" s="232"/>
      <c r="G3417" s="232"/>
      <c r="I3417" s="232"/>
      <c r="K3417" s="232"/>
      <c r="M3417" s="232"/>
      <c r="P3417" s="232"/>
      <c r="R3417" s="232"/>
      <c r="T3417" s="232"/>
    </row>
    <row r="3418" spans="3:20">
      <c r="C3418" s="232"/>
      <c r="E3418" s="232"/>
      <c r="G3418" s="232"/>
      <c r="I3418" s="232"/>
      <c r="K3418" s="232"/>
      <c r="M3418" s="232"/>
      <c r="P3418" s="232"/>
      <c r="R3418" s="232"/>
      <c r="T3418" s="232"/>
    </row>
    <row r="3419" spans="3:20">
      <c r="C3419" s="232"/>
      <c r="E3419" s="232"/>
      <c r="G3419" s="232"/>
      <c r="I3419" s="232"/>
      <c r="K3419" s="232"/>
      <c r="M3419" s="232"/>
      <c r="P3419" s="232"/>
      <c r="R3419" s="232"/>
      <c r="T3419" s="232"/>
    </row>
    <row r="3420" spans="3:20">
      <c r="C3420" s="232"/>
      <c r="E3420" s="232"/>
      <c r="G3420" s="232"/>
      <c r="I3420" s="232"/>
      <c r="K3420" s="232"/>
      <c r="M3420" s="232"/>
      <c r="P3420" s="232"/>
      <c r="R3420" s="232"/>
      <c r="T3420" s="232"/>
    </row>
    <row r="3421" spans="3:20">
      <c r="C3421" s="232"/>
      <c r="E3421" s="232"/>
      <c r="G3421" s="232"/>
      <c r="I3421" s="232"/>
      <c r="K3421" s="232"/>
      <c r="M3421" s="232"/>
      <c r="P3421" s="232"/>
      <c r="R3421" s="232"/>
      <c r="T3421" s="232"/>
    </row>
    <row r="3422" spans="3:20">
      <c r="C3422" s="232"/>
      <c r="E3422" s="232"/>
      <c r="G3422" s="232"/>
      <c r="I3422" s="232"/>
      <c r="K3422" s="232"/>
      <c r="M3422" s="232"/>
      <c r="P3422" s="232"/>
      <c r="R3422" s="232"/>
      <c r="T3422" s="232"/>
    </row>
    <row r="3423" spans="3:20">
      <c r="C3423" s="232"/>
      <c r="E3423" s="232"/>
      <c r="G3423" s="232"/>
      <c r="I3423" s="232"/>
      <c r="K3423" s="232"/>
      <c r="M3423" s="232"/>
      <c r="P3423" s="232"/>
      <c r="R3423" s="232"/>
      <c r="T3423" s="232"/>
    </row>
    <row r="3424" spans="3:20">
      <c r="C3424" s="232"/>
      <c r="E3424" s="232"/>
      <c r="G3424" s="232"/>
      <c r="I3424" s="232"/>
      <c r="K3424" s="232"/>
      <c r="M3424" s="232"/>
      <c r="P3424" s="232"/>
      <c r="R3424" s="232"/>
      <c r="T3424" s="232"/>
    </row>
    <row r="3425" spans="3:20">
      <c r="C3425" s="232"/>
      <c r="E3425" s="232"/>
      <c r="G3425" s="232"/>
      <c r="I3425" s="232"/>
      <c r="K3425" s="232"/>
      <c r="M3425" s="232"/>
      <c r="P3425" s="232"/>
      <c r="R3425" s="232"/>
      <c r="T3425" s="232"/>
    </row>
    <row r="3426" spans="3:20">
      <c r="C3426" s="232"/>
      <c r="E3426" s="232"/>
      <c r="G3426" s="232"/>
      <c r="I3426" s="232"/>
      <c r="K3426" s="232"/>
      <c r="M3426" s="232"/>
      <c r="P3426" s="232"/>
      <c r="R3426" s="232"/>
      <c r="T3426" s="232"/>
    </row>
    <row r="3427" spans="3:20">
      <c r="C3427" s="232"/>
      <c r="E3427" s="232"/>
      <c r="G3427" s="232"/>
      <c r="I3427" s="232"/>
      <c r="K3427" s="232"/>
      <c r="M3427" s="232"/>
      <c r="P3427" s="232"/>
      <c r="R3427" s="232"/>
      <c r="T3427" s="232"/>
    </row>
    <row r="3428" spans="3:20">
      <c r="C3428" s="232"/>
      <c r="E3428" s="232"/>
      <c r="G3428" s="232"/>
      <c r="I3428" s="232"/>
      <c r="K3428" s="232"/>
      <c r="M3428" s="232"/>
      <c r="P3428" s="232"/>
      <c r="R3428" s="232"/>
      <c r="T3428" s="232"/>
    </row>
    <row r="3429" spans="3:20">
      <c r="C3429" s="232"/>
      <c r="E3429" s="232"/>
      <c r="G3429" s="232"/>
      <c r="I3429" s="232"/>
      <c r="K3429" s="232"/>
      <c r="M3429" s="232"/>
      <c r="P3429" s="232"/>
      <c r="R3429" s="232"/>
      <c r="T3429" s="232"/>
    </row>
    <row r="3430" spans="3:20">
      <c r="C3430" s="232"/>
      <c r="E3430" s="232"/>
      <c r="G3430" s="232"/>
      <c r="I3430" s="232"/>
      <c r="K3430" s="232"/>
      <c r="M3430" s="232"/>
      <c r="P3430" s="232"/>
      <c r="R3430" s="232"/>
      <c r="T3430" s="232"/>
    </row>
    <row r="3431" spans="3:20">
      <c r="C3431" s="232"/>
      <c r="E3431" s="232"/>
      <c r="G3431" s="232"/>
      <c r="I3431" s="232"/>
      <c r="K3431" s="232"/>
      <c r="M3431" s="232"/>
      <c r="P3431" s="232"/>
      <c r="R3431" s="232"/>
      <c r="T3431" s="232"/>
    </row>
    <row r="3432" spans="3:20">
      <c r="C3432" s="232"/>
      <c r="E3432" s="232"/>
      <c r="G3432" s="232"/>
      <c r="I3432" s="232"/>
      <c r="K3432" s="232"/>
      <c r="M3432" s="232"/>
      <c r="P3432" s="232"/>
      <c r="R3432" s="232"/>
      <c r="T3432" s="232"/>
    </row>
    <row r="3433" spans="3:20">
      <c r="C3433" s="232"/>
      <c r="E3433" s="232"/>
      <c r="G3433" s="232"/>
      <c r="I3433" s="232"/>
      <c r="K3433" s="232"/>
      <c r="M3433" s="232"/>
      <c r="P3433" s="232"/>
      <c r="R3433" s="232"/>
      <c r="T3433" s="232"/>
    </row>
    <row r="3434" spans="3:20">
      <c r="C3434" s="232"/>
      <c r="E3434" s="232"/>
      <c r="G3434" s="232"/>
      <c r="I3434" s="232"/>
      <c r="K3434" s="232"/>
      <c r="M3434" s="232"/>
      <c r="P3434" s="232"/>
      <c r="R3434" s="232"/>
      <c r="T3434" s="232"/>
    </row>
    <row r="3435" spans="3:20">
      <c r="C3435" s="232"/>
      <c r="E3435" s="232"/>
      <c r="G3435" s="232"/>
      <c r="I3435" s="232"/>
      <c r="K3435" s="232"/>
      <c r="M3435" s="232"/>
      <c r="P3435" s="232"/>
      <c r="R3435" s="232"/>
      <c r="T3435" s="232"/>
    </row>
    <row r="3436" spans="3:20">
      <c r="C3436" s="232"/>
      <c r="E3436" s="232"/>
      <c r="G3436" s="232"/>
      <c r="I3436" s="232"/>
      <c r="K3436" s="232"/>
      <c r="M3436" s="232"/>
      <c r="P3436" s="232"/>
      <c r="R3436" s="232"/>
      <c r="T3436" s="232"/>
    </row>
    <row r="3437" spans="3:20">
      <c r="C3437" s="232"/>
      <c r="E3437" s="232"/>
      <c r="G3437" s="232"/>
      <c r="I3437" s="232"/>
      <c r="K3437" s="232"/>
      <c r="M3437" s="232"/>
      <c r="P3437" s="232"/>
      <c r="R3437" s="232"/>
      <c r="T3437" s="232"/>
    </row>
    <row r="3438" spans="3:20">
      <c r="C3438" s="232"/>
      <c r="E3438" s="232"/>
      <c r="G3438" s="232"/>
      <c r="I3438" s="232"/>
      <c r="K3438" s="232"/>
      <c r="M3438" s="232"/>
      <c r="P3438" s="232"/>
      <c r="R3438" s="232"/>
      <c r="T3438" s="232"/>
    </row>
    <row r="3439" spans="3:20">
      <c r="C3439" s="232"/>
      <c r="E3439" s="232"/>
      <c r="G3439" s="232"/>
      <c r="I3439" s="232"/>
      <c r="K3439" s="232"/>
      <c r="M3439" s="232"/>
      <c r="P3439" s="232"/>
      <c r="R3439" s="232"/>
      <c r="T3439" s="232"/>
    </row>
    <row r="3440" spans="3:20">
      <c r="C3440" s="232"/>
      <c r="E3440" s="232"/>
      <c r="G3440" s="232"/>
      <c r="I3440" s="232"/>
      <c r="K3440" s="232"/>
      <c r="M3440" s="232"/>
      <c r="P3440" s="232"/>
      <c r="R3440" s="232"/>
      <c r="T3440" s="232"/>
    </row>
    <row r="3441" spans="3:20">
      <c r="C3441" s="232"/>
      <c r="E3441" s="232"/>
      <c r="G3441" s="232"/>
      <c r="I3441" s="232"/>
      <c r="K3441" s="232"/>
      <c r="M3441" s="232"/>
      <c r="P3441" s="232"/>
      <c r="R3441" s="232"/>
      <c r="T3441" s="232"/>
    </row>
    <row r="3442" spans="3:20">
      <c r="C3442" s="232"/>
      <c r="E3442" s="232"/>
      <c r="G3442" s="232"/>
      <c r="I3442" s="232"/>
      <c r="K3442" s="232"/>
      <c r="M3442" s="232"/>
      <c r="P3442" s="232"/>
      <c r="R3442" s="232"/>
      <c r="T3442" s="232"/>
    </row>
    <row r="3443" spans="3:20">
      <c r="C3443" s="232"/>
      <c r="E3443" s="232"/>
      <c r="G3443" s="232"/>
      <c r="I3443" s="232"/>
      <c r="K3443" s="232"/>
      <c r="M3443" s="232"/>
      <c r="P3443" s="232"/>
      <c r="R3443" s="232"/>
      <c r="T3443" s="232"/>
    </row>
    <row r="3444" spans="3:20">
      <c r="C3444" s="232"/>
      <c r="E3444" s="232"/>
      <c r="G3444" s="232"/>
      <c r="I3444" s="232"/>
      <c r="K3444" s="232"/>
      <c r="M3444" s="232"/>
      <c r="P3444" s="232"/>
      <c r="R3444" s="232"/>
      <c r="T3444" s="232"/>
    </row>
    <row r="3445" spans="3:20">
      <c r="C3445" s="232"/>
      <c r="E3445" s="232"/>
      <c r="G3445" s="232"/>
      <c r="I3445" s="232"/>
      <c r="K3445" s="232"/>
      <c r="M3445" s="232"/>
      <c r="P3445" s="232"/>
      <c r="R3445" s="232"/>
      <c r="T3445" s="232"/>
    </row>
    <row r="3446" spans="3:20">
      <c r="C3446" s="232"/>
      <c r="E3446" s="232"/>
      <c r="G3446" s="232"/>
      <c r="I3446" s="232"/>
      <c r="K3446" s="232"/>
      <c r="M3446" s="232"/>
      <c r="P3446" s="232"/>
      <c r="R3446" s="232"/>
      <c r="T3446" s="232"/>
    </row>
    <row r="3447" spans="3:20">
      <c r="C3447" s="232"/>
      <c r="E3447" s="232"/>
      <c r="G3447" s="232"/>
      <c r="I3447" s="232"/>
      <c r="K3447" s="232"/>
      <c r="M3447" s="232"/>
      <c r="P3447" s="232"/>
      <c r="R3447" s="232"/>
      <c r="T3447" s="232"/>
    </row>
    <row r="3448" spans="3:20">
      <c r="C3448" s="232"/>
      <c r="E3448" s="232"/>
      <c r="G3448" s="232"/>
      <c r="I3448" s="232"/>
      <c r="K3448" s="232"/>
      <c r="M3448" s="232"/>
      <c r="P3448" s="232"/>
      <c r="R3448" s="232"/>
      <c r="T3448" s="232"/>
    </row>
    <row r="3449" spans="3:20">
      <c r="C3449" s="232"/>
      <c r="E3449" s="232"/>
      <c r="G3449" s="232"/>
      <c r="I3449" s="232"/>
      <c r="K3449" s="232"/>
      <c r="M3449" s="232"/>
      <c r="P3449" s="232"/>
      <c r="R3449" s="232"/>
      <c r="T3449" s="232"/>
    </row>
    <row r="3450" spans="3:20">
      <c r="C3450" s="232"/>
      <c r="E3450" s="232"/>
      <c r="G3450" s="232"/>
      <c r="I3450" s="232"/>
      <c r="K3450" s="232"/>
      <c r="M3450" s="232"/>
      <c r="P3450" s="232"/>
      <c r="R3450" s="232"/>
      <c r="T3450" s="232"/>
    </row>
    <row r="3451" spans="3:20">
      <c r="C3451" s="232"/>
      <c r="E3451" s="232"/>
      <c r="G3451" s="232"/>
      <c r="I3451" s="232"/>
      <c r="K3451" s="232"/>
      <c r="M3451" s="232"/>
      <c r="P3451" s="232"/>
      <c r="R3451" s="232"/>
      <c r="T3451" s="232"/>
    </row>
    <row r="3452" spans="3:20">
      <c r="C3452" s="232"/>
      <c r="E3452" s="232"/>
      <c r="G3452" s="232"/>
      <c r="I3452" s="232"/>
      <c r="K3452" s="232"/>
      <c r="M3452" s="232"/>
      <c r="P3452" s="232"/>
      <c r="R3452" s="232"/>
      <c r="T3452" s="232"/>
    </row>
    <row r="3453" spans="3:20">
      <c r="C3453" s="232"/>
      <c r="E3453" s="232"/>
      <c r="G3453" s="232"/>
      <c r="I3453" s="232"/>
      <c r="K3453" s="232"/>
      <c r="M3453" s="232"/>
      <c r="P3453" s="232"/>
      <c r="R3453" s="232"/>
      <c r="T3453" s="232"/>
    </row>
    <row r="3454" spans="3:20">
      <c r="C3454" s="232"/>
      <c r="E3454" s="232"/>
      <c r="G3454" s="232"/>
      <c r="I3454" s="232"/>
      <c r="K3454" s="232"/>
      <c r="M3454" s="232"/>
      <c r="P3454" s="232"/>
      <c r="R3454" s="232"/>
      <c r="T3454" s="232"/>
    </row>
    <row r="3455" spans="3:20">
      <c r="C3455" s="232"/>
      <c r="E3455" s="232"/>
      <c r="G3455" s="232"/>
      <c r="I3455" s="232"/>
      <c r="K3455" s="232"/>
      <c r="M3455" s="232"/>
      <c r="P3455" s="232"/>
      <c r="R3455" s="232"/>
      <c r="T3455" s="232"/>
    </row>
    <row r="3456" spans="3:20">
      <c r="C3456" s="232"/>
      <c r="E3456" s="232"/>
      <c r="G3456" s="232"/>
      <c r="I3456" s="232"/>
      <c r="K3456" s="232"/>
      <c r="M3456" s="232"/>
      <c r="P3456" s="232"/>
      <c r="R3456" s="232"/>
      <c r="T3456" s="232"/>
    </row>
    <row r="3457" spans="3:20">
      <c r="C3457" s="232"/>
      <c r="E3457" s="232"/>
      <c r="G3457" s="232"/>
      <c r="I3457" s="232"/>
      <c r="K3457" s="232"/>
      <c r="M3457" s="232"/>
      <c r="P3457" s="232"/>
      <c r="R3457" s="232"/>
      <c r="T3457" s="232"/>
    </row>
    <row r="3458" spans="3:20">
      <c r="C3458" s="232"/>
      <c r="E3458" s="232"/>
      <c r="G3458" s="232"/>
      <c r="I3458" s="232"/>
      <c r="K3458" s="232"/>
      <c r="M3458" s="232"/>
      <c r="P3458" s="232"/>
      <c r="R3458" s="232"/>
      <c r="T3458" s="232"/>
    </row>
    <row r="3459" spans="3:20">
      <c r="C3459" s="232"/>
      <c r="E3459" s="232"/>
      <c r="G3459" s="232"/>
      <c r="I3459" s="232"/>
      <c r="K3459" s="232"/>
      <c r="M3459" s="232"/>
      <c r="P3459" s="232"/>
      <c r="R3459" s="232"/>
      <c r="T3459" s="232"/>
    </row>
    <row r="3460" spans="3:20">
      <c r="C3460" s="232"/>
      <c r="E3460" s="232"/>
      <c r="G3460" s="232"/>
      <c r="I3460" s="232"/>
      <c r="K3460" s="232"/>
      <c r="M3460" s="232"/>
      <c r="P3460" s="232"/>
      <c r="R3460" s="232"/>
      <c r="T3460" s="232"/>
    </row>
    <row r="3461" spans="3:20">
      <c r="C3461" s="232"/>
      <c r="E3461" s="232"/>
      <c r="G3461" s="232"/>
      <c r="I3461" s="232"/>
      <c r="K3461" s="232"/>
      <c r="M3461" s="232"/>
      <c r="P3461" s="232"/>
      <c r="R3461" s="232"/>
      <c r="T3461" s="232"/>
    </row>
    <row r="3462" spans="3:20">
      <c r="C3462" s="232"/>
      <c r="E3462" s="232"/>
      <c r="G3462" s="232"/>
      <c r="I3462" s="232"/>
      <c r="K3462" s="232"/>
      <c r="M3462" s="232"/>
      <c r="P3462" s="232"/>
      <c r="R3462" s="232"/>
      <c r="T3462" s="232"/>
    </row>
    <row r="3463" spans="3:20">
      <c r="C3463" s="232"/>
      <c r="E3463" s="232"/>
      <c r="G3463" s="232"/>
      <c r="I3463" s="232"/>
      <c r="K3463" s="232"/>
      <c r="M3463" s="232"/>
      <c r="P3463" s="232"/>
      <c r="R3463" s="232"/>
      <c r="T3463" s="232"/>
    </row>
    <row r="3464" spans="3:20">
      <c r="C3464" s="232"/>
      <c r="E3464" s="232"/>
      <c r="G3464" s="232"/>
      <c r="I3464" s="232"/>
      <c r="K3464" s="232"/>
      <c r="M3464" s="232"/>
      <c r="P3464" s="232"/>
      <c r="R3464" s="232"/>
      <c r="T3464" s="232"/>
    </row>
    <row r="3465" spans="3:20">
      <c r="C3465" s="232"/>
      <c r="E3465" s="232"/>
      <c r="G3465" s="232"/>
      <c r="I3465" s="232"/>
      <c r="K3465" s="232"/>
      <c r="M3465" s="232"/>
      <c r="P3465" s="232"/>
      <c r="R3465" s="232"/>
      <c r="T3465" s="232"/>
    </row>
    <row r="3466" spans="3:20">
      <c r="C3466" s="232"/>
      <c r="E3466" s="232"/>
      <c r="G3466" s="232"/>
      <c r="I3466" s="232"/>
      <c r="K3466" s="232"/>
      <c r="M3466" s="232"/>
      <c r="P3466" s="232"/>
      <c r="R3466" s="232"/>
      <c r="T3466" s="232"/>
    </row>
    <row r="3467" spans="3:20">
      <c r="C3467" s="232"/>
      <c r="E3467" s="232"/>
      <c r="G3467" s="232"/>
      <c r="I3467" s="232"/>
      <c r="K3467" s="232"/>
      <c r="M3467" s="232"/>
      <c r="P3467" s="232"/>
      <c r="R3467" s="232"/>
      <c r="T3467" s="232"/>
    </row>
    <row r="3468" spans="3:20">
      <c r="C3468" s="232"/>
      <c r="E3468" s="232"/>
      <c r="G3468" s="232"/>
      <c r="I3468" s="232"/>
      <c r="K3468" s="232"/>
      <c r="M3468" s="232"/>
      <c r="P3468" s="232"/>
      <c r="R3468" s="232"/>
      <c r="T3468" s="232"/>
    </row>
    <row r="3469" spans="3:20">
      <c r="C3469" s="232"/>
      <c r="E3469" s="232"/>
      <c r="G3469" s="232"/>
      <c r="I3469" s="232"/>
      <c r="K3469" s="232"/>
      <c r="M3469" s="232"/>
      <c r="P3469" s="232"/>
      <c r="R3469" s="232"/>
      <c r="T3469" s="232"/>
    </row>
    <row r="3470" spans="3:20">
      <c r="C3470" s="232"/>
      <c r="E3470" s="232"/>
      <c r="G3470" s="232"/>
      <c r="I3470" s="232"/>
      <c r="K3470" s="232"/>
      <c r="M3470" s="232"/>
      <c r="P3470" s="232"/>
      <c r="R3470" s="232"/>
      <c r="T3470" s="232"/>
    </row>
    <row r="3471" spans="3:20">
      <c r="C3471" s="232"/>
      <c r="E3471" s="232"/>
      <c r="G3471" s="232"/>
      <c r="I3471" s="232"/>
      <c r="K3471" s="232"/>
      <c r="M3471" s="232"/>
      <c r="P3471" s="232"/>
      <c r="R3471" s="232"/>
      <c r="T3471" s="232"/>
    </row>
    <row r="3472" spans="3:20">
      <c r="C3472" s="232"/>
      <c r="E3472" s="232"/>
      <c r="G3472" s="232"/>
      <c r="I3472" s="232"/>
      <c r="K3472" s="232"/>
      <c r="M3472" s="232"/>
      <c r="P3472" s="232"/>
      <c r="R3472" s="232"/>
      <c r="T3472" s="232"/>
    </row>
    <row r="3473" spans="3:20">
      <c r="C3473" s="232"/>
      <c r="E3473" s="232"/>
      <c r="G3473" s="232"/>
      <c r="I3473" s="232"/>
      <c r="K3473" s="232"/>
      <c r="M3473" s="232"/>
      <c r="P3473" s="232"/>
      <c r="R3473" s="232"/>
      <c r="T3473" s="232"/>
    </row>
    <row r="3474" spans="3:20">
      <c r="C3474" s="232"/>
      <c r="E3474" s="232"/>
      <c r="G3474" s="232"/>
      <c r="I3474" s="232"/>
      <c r="K3474" s="232"/>
      <c r="M3474" s="232"/>
      <c r="P3474" s="232"/>
      <c r="R3474" s="232"/>
      <c r="T3474" s="232"/>
    </row>
    <row r="3475" spans="3:20">
      <c r="C3475" s="232"/>
      <c r="E3475" s="232"/>
      <c r="G3475" s="232"/>
      <c r="I3475" s="232"/>
      <c r="K3475" s="232"/>
      <c r="M3475" s="232"/>
      <c r="P3475" s="232"/>
      <c r="R3475" s="232"/>
      <c r="T3475" s="232"/>
    </row>
    <row r="3476" spans="3:20">
      <c r="C3476" s="232"/>
      <c r="E3476" s="232"/>
      <c r="G3476" s="232"/>
      <c r="I3476" s="232"/>
      <c r="K3476" s="232"/>
      <c r="M3476" s="232"/>
      <c r="P3476" s="232"/>
      <c r="R3476" s="232"/>
      <c r="T3476" s="232"/>
    </row>
    <row r="3477" spans="3:20">
      <c r="C3477" s="232"/>
      <c r="E3477" s="232"/>
      <c r="G3477" s="232"/>
      <c r="I3477" s="232"/>
      <c r="K3477" s="232"/>
      <c r="M3477" s="232"/>
      <c r="P3477" s="232"/>
      <c r="R3477" s="232"/>
      <c r="T3477" s="232"/>
    </row>
    <row r="3478" spans="3:20">
      <c r="C3478" s="232"/>
      <c r="E3478" s="232"/>
      <c r="G3478" s="232"/>
      <c r="I3478" s="232"/>
      <c r="K3478" s="232"/>
      <c r="M3478" s="232"/>
      <c r="P3478" s="232"/>
      <c r="R3478" s="232"/>
      <c r="T3478" s="232"/>
    </row>
    <row r="3479" spans="3:20">
      <c r="C3479" s="232"/>
      <c r="E3479" s="232"/>
      <c r="G3479" s="232"/>
      <c r="I3479" s="232"/>
      <c r="K3479" s="232"/>
      <c r="M3479" s="232"/>
      <c r="P3479" s="232"/>
      <c r="R3479" s="232"/>
      <c r="T3479" s="232"/>
    </row>
    <row r="3480" spans="3:20">
      <c r="C3480" s="232"/>
      <c r="E3480" s="232"/>
      <c r="G3480" s="232"/>
      <c r="I3480" s="232"/>
      <c r="K3480" s="232"/>
      <c r="M3480" s="232"/>
      <c r="P3480" s="232"/>
      <c r="R3480" s="232"/>
      <c r="T3480" s="232"/>
    </row>
    <row r="3481" spans="3:20">
      <c r="C3481" s="232"/>
      <c r="E3481" s="232"/>
      <c r="G3481" s="232"/>
      <c r="I3481" s="232"/>
      <c r="K3481" s="232"/>
      <c r="M3481" s="232"/>
      <c r="P3481" s="232"/>
      <c r="R3481" s="232"/>
      <c r="T3481" s="232"/>
    </row>
    <row r="3482" spans="3:20">
      <c r="C3482" s="232"/>
      <c r="E3482" s="232"/>
      <c r="G3482" s="232"/>
      <c r="I3482" s="232"/>
      <c r="K3482" s="232"/>
      <c r="M3482" s="232"/>
      <c r="P3482" s="232"/>
      <c r="R3482" s="232"/>
      <c r="T3482" s="232"/>
    </row>
    <row r="3483" spans="3:20">
      <c r="C3483" s="232"/>
      <c r="E3483" s="232"/>
      <c r="G3483" s="232"/>
      <c r="I3483" s="232"/>
      <c r="K3483" s="232"/>
      <c r="M3483" s="232"/>
      <c r="P3483" s="232"/>
      <c r="R3483" s="232"/>
      <c r="T3483" s="232"/>
    </row>
    <row r="3484" spans="3:20">
      <c r="C3484" s="232"/>
      <c r="E3484" s="232"/>
      <c r="G3484" s="232"/>
      <c r="I3484" s="232"/>
      <c r="K3484" s="232"/>
      <c r="M3484" s="232"/>
      <c r="P3484" s="232"/>
      <c r="R3484" s="232"/>
      <c r="T3484" s="232"/>
    </row>
    <row r="3485" spans="3:20">
      <c r="C3485" s="232"/>
      <c r="E3485" s="232"/>
      <c r="G3485" s="232"/>
      <c r="I3485" s="232"/>
      <c r="K3485" s="232"/>
      <c r="M3485" s="232"/>
      <c r="P3485" s="232"/>
      <c r="R3485" s="232"/>
      <c r="T3485" s="232"/>
    </row>
    <row r="3486" spans="3:20">
      <c r="C3486" s="232"/>
      <c r="E3486" s="232"/>
      <c r="G3486" s="232"/>
      <c r="I3486" s="232"/>
      <c r="K3486" s="232"/>
      <c r="M3486" s="232"/>
      <c r="P3486" s="232"/>
      <c r="R3486" s="232"/>
      <c r="T3486" s="232"/>
    </row>
    <row r="3487" spans="3:20">
      <c r="C3487" s="232"/>
      <c r="E3487" s="232"/>
      <c r="G3487" s="232"/>
      <c r="I3487" s="232"/>
      <c r="K3487" s="232"/>
      <c r="M3487" s="232"/>
      <c r="P3487" s="232"/>
      <c r="R3487" s="232"/>
      <c r="T3487" s="232"/>
    </row>
    <row r="3488" spans="3:20">
      <c r="C3488" s="232"/>
      <c r="E3488" s="232"/>
      <c r="G3488" s="232"/>
      <c r="I3488" s="232"/>
      <c r="K3488" s="232"/>
      <c r="M3488" s="232"/>
      <c r="P3488" s="232"/>
      <c r="R3488" s="232"/>
      <c r="T3488" s="232"/>
    </row>
    <row r="3489" spans="3:20">
      <c r="C3489" s="232"/>
      <c r="E3489" s="232"/>
      <c r="G3489" s="232"/>
      <c r="I3489" s="232"/>
      <c r="K3489" s="232"/>
      <c r="M3489" s="232"/>
      <c r="P3489" s="232"/>
      <c r="R3489" s="232"/>
      <c r="T3489" s="232"/>
    </row>
    <row r="3490" spans="3:20">
      <c r="C3490" s="232"/>
      <c r="E3490" s="232"/>
      <c r="G3490" s="232"/>
      <c r="I3490" s="232"/>
      <c r="K3490" s="232"/>
      <c r="M3490" s="232"/>
      <c r="P3490" s="232"/>
      <c r="R3490" s="232"/>
      <c r="T3490" s="232"/>
    </row>
    <row r="3491" spans="3:20">
      <c r="C3491" s="232"/>
      <c r="E3491" s="232"/>
      <c r="G3491" s="232"/>
      <c r="I3491" s="232"/>
      <c r="K3491" s="232"/>
      <c r="M3491" s="232"/>
      <c r="P3491" s="232"/>
      <c r="R3491" s="232"/>
      <c r="T3491" s="232"/>
    </row>
    <row r="3492" spans="3:20">
      <c r="C3492" s="232"/>
      <c r="E3492" s="232"/>
      <c r="G3492" s="232"/>
      <c r="I3492" s="232"/>
      <c r="K3492" s="232"/>
      <c r="M3492" s="232"/>
      <c r="P3492" s="232"/>
      <c r="R3492" s="232"/>
      <c r="T3492" s="232"/>
    </row>
    <row r="3493" spans="3:20">
      <c r="C3493" s="232"/>
      <c r="E3493" s="232"/>
      <c r="G3493" s="232"/>
      <c r="I3493" s="232"/>
      <c r="K3493" s="232"/>
      <c r="M3493" s="232"/>
      <c r="P3493" s="232"/>
      <c r="R3493" s="232"/>
      <c r="T3493" s="232"/>
    </row>
    <row r="3494" spans="3:20">
      <c r="C3494" s="232"/>
      <c r="E3494" s="232"/>
      <c r="G3494" s="232"/>
      <c r="I3494" s="232"/>
      <c r="K3494" s="232"/>
      <c r="M3494" s="232"/>
      <c r="P3494" s="232"/>
      <c r="R3494" s="232"/>
      <c r="T3494" s="232"/>
    </row>
    <row r="3495" spans="3:20">
      <c r="C3495" s="232"/>
      <c r="E3495" s="232"/>
      <c r="G3495" s="232"/>
      <c r="I3495" s="232"/>
      <c r="K3495" s="232"/>
      <c r="M3495" s="232"/>
      <c r="P3495" s="232"/>
      <c r="R3495" s="232"/>
      <c r="T3495" s="232"/>
    </row>
    <row r="3496" spans="3:20">
      <c r="C3496" s="232"/>
      <c r="E3496" s="232"/>
      <c r="G3496" s="232"/>
      <c r="I3496" s="232"/>
      <c r="K3496" s="232"/>
      <c r="M3496" s="232"/>
      <c r="P3496" s="232"/>
      <c r="R3496" s="232"/>
      <c r="T3496" s="232"/>
    </row>
    <row r="3497" spans="3:20">
      <c r="C3497" s="232"/>
      <c r="E3497" s="232"/>
      <c r="G3497" s="232"/>
      <c r="I3497" s="232"/>
      <c r="K3497" s="232"/>
      <c r="M3497" s="232"/>
      <c r="P3497" s="232"/>
      <c r="R3497" s="232"/>
      <c r="T3497" s="232"/>
    </row>
    <row r="3498" spans="3:20">
      <c r="C3498" s="232"/>
      <c r="E3498" s="232"/>
      <c r="G3498" s="232"/>
      <c r="I3498" s="232"/>
      <c r="K3498" s="232"/>
      <c r="M3498" s="232"/>
      <c r="P3498" s="232"/>
      <c r="R3498" s="232"/>
      <c r="T3498" s="232"/>
    </row>
    <row r="3499" spans="3:20">
      <c r="C3499" s="232"/>
      <c r="E3499" s="232"/>
      <c r="G3499" s="232"/>
      <c r="I3499" s="232"/>
      <c r="K3499" s="232"/>
      <c r="M3499" s="232"/>
      <c r="P3499" s="232"/>
      <c r="R3499" s="232"/>
      <c r="T3499" s="232"/>
    </row>
    <row r="3500" spans="3:20">
      <c r="C3500" s="232"/>
      <c r="E3500" s="232"/>
      <c r="G3500" s="232"/>
      <c r="I3500" s="232"/>
      <c r="K3500" s="232"/>
      <c r="M3500" s="232"/>
      <c r="P3500" s="232"/>
      <c r="R3500" s="232"/>
      <c r="T3500" s="232"/>
    </row>
    <row r="3501" spans="3:20">
      <c r="C3501" s="232"/>
      <c r="E3501" s="232"/>
      <c r="G3501" s="232"/>
      <c r="I3501" s="232"/>
      <c r="K3501" s="232"/>
      <c r="M3501" s="232"/>
      <c r="P3501" s="232"/>
      <c r="R3501" s="232"/>
      <c r="T3501" s="232"/>
    </row>
    <row r="3502" spans="3:20">
      <c r="C3502" s="232"/>
      <c r="E3502" s="232"/>
      <c r="G3502" s="232"/>
      <c r="I3502" s="232"/>
      <c r="K3502" s="232"/>
      <c r="M3502" s="232"/>
      <c r="P3502" s="232"/>
      <c r="R3502" s="232"/>
      <c r="T3502" s="232"/>
    </row>
    <row r="3503" spans="3:20">
      <c r="C3503" s="232"/>
      <c r="E3503" s="232"/>
      <c r="G3503" s="232"/>
      <c r="I3503" s="232"/>
      <c r="K3503" s="232"/>
      <c r="M3503" s="232"/>
      <c r="P3503" s="232"/>
      <c r="R3503" s="232"/>
      <c r="T3503" s="232"/>
    </row>
    <row r="3504" spans="3:20">
      <c r="C3504" s="232"/>
      <c r="E3504" s="232"/>
      <c r="G3504" s="232"/>
      <c r="I3504" s="232"/>
      <c r="K3504" s="232"/>
      <c r="M3504" s="232"/>
      <c r="P3504" s="232"/>
      <c r="R3504" s="232"/>
      <c r="T3504" s="232"/>
    </row>
    <row r="3505" spans="3:20">
      <c r="C3505" s="232"/>
      <c r="E3505" s="232"/>
      <c r="G3505" s="232"/>
      <c r="I3505" s="232"/>
      <c r="K3505" s="232"/>
      <c r="M3505" s="232"/>
      <c r="P3505" s="232"/>
      <c r="R3505" s="232"/>
      <c r="T3505" s="232"/>
    </row>
    <row r="3506" spans="3:20">
      <c r="C3506" s="232"/>
      <c r="E3506" s="232"/>
      <c r="G3506" s="232"/>
      <c r="I3506" s="232"/>
      <c r="K3506" s="232"/>
      <c r="M3506" s="232"/>
      <c r="P3506" s="232"/>
      <c r="R3506" s="232"/>
      <c r="T3506" s="232"/>
    </row>
    <row r="3507" spans="3:20">
      <c r="C3507" s="232"/>
      <c r="E3507" s="232"/>
      <c r="G3507" s="232"/>
      <c r="I3507" s="232"/>
      <c r="K3507" s="232"/>
      <c r="M3507" s="232"/>
      <c r="P3507" s="232"/>
      <c r="R3507" s="232"/>
      <c r="T3507" s="232"/>
    </row>
    <row r="3508" spans="3:20">
      <c r="C3508" s="232"/>
      <c r="E3508" s="232"/>
      <c r="G3508" s="232"/>
      <c r="I3508" s="232"/>
      <c r="K3508" s="232"/>
      <c r="M3508" s="232"/>
      <c r="P3508" s="232"/>
      <c r="R3508" s="232"/>
      <c r="T3508" s="232"/>
    </row>
    <row r="3509" spans="3:20">
      <c r="C3509" s="232"/>
      <c r="E3509" s="232"/>
      <c r="G3509" s="232"/>
      <c r="I3509" s="232"/>
      <c r="K3509" s="232"/>
      <c r="M3509" s="232"/>
      <c r="P3509" s="232"/>
      <c r="R3509" s="232"/>
      <c r="T3509" s="232"/>
    </row>
    <row r="3510" spans="3:20">
      <c r="C3510" s="232"/>
      <c r="E3510" s="232"/>
      <c r="G3510" s="232"/>
      <c r="I3510" s="232"/>
      <c r="K3510" s="232"/>
      <c r="M3510" s="232"/>
      <c r="P3510" s="232"/>
      <c r="R3510" s="232"/>
      <c r="T3510" s="232"/>
    </row>
    <row r="3511" spans="3:20">
      <c r="C3511" s="232"/>
      <c r="E3511" s="232"/>
      <c r="G3511" s="232"/>
      <c r="I3511" s="232"/>
      <c r="K3511" s="232"/>
      <c r="M3511" s="232"/>
      <c r="P3511" s="232"/>
      <c r="R3511" s="232"/>
      <c r="T3511" s="232"/>
    </row>
    <row r="3512" spans="3:20">
      <c r="C3512" s="232"/>
      <c r="E3512" s="232"/>
      <c r="G3512" s="232"/>
      <c r="I3512" s="232"/>
      <c r="K3512" s="232"/>
      <c r="M3512" s="232"/>
      <c r="P3512" s="232"/>
      <c r="R3512" s="232"/>
      <c r="T3512" s="232"/>
    </row>
    <row r="3513" spans="3:20">
      <c r="C3513" s="232"/>
      <c r="E3513" s="232"/>
      <c r="G3513" s="232"/>
      <c r="I3513" s="232"/>
      <c r="K3513" s="232"/>
      <c r="M3513" s="232"/>
      <c r="P3513" s="232"/>
      <c r="R3513" s="232"/>
      <c r="T3513" s="232"/>
    </row>
    <row r="3514" spans="3:20">
      <c r="C3514" s="232"/>
      <c r="E3514" s="232"/>
      <c r="G3514" s="232"/>
      <c r="I3514" s="232"/>
      <c r="K3514" s="232"/>
      <c r="M3514" s="232"/>
      <c r="P3514" s="232"/>
      <c r="R3514" s="232"/>
      <c r="T3514" s="232"/>
    </row>
    <row r="3515" spans="3:20">
      <c r="C3515" s="232"/>
      <c r="E3515" s="232"/>
      <c r="G3515" s="232"/>
      <c r="I3515" s="232"/>
      <c r="K3515" s="232"/>
      <c r="M3515" s="232"/>
      <c r="P3515" s="232"/>
      <c r="R3515" s="232"/>
      <c r="T3515" s="232"/>
    </row>
    <row r="3516" spans="3:20">
      <c r="C3516" s="232"/>
      <c r="E3516" s="232"/>
      <c r="G3516" s="232"/>
      <c r="I3516" s="232"/>
      <c r="K3516" s="232"/>
      <c r="M3516" s="232"/>
      <c r="P3516" s="232"/>
      <c r="R3516" s="232"/>
      <c r="T3516" s="232"/>
    </row>
    <row r="3517" spans="3:20">
      <c r="C3517" s="232"/>
      <c r="E3517" s="232"/>
      <c r="G3517" s="232"/>
      <c r="I3517" s="232"/>
      <c r="K3517" s="232"/>
      <c r="M3517" s="232"/>
      <c r="P3517" s="232"/>
      <c r="R3517" s="232"/>
      <c r="T3517" s="232"/>
    </row>
    <row r="3518" spans="3:20">
      <c r="C3518" s="232"/>
      <c r="E3518" s="232"/>
      <c r="G3518" s="232"/>
      <c r="I3518" s="232"/>
      <c r="K3518" s="232"/>
      <c r="M3518" s="232"/>
      <c r="P3518" s="232"/>
      <c r="R3518" s="232"/>
      <c r="T3518" s="232"/>
    </row>
    <row r="3519" spans="3:20">
      <c r="C3519" s="232"/>
      <c r="E3519" s="232"/>
      <c r="G3519" s="232"/>
      <c r="I3519" s="232"/>
      <c r="K3519" s="232"/>
      <c r="M3519" s="232"/>
      <c r="P3519" s="232"/>
      <c r="R3519" s="232"/>
      <c r="T3519" s="232"/>
    </row>
    <row r="3520" spans="3:20">
      <c r="C3520" s="232"/>
      <c r="E3520" s="232"/>
      <c r="G3520" s="232"/>
      <c r="I3520" s="232"/>
      <c r="K3520" s="232"/>
      <c r="M3520" s="232"/>
      <c r="P3520" s="232"/>
      <c r="R3520" s="232"/>
      <c r="T3520" s="232"/>
    </row>
    <row r="3521" spans="3:20">
      <c r="C3521" s="232"/>
      <c r="E3521" s="232"/>
      <c r="G3521" s="232"/>
      <c r="I3521" s="232"/>
      <c r="K3521" s="232"/>
      <c r="M3521" s="232"/>
      <c r="P3521" s="232"/>
      <c r="R3521" s="232"/>
      <c r="T3521" s="232"/>
    </row>
    <row r="3522" spans="3:20">
      <c r="C3522" s="232"/>
      <c r="E3522" s="232"/>
      <c r="G3522" s="232"/>
      <c r="I3522" s="232"/>
      <c r="K3522" s="232"/>
      <c r="M3522" s="232"/>
      <c r="P3522" s="232"/>
      <c r="R3522" s="232"/>
      <c r="T3522" s="232"/>
    </row>
    <row r="3523" spans="3:20">
      <c r="C3523" s="232"/>
      <c r="E3523" s="232"/>
      <c r="G3523" s="232"/>
      <c r="I3523" s="232"/>
      <c r="K3523" s="232"/>
      <c r="M3523" s="232"/>
      <c r="P3523" s="232"/>
      <c r="R3523" s="232"/>
      <c r="T3523" s="232"/>
    </row>
    <row r="3524" spans="3:20">
      <c r="C3524" s="232"/>
      <c r="E3524" s="232"/>
      <c r="G3524" s="232"/>
      <c r="I3524" s="232"/>
      <c r="K3524" s="232"/>
      <c r="M3524" s="232"/>
      <c r="P3524" s="232"/>
      <c r="R3524" s="232"/>
      <c r="T3524" s="232"/>
    </row>
    <row r="3525" spans="3:20">
      <c r="C3525" s="232"/>
      <c r="E3525" s="232"/>
      <c r="G3525" s="232"/>
      <c r="I3525" s="232"/>
      <c r="K3525" s="232"/>
      <c r="M3525" s="232"/>
      <c r="P3525" s="232"/>
      <c r="R3525" s="232"/>
      <c r="T3525" s="232"/>
    </row>
    <row r="3526" spans="3:20">
      <c r="C3526" s="232"/>
      <c r="E3526" s="232"/>
      <c r="G3526" s="232"/>
      <c r="I3526" s="232"/>
      <c r="K3526" s="232"/>
      <c r="M3526" s="232"/>
      <c r="P3526" s="232"/>
      <c r="R3526" s="232"/>
      <c r="T3526" s="232"/>
    </row>
    <row r="3527" spans="3:20">
      <c r="C3527" s="232"/>
      <c r="E3527" s="232"/>
      <c r="G3527" s="232"/>
      <c r="I3527" s="232"/>
      <c r="K3527" s="232"/>
      <c r="M3527" s="232"/>
      <c r="P3527" s="232"/>
      <c r="R3527" s="232"/>
      <c r="T3527" s="232"/>
    </row>
    <row r="3528" spans="3:20">
      <c r="C3528" s="232"/>
      <c r="E3528" s="232"/>
      <c r="G3528" s="232"/>
      <c r="I3528" s="232"/>
      <c r="K3528" s="232"/>
      <c r="M3528" s="232"/>
      <c r="P3528" s="232"/>
      <c r="R3528" s="232"/>
      <c r="T3528" s="232"/>
    </row>
    <row r="3529" spans="3:20">
      <c r="C3529" s="232"/>
      <c r="E3529" s="232"/>
      <c r="G3529" s="232"/>
      <c r="I3529" s="232"/>
      <c r="K3529" s="232"/>
      <c r="M3529" s="232"/>
      <c r="P3529" s="232"/>
      <c r="R3529" s="232"/>
      <c r="T3529" s="232"/>
    </row>
    <row r="3530" spans="3:20">
      <c r="C3530" s="232"/>
      <c r="E3530" s="232"/>
      <c r="G3530" s="232"/>
      <c r="I3530" s="232"/>
      <c r="K3530" s="232"/>
      <c r="M3530" s="232"/>
      <c r="P3530" s="232"/>
      <c r="R3530" s="232"/>
      <c r="T3530" s="232"/>
    </row>
    <row r="3531" spans="3:20">
      <c r="C3531" s="232"/>
      <c r="E3531" s="232"/>
      <c r="G3531" s="232"/>
      <c r="I3531" s="232"/>
      <c r="K3531" s="232"/>
      <c r="M3531" s="232"/>
      <c r="P3531" s="232"/>
      <c r="R3531" s="232"/>
      <c r="T3531" s="232"/>
    </row>
    <row r="3532" spans="3:20">
      <c r="C3532" s="232"/>
      <c r="E3532" s="232"/>
      <c r="G3532" s="232"/>
      <c r="I3532" s="232"/>
      <c r="K3532" s="232"/>
      <c r="M3532" s="232"/>
      <c r="P3532" s="232"/>
      <c r="R3532" s="232"/>
      <c r="T3532" s="232"/>
    </row>
    <row r="3533" spans="3:20">
      <c r="C3533" s="232"/>
      <c r="E3533" s="232"/>
      <c r="G3533" s="232"/>
      <c r="I3533" s="232"/>
      <c r="K3533" s="232"/>
      <c r="M3533" s="232"/>
      <c r="P3533" s="232"/>
      <c r="R3533" s="232"/>
      <c r="T3533" s="232"/>
    </row>
    <row r="3534" spans="3:20">
      <c r="C3534" s="232"/>
      <c r="E3534" s="232"/>
      <c r="G3534" s="232"/>
      <c r="I3534" s="232"/>
      <c r="K3534" s="232"/>
      <c r="M3534" s="232"/>
      <c r="P3534" s="232"/>
      <c r="R3534" s="232"/>
      <c r="T3534" s="232"/>
    </row>
    <row r="3535" spans="3:20">
      <c r="C3535" s="232"/>
      <c r="E3535" s="232"/>
      <c r="G3535" s="232"/>
      <c r="I3535" s="232"/>
      <c r="K3535" s="232"/>
      <c r="M3535" s="232"/>
      <c r="P3535" s="232"/>
      <c r="R3535" s="232"/>
      <c r="T3535" s="232"/>
    </row>
    <row r="3536" spans="3:20">
      <c r="C3536" s="232"/>
      <c r="E3536" s="232"/>
      <c r="G3536" s="232"/>
      <c r="I3536" s="232"/>
      <c r="K3536" s="232"/>
      <c r="M3536" s="232"/>
      <c r="P3536" s="232"/>
      <c r="R3536" s="232"/>
      <c r="T3536" s="232"/>
    </row>
    <row r="3537" spans="3:20">
      <c r="C3537" s="232"/>
      <c r="E3537" s="232"/>
      <c r="G3537" s="232"/>
      <c r="I3537" s="232"/>
      <c r="K3537" s="232"/>
      <c r="M3537" s="232"/>
      <c r="P3537" s="232"/>
      <c r="R3537" s="232"/>
      <c r="T3537" s="232"/>
    </row>
    <row r="3538" spans="3:20">
      <c r="C3538" s="232"/>
      <c r="E3538" s="232"/>
      <c r="G3538" s="232"/>
      <c r="I3538" s="232"/>
      <c r="K3538" s="232"/>
      <c r="M3538" s="232"/>
      <c r="P3538" s="232"/>
      <c r="R3538" s="232"/>
      <c r="T3538" s="232"/>
    </row>
    <row r="3539" spans="3:20">
      <c r="C3539" s="232"/>
      <c r="E3539" s="232"/>
      <c r="G3539" s="232"/>
      <c r="I3539" s="232"/>
      <c r="K3539" s="232"/>
      <c r="M3539" s="232"/>
      <c r="P3539" s="232"/>
      <c r="R3539" s="232"/>
      <c r="T3539" s="232"/>
    </row>
    <row r="3540" spans="3:20">
      <c r="C3540" s="232"/>
      <c r="E3540" s="232"/>
      <c r="G3540" s="232"/>
      <c r="I3540" s="232"/>
      <c r="K3540" s="232"/>
      <c r="M3540" s="232"/>
      <c r="P3540" s="232"/>
      <c r="R3540" s="232"/>
      <c r="T3540" s="232"/>
    </row>
    <row r="3541" spans="3:20">
      <c r="C3541" s="232"/>
      <c r="E3541" s="232"/>
      <c r="G3541" s="232"/>
      <c r="I3541" s="232"/>
      <c r="K3541" s="232"/>
      <c r="M3541" s="232"/>
      <c r="P3541" s="232"/>
      <c r="R3541" s="232"/>
      <c r="T3541" s="232"/>
    </row>
    <row r="3542" spans="3:20">
      <c r="C3542" s="232"/>
      <c r="E3542" s="232"/>
      <c r="G3542" s="232"/>
      <c r="I3542" s="232"/>
      <c r="K3542" s="232"/>
      <c r="M3542" s="232"/>
      <c r="P3542" s="232"/>
      <c r="R3542" s="232"/>
      <c r="T3542" s="232"/>
    </row>
    <row r="3543" spans="3:20">
      <c r="C3543" s="232"/>
      <c r="E3543" s="232"/>
      <c r="G3543" s="232"/>
      <c r="I3543" s="232"/>
      <c r="K3543" s="232"/>
      <c r="M3543" s="232"/>
      <c r="P3543" s="232"/>
      <c r="R3543" s="232"/>
      <c r="T3543" s="232"/>
    </row>
    <row r="3544" spans="3:20">
      <c r="C3544" s="232"/>
      <c r="E3544" s="232"/>
      <c r="G3544" s="232"/>
      <c r="I3544" s="232"/>
      <c r="K3544" s="232"/>
      <c r="M3544" s="232"/>
      <c r="P3544" s="232"/>
      <c r="R3544" s="232"/>
      <c r="T3544" s="232"/>
    </row>
    <row r="3545" spans="3:20">
      <c r="C3545" s="232"/>
      <c r="E3545" s="232"/>
      <c r="G3545" s="232"/>
      <c r="I3545" s="232"/>
      <c r="K3545" s="232"/>
      <c r="M3545" s="232"/>
      <c r="P3545" s="232"/>
      <c r="R3545" s="232"/>
      <c r="T3545" s="232"/>
    </row>
    <row r="3546" spans="3:20">
      <c r="C3546" s="232"/>
      <c r="E3546" s="232"/>
      <c r="G3546" s="232"/>
      <c r="I3546" s="232"/>
      <c r="K3546" s="232"/>
      <c r="M3546" s="232"/>
      <c r="P3546" s="232"/>
      <c r="R3546" s="232"/>
      <c r="T3546" s="232"/>
    </row>
    <row r="3547" spans="3:20">
      <c r="C3547" s="232"/>
      <c r="E3547" s="232"/>
      <c r="G3547" s="232"/>
      <c r="I3547" s="232"/>
      <c r="K3547" s="232"/>
      <c r="M3547" s="232"/>
      <c r="P3547" s="232"/>
      <c r="R3547" s="232"/>
      <c r="T3547" s="232"/>
    </row>
    <row r="3548" spans="3:20">
      <c r="C3548" s="232"/>
      <c r="E3548" s="232"/>
      <c r="G3548" s="232"/>
      <c r="I3548" s="232"/>
      <c r="K3548" s="232"/>
      <c r="M3548" s="232"/>
      <c r="P3548" s="232"/>
      <c r="R3548" s="232"/>
      <c r="T3548" s="232"/>
    </row>
    <row r="3549" spans="3:20">
      <c r="C3549" s="232"/>
      <c r="E3549" s="232"/>
      <c r="G3549" s="232"/>
      <c r="I3549" s="232"/>
      <c r="K3549" s="232"/>
      <c r="M3549" s="232"/>
      <c r="P3549" s="232"/>
      <c r="R3549" s="232"/>
      <c r="T3549" s="232"/>
    </row>
    <row r="3550" spans="3:20">
      <c r="C3550" s="232"/>
      <c r="E3550" s="232"/>
      <c r="G3550" s="232"/>
      <c r="I3550" s="232"/>
      <c r="K3550" s="232"/>
      <c r="M3550" s="232"/>
      <c r="P3550" s="232"/>
      <c r="R3550" s="232"/>
      <c r="T3550" s="232"/>
    </row>
    <row r="3551" spans="3:20">
      <c r="C3551" s="232"/>
      <c r="E3551" s="232"/>
      <c r="G3551" s="232"/>
      <c r="I3551" s="232"/>
      <c r="K3551" s="232"/>
      <c r="M3551" s="232"/>
      <c r="P3551" s="232"/>
      <c r="R3551" s="232"/>
      <c r="T3551" s="232"/>
    </row>
    <row r="3552" spans="3:20">
      <c r="C3552" s="232"/>
      <c r="E3552" s="232"/>
      <c r="G3552" s="232"/>
      <c r="I3552" s="232"/>
      <c r="K3552" s="232"/>
      <c r="M3552" s="232"/>
      <c r="P3552" s="232"/>
      <c r="R3552" s="232"/>
      <c r="T3552" s="232"/>
    </row>
    <row r="3553" spans="3:20">
      <c r="C3553" s="232"/>
      <c r="E3553" s="232"/>
      <c r="G3553" s="232"/>
      <c r="I3553" s="232"/>
      <c r="K3553" s="232"/>
      <c r="M3553" s="232"/>
      <c r="P3553" s="232"/>
      <c r="R3553" s="232"/>
      <c r="T3553" s="232"/>
    </row>
    <row r="3554" spans="3:20">
      <c r="C3554" s="232"/>
      <c r="E3554" s="232"/>
      <c r="G3554" s="232"/>
      <c r="I3554" s="232"/>
      <c r="K3554" s="232"/>
      <c r="M3554" s="232"/>
      <c r="P3554" s="232"/>
      <c r="R3554" s="232"/>
      <c r="T3554" s="232"/>
    </row>
    <row r="3555" spans="3:20">
      <c r="C3555" s="232"/>
      <c r="E3555" s="232"/>
      <c r="G3555" s="232"/>
      <c r="I3555" s="232"/>
      <c r="K3555" s="232"/>
      <c r="M3555" s="232"/>
      <c r="P3555" s="232"/>
      <c r="R3555" s="232"/>
      <c r="T3555" s="232"/>
    </row>
    <row r="3556" spans="3:20">
      <c r="C3556" s="232"/>
      <c r="E3556" s="232"/>
      <c r="G3556" s="232"/>
      <c r="I3556" s="232"/>
      <c r="K3556" s="232"/>
      <c r="M3556" s="232"/>
      <c r="P3556" s="232"/>
      <c r="R3556" s="232"/>
      <c r="T3556" s="232"/>
    </row>
    <row r="3557" spans="3:20">
      <c r="C3557" s="232"/>
      <c r="E3557" s="232"/>
      <c r="G3557" s="232"/>
      <c r="I3557" s="232"/>
      <c r="K3557" s="232"/>
      <c r="M3557" s="232"/>
      <c r="P3557" s="232"/>
      <c r="R3557" s="232"/>
      <c r="T3557" s="232"/>
    </row>
    <row r="3558" spans="3:20">
      <c r="C3558" s="232"/>
      <c r="E3558" s="232"/>
      <c r="G3558" s="232"/>
      <c r="I3558" s="232"/>
      <c r="K3558" s="232"/>
      <c r="M3558" s="232"/>
      <c r="P3558" s="232"/>
      <c r="R3558" s="232"/>
      <c r="T3558" s="232"/>
    </row>
    <row r="3559" spans="3:20">
      <c r="C3559" s="232"/>
      <c r="E3559" s="232"/>
      <c r="G3559" s="232"/>
      <c r="I3559" s="232"/>
      <c r="K3559" s="232"/>
      <c r="M3559" s="232"/>
      <c r="P3559" s="232"/>
      <c r="R3559" s="232"/>
      <c r="T3559" s="232"/>
    </row>
    <row r="3560" spans="3:20">
      <c r="C3560" s="232"/>
      <c r="E3560" s="232"/>
      <c r="G3560" s="232"/>
      <c r="I3560" s="232"/>
      <c r="K3560" s="232"/>
      <c r="M3560" s="232"/>
      <c r="P3560" s="232"/>
      <c r="R3560" s="232"/>
      <c r="T3560" s="232"/>
    </row>
    <row r="3561" spans="3:20">
      <c r="C3561" s="232"/>
      <c r="E3561" s="232"/>
      <c r="G3561" s="232"/>
      <c r="I3561" s="232"/>
      <c r="K3561" s="232"/>
      <c r="M3561" s="232"/>
      <c r="P3561" s="232"/>
      <c r="R3561" s="232"/>
      <c r="T3561" s="232"/>
    </row>
    <row r="3562" spans="3:20">
      <c r="C3562" s="232"/>
      <c r="E3562" s="232"/>
      <c r="G3562" s="232"/>
      <c r="I3562" s="232"/>
      <c r="K3562" s="232"/>
      <c r="M3562" s="232"/>
      <c r="P3562" s="232"/>
      <c r="R3562" s="232"/>
      <c r="T3562" s="232"/>
    </row>
    <row r="3563" spans="3:20">
      <c r="C3563" s="232"/>
      <c r="E3563" s="232"/>
      <c r="G3563" s="232"/>
      <c r="I3563" s="232"/>
      <c r="K3563" s="232"/>
      <c r="M3563" s="232"/>
      <c r="P3563" s="232"/>
      <c r="R3563" s="232"/>
      <c r="T3563" s="232"/>
    </row>
    <row r="3564" spans="3:20">
      <c r="C3564" s="232"/>
      <c r="E3564" s="232"/>
      <c r="G3564" s="232"/>
      <c r="I3564" s="232"/>
      <c r="K3564" s="232"/>
      <c r="M3564" s="232"/>
      <c r="P3564" s="232"/>
      <c r="R3564" s="232"/>
      <c r="T3564" s="232"/>
    </row>
    <row r="3565" spans="3:20">
      <c r="C3565" s="232"/>
      <c r="E3565" s="232"/>
      <c r="G3565" s="232"/>
      <c r="I3565" s="232"/>
      <c r="K3565" s="232"/>
      <c r="M3565" s="232"/>
      <c r="P3565" s="232"/>
      <c r="R3565" s="232"/>
      <c r="T3565" s="232"/>
    </row>
    <row r="3566" spans="3:20">
      <c r="C3566" s="232"/>
      <c r="E3566" s="232"/>
      <c r="G3566" s="232"/>
      <c r="I3566" s="232"/>
      <c r="K3566" s="232"/>
      <c r="M3566" s="232"/>
      <c r="P3566" s="232"/>
      <c r="R3566" s="232"/>
      <c r="T3566" s="232"/>
    </row>
    <row r="3567" spans="3:20">
      <c r="C3567" s="232"/>
      <c r="E3567" s="232"/>
      <c r="G3567" s="232"/>
      <c r="I3567" s="232"/>
      <c r="K3567" s="232"/>
      <c r="M3567" s="232"/>
      <c r="P3567" s="232"/>
      <c r="R3567" s="232"/>
      <c r="T3567" s="232"/>
    </row>
    <row r="3568" spans="3:20">
      <c r="C3568" s="232"/>
      <c r="E3568" s="232"/>
      <c r="G3568" s="232"/>
      <c r="I3568" s="232"/>
      <c r="K3568" s="232"/>
      <c r="M3568" s="232"/>
      <c r="P3568" s="232"/>
      <c r="R3568" s="232"/>
      <c r="T3568" s="232"/>
    </row>
    <row r="3569" spans="3:20">
      <c r="C3569" s="232"/>
      <c r="E3569" s="232"/>
      <c r="G3569" s="232"/>
      <c r="I3569" s="232"/>
      <c r="K3569" s="232"/>
      <c r="M3569" s="232"/>
      <c r="P3569" s="232"/>
      <c r="R3569" s="232"/>
      <c r="T3569" s="232"/>
    </row>
    <row r="3570" spans="3:20">
      <c r="C3570" s="232"/>
      <c r="E3570" s="232"/>
      <c r="G3570" s="232"/>
      <c r="I3570" s="232"/>
      <c r="K3570" s="232"/>
      <c r="M3570" s="232"/>
      <c r="P3570" s="232"/>
      <c r="R3570" s="232"/>
      <c r="T3570" s="232"/>
    </row>
    <row r="3571" spans="3:20">
      <c r="C3571" s="232"/>
      <c r="E3571" s="232"/>
      <c r="G3571" s="232"/>
      <c r="I3571" s="232"/>
      <c r="K3571" s="232"/>
      <c r="M3571" s="232"/>
      <c r="P3571" s="232"/>
      <c r="R3571" s="232"/>
      <c r="T3571" s="232"/>
    </row>
    <row r="3572" spans="3:20">
      <c r="C3572" s="232"/>
      <c r="E3572" s="232"/>
      <c r="G3572" s="232"/>
      <c r="I3572" s="232"/>
      <c r="K3572" s="232"/>
      <c r="M3572" s="232"/>
      <c r="P3572" s="232"/>
      <c r="R3572" s="232"/>
      <c r="T3572" s="232"/>
    </row>
    <row r="3573" spans="3:20">
      <c r="C3573" s="232"/>
      <c r="E3573" s="232"/>
      <c r="G3573" s="232"/>
      <c r="I3573" s="232"/>
      <c r="K3573" s="232"/>
      <c r="M3573" s="232"/>
      <c r="P3573" s="232"/>
      <c r="R3573" s="232"/>
      <c r="T3573" s="232"/>
    </row>
    <row r="3574" spans="3:20">
      <c r="C3574" s="232"/>
      <c r="E3574" s="232"/>
      <c r="G3574" s="232"/>
      <c r="I3574" s="232"/>
      <c r="K3574" s="232"/>
      <c r="M3574" s="232"/>
      <c r="P3574" s="232"/>
      <c r="R3574" s="232"/>
      <c r="T3574" s="232"/>
    </row>
    <row r="3575" spans="3:20">
      <c r="C3575" s="232"/>
      <c r="E3575" s="232"/>
      <c r="G3575" s="232"/>
      <c r="I3575" s="232"/>
      <c r="K3575" s="232"/>
      <c r="M3575" s="232"/>
      <c r="P3575" s="232"/>
      <c r="R3575" s="232"/>
      <c r="T3575" s="232"/>
    </row>
    <row r="3576" spans="3:20">
      <c r="C3576" s="232"/>
      <c r="E3576" s="232"/>
      <c r="G3576" s="232"/>
      <c r="I3576" s="232"/>
      <c r="K3576" s="232"/>
      <c r="M3576" s="232"/>
      <c r="P3576" s="232"/>
      <c r="R3576" s="232"/>
      <c r="T3576" s="232"/>
    </row>
    <row r="3577" spans="3:20">
      <c r="C3577" s="232"/>
      <c r="E3577" s="232"/>
      <c r="G3577" s="232"/>
      <c r="I3577" s="232"/>
      <c r="K3577" s="232"/>
      <c r="M3577" s="232"/>
      <c r="P3577" s="232"/>
      <c r="R3577" s="232"/>
      <c r="T3577" s="232"/>
    </row>
    <row r="3578" spans="3:20">
      <c r="C3578" s="232"/>
      <c r="E3578" s="232"/>
      <c r="G3578" s="232"/>
      <c r="I3578" s="232"/>
      <c r="K3578" s="232"/>
      <c r="M3578" s="232"/>
      <c r="P3578" s="232"/>
      <c r="R3578" s="232"/>
      <c r="T3578" s="232"/>
    </row>
    <row r="3579" spans="3:20">
      <c r="C3579" s="232"/>
      <c r="E3579" s="232"/>
      <c r="G3579" s="232"/>
      <c r="I3579" s="232"/>
      <c r="K3579" s="232"/>
      <c r="M3579" s="232"/>
      <c r="P3579" s="232"/>
      <c r="R3579" s="232"/>
      <c r="T3579" s="232"/>
    </row>
    <row r="3580" spans="3:20">
      <c r="C3580" s="232"/>
      <c r="E3580" s="232"/>
      <c r="G3580" s="232"/>
      <c r="I3580" s="232"/>
      <c r="K3580" s="232"/>
      <c r="M3580" s="232"/>
      <c r="P3580" s="232"/>
      <c r="R3580" s="232"/>
      <c r="T3580" s="232"/>
    </row>
    <row r="3581" spans="3:20">
      <c r="C3581" s="232"/>
      <c r="E3581" s="232"/>
      <c r="G3581" s="232"/>
      <c r="I3581" s="232"/>
      <c r="K3581" s="232"/>
      <c r="M3581" s="232"/>
      <c r="P3581" s="232"/>
      <c r="R3581" s="232"/>
      <c r="T3581" s="232"/>
    </row>
    <row r="3582" spans="3:20">
      <c r="C3582" s="232"/>
      <c r="E3582" s="232"/>
      <c r="G3582" s="232"/>
      <c r="I3582" s="232"/>
      <c r="K3582" s="232"/>
      <c r="M3582" s="232"/>
      <c r="P3582" s="232"/>
      <c r="R3582" s="232"/>
      <c r="T3582" s="232"/>
    </row>
    <row r="3583" spans="3:20">
      <c r="C3583" s="232"/>
      <c r="E3583" s="232"/>
      <c r="G3583" s="232"/>
      <c r="I3583" s="232"/>
      <c r="K3583" s="232"/>
      <c r="M3583" s="232"/>
      <c r="P3583" s="232"/>
      <c r="R3583" s="232"/>
      <c r="T3583" s="232"/>
    </row>
    <row r="3584" spans="3:20">
      <c r="C3584" s="232"/>
      <c r="E3584" s="232"/>
      <c r="G3584" s="232"/>
      <c r="I3584" s="232"/>
      <c r="K3584" s="232"/>
      <c r="M3584" s="232"/>
      <c r="P3584" s="232"/>
      <c r="R3584" s="232"/>
      <c r="T3584" s="232"/>
    </row>
    <row r="3585" spans="3:20">
      <c r="C3585" s="232"/>
      <c r="E3585" s="232"/>
      <c r="G3585" s="232"/>
      <c r="I3585" s="232"/>
      <c r="K3585" s="232"/>
      <c r="M3585" s="232"/>
      <c r="P3585" s="232"/>
      <c r="R3585" s="232"/>
      <c r="T3585" s="232"/>
    </row>
    <row r="3586" spans="3:20">
      <c r="C3586" s="232"/>
      <c r="E3586" s="232"/>
      <c r="G3586" s="232"/>
      <c r="I3586" s="232"/>
      <c r="K3586" s="232"/>
      <c r="M3586" s="232"/>
      <c r="P3586" s="232"/>
      <c r="R3586" s="232"/>
      <c r="T3586" s="232"/>
    </row>
    <row r="3587" spans="3:20">
      <c r="C3587" s="232"/>
      <c r="E3587" s="232"/>
      <c r="G3587" s="232"/>
      <c r="I3587" s="232"/>
      <c r="K3587" s="232"/>
      <c r="M3587" s="232"/>
      <c r="P3587" s="232"/>
      <c r="R3587" s="232"/>
      <c r="T3587" s="232"/>
    </row>
    <row r="3588" spans="3:20">
      <c r="C3588" s="232"/>
      <c r="E3588" s="232"/>
      <c r="G3588" s="232"/>
      <c r="I3588" s="232"/>
      <c r="K3588" s="232"/>
      <c r="M3588" s="232"/>
      <c r="P3588" s="232"/>
      <c r="R3588" s="232"/>
      <c r="T3588" s="232"/>
    </row>
    <row r="3589" spans="3:20">
      <c r="C3589" s="232"/>
      <c r="E3589" s="232"/>
      <c r="G3589" s="232"/>
      <c r="I3589" s="232"/>
      <c r="K3589" s="232"/>
      <c r="M3589" s="232"/>
      <c r="P3589" s="232"/>
      <c r="R3589" s="232"/>
      <c r="T3589" s="232"/>
    </row>
    <row r="3590" spans="3:20">
      <c r="C3590" s="232"/>
      <c r="E3590" s="232"/>
      <c r="G3590" s="232"/>
      <c r="I3590" s="232"/>
      <c r="K3590" s="232"/>
      <c r="M3590" s="232"/>
      <c r="P3590" s="232"/>
      <c r="R3590" s="232"/>
      <c r="T3590" s="232"/>
    </row>
    <row r="3591" spans="3:20">
      <c r="C3591" s="232"/>
      <c r="E3591" s="232"/>
      <c r="G3591" s="232"/>
      <c r="I3591" s="232"/>
      <c r="K3591" s="232"/>
      <c r="M3591" s="232"/>
      <c r="P3591" s="232"/>
      <c r="R3591" s="232"/>
      <c r="T3591" s="232"/>
    </row>
    <row r="3592" spans="3:20">
      <c r="C3592" s="232"/>
      <c r="E3592" s="232"/>
      <c r="G3592" s="232"/>
      <c r="I3592" s="232"/>
      <c r="K3592" s="232"/>
      <c r="M3592" s="232"/>
      <c r="P3592" s="232"/>
      <c r="R3592" s="232"/>
      <c r="T3592" s="232"/>
    </row>
    <row r="3593" spans="3:20">
      <c r="C3593" s="232"/>
      <c r="E3593" s="232"/>
      <c r="G3593" s="232"/>
      <c r="I3593" s="232"/>
      <c r="K3593" s="232"/>
      <c r="M3593" s="232"/>
      <c r="P3593" s="232"/>
      <c r="R3593" s="232"/>
      <c r="T3593" s="232"/>
    </row>
    <row r="3594" spans="3:20">
      <c r="C3594" s="232"/>
      <c r="E3594" s="232"/>
      <c r="G3594" s="232"/>
      <c r="I3594" s="232"/>
      <c r="K3594" s="232"/>
      <c r="M3594" s="232"/>
      <c r="P3594" s="232"/>
      <c r="R3594" s="232"/>
      <c r="T3594" s="232"/>
    </row>
    <row r="3595" spans="3:20">
      <c r="C3595" s="232"/>
      <c r="E3595" s="232"/>
      <c r="G3595" s="232"/>
      <c r="I3595" s="232"/>
      <c r="K3595" s="232"/>
      <c r="M3595" s="232"/>
      <c r="P3595" s="232"/>
      <c r="R3595" s="232"/>
      <c r="T3595" s="232"/>
    </row>
    <row r="3596" spans="3:20">
      <c r="C3596" s="232"/>
      <c r="E3596" s="232"/>
      <c r="G3596" s="232"/>
      <c r="I3596" s="232"/>
      <c r="K3596" s="232"/>
      <c r="M3596" s="232"/>
      <c r="P3596" s="232"/>
      <c r="R3596" s="232"/>
      <c r="T3596" s="232"/>
    </row>
    <row r="3597" spans="3:20">
      <c r="C3597" s="232"/>
      <c r="E3597" s="232"/>
      <c r="G3597" s="232"/>
      <c r="I3597" s="232"/>
      <c r="K3597" s="232"/>
      <c r="M3597" s="232"/>
      <c r="P3597" s="232"/>
      <c r="R3597" s="232"/>
      <c r="T3597" s="232"/>
    </row>
    <row r="3598" spans="3:20">
      <c r="C3598" s="232"/>
      <c r="E3598" s="232"/>
      <c r="G3598" s="232"/>
      <c r="I3598" s="232"/>
      <c r="K3598" s="232"/>
      <c r="M3598" s="232"/>
      <c r="P3598" s="232"/>
      <c r="R3598" s="232"/>
      <c r="T3598" s="232"/>
    </row>
    <row r="3599" spans="3:20">
      <c r="C3599" s="232"/>
      <c r="E3599" s="232"/>
      <c r="G3599" s="232"/>
      <c r="I3599" s="232"/>
      <c r="K3599" s="232"/>
      <c r="M3599" s="232"/>
      <c r="P3599" s="232"/>
      <c r="R3599" s="232"/>
      <c r="T3599" s="232"/>
    </row>
    <row r="3600" spans="3:20">
      <c r="C3600" s="232"/>
      <c r="E3600" s="232"/>
      <c r="G3600" s="232"/>
      <c r="I3600" s="232"/>
      <c r="K3600" s="232"/>
      <c r="M3600" s="232"/>
      <c r="P3600" s="232"/>
      <c r="R3600" s="232"/>
      <c r="T3600" s="232"/>
    </row>
    <row r="3601" spans="3:20">
      <c r="C3601" s="232"/>
      <c r="E3601" s="232"/>
      <c r="G3601" s="232"/>
      <c r="I3601" s="232"/>
      <c r="K3601" s="232"/>
      <c r="M3601" s="232"/>
      <c r="P3601" s="232"/>
      <c r="R3601" s="232"/>
      <c r="T3601" s="232"/>
    </row>
    <row r="3602" spans="3:20">
      <c r="C3602" s="232"/>
      <c r="E3602" s="232"/>
      <c r="G3602" s="232"/>
      <c r="I3602" s="232"/>
      <c r="K3602" s="232"/>
      <c r="M3602" s="232"/>
      <c r="P3602" s="232"/>
      <c r="R3602" s="232"/>
      <c r="T3602" s="232"/>
    </row>
    <row r="3603" spans="3:20">
      <c r="C3603" s="232"/>
      <c r="E3603" s="232"/>
      <c r="G3603" s="232"/>
      <c r="I3603" s="232"/>
      <c r="K3603" s="232"/>
      <c r="M3603" s="232"/>
      <c r="P3603" s="232"/>
      <c r="R3603" s="232"/>
      <c r="T3603" s="232"/>
    </row>
    <row r="3604" spans="3:20">
      <c r="C3604" s="232"/>
      <c r="E3604" s="232"/>
      <c r="G3604" s="232"/>
      <c r="I3604" s="232"/>
      <c r="K3604" s="232"/>
      <c r="M3604" s="232"/>
      <c r="P3604" s="232"/>
      <c r="R3604" s="232"/>
      <c r="T3604" s="232"/>
    </row>
    <row r="3605" spans="3:20">
      <c r="C3605" s="232"/>
      <c r="E3605" s="232"/>
      <c r="G3605" s="232"/>
      <c r="I3605" s="232"/>
      <c r="K3605" s="232"/>
      <c r="M3605" s="232"/>
      <c r="P3605" s="232"/>
      <c r="R3605" s="232"/>
      <c r="T3605" s="232"/>
    </row>
    <row r="3606" spans="3:20">
      <c r="C3606" s="232"/>
      <c r="E3606" s="232"/>
      <c r="G3606" s="232"/>
      <c r="I3606" s="232"/>
      <c r="K3606" s="232"/>
      <c r="M3606" s="232"/>
      <c r="P3606" s="232"/>
      <c r="R3606" s="232"/>
      <c r="T3606" s="232"/>
    </row>
    <row r="3607" spans="3:20">
      <c r="C3607" s="232"/>
      <c r="E3607" s="232"/>
      <c r="G3607" s="232"/>
      <c r="I3607" s="232"/>
      <c r="K3607" s="232"/>
      <c r="M3607" s="232"/>
      <c r="P3607" s="232"/>
      <c r="R3607" s="232"/>
      <c r="T3607" s="232"/>
    </row>
    <row r="3608" spans="3:20">
      <c r="C3608" s="232"/>
      <c r="E3608" s="232"/>
      <c r="G3608" s="232"/>
      <c r="I3608" s="232"/>
      <c r="K3608" s="232"/>
      <c r="M3608" s="232"/>
      <c r="P3608" s="232"/>
      <c r="R3608" s="232"/>
      <c r="T3608" s="232"/>
    </row>
    <row r="3609" spans="3:20">
      <c r="C3609" s="232"/>
      <c r="E3609" s="232"/>
      <c r="G3609" s="232"/>
      <c r="I3609" s="232"/>
      <c r="K3609" s="232"/>
      <c r="M3609" s="232"/>
      <c r="P3609" s="232"/>
      <c r="R3609" s="232"/>
      <c r="T3609" s="232"/>
    </row>
    <row r="3610" spans="3:20">
      <c r="C3610" s="232"/>
      <c r="E3610" s="232"/>
      <c r="G3610" s="232"/>
      <c r="I3610" s="232"/>
      <c r="K3610" s="232"/>
      <c r="M3610" s="232"/>
      <c r="P3610" s="232"/>
      <c r="R3610" s="232"/>
      <c r="T3610" s="232"/>
    </row>
    <row r="3611" spans="3:20">
      <c r="C3611" s="232"/>
      <c r="E3611" s="232"/>
      <c r="G3611" s="232"/>
      <c r="I3611" s="232"/>
      <c r="K3611" s="232"/>
      <c r="M3611" s="232"/>
      <c r="P3611" s="232"/>
      <c r="R3611" s="232"/>
      <c r="T3611" s="232"/>
    </row>
    <row r="3612" spans="3:20">
      <c r="C3612" s="232"/>
      <c r="E3612" s="232"/>
      <c r="G3612" s="232"/>
      <c r="I3612" s="232"/>
      <c r="K3612" s="232"/>
      <c r="M3612" s="232"/>
      <c r="P3612" s="232"/>
      <c r="R3612" s="232"/>
      <c r="T3612" s="232"/>
    </row>
    <row r="3613" spans="3:20">
      <c r="C3613" s="232"/>
      <c r="E3613" s="232"/>
      <c r="G3613" s="232"/>
      <c r="I3613" s="232"/>
      <c r="K3613" s="232"/>
      <c r="M3613" s="232"/>
      <c r="P3613" s="232"/>
      <c r="R3613" s="232"/>
      <c r="T3613" s="232"/>
    </row>
    <row r="3614" spans="3:20">
      <c r="C3614" s="232"/>
      <c r="E3614" s="232"/>
      <c r="G3614" s="232"/>
      <c r="I3614" s="232"/>
      <c r="K3614" s="232"/>
      <c r="M3614" s="232"/>
      <c r="P3614" s="232"/>
      <c r="R3614" s="232"/>
      <c r="T3614" s="232"/>
    </row>
    <row r="3615" spans="3:20">
      <c r="C3615" s="232"/>
      <c r="E3615" s="232"/>
      <c r="G3615" s="232"/>
      <c r="I3615" s="232"/>
      <c r="K3615" s="232"/>
      <c r="M3615" s="232"/>
      <c r="P3615" s="232"/>
      <c r="R3615" s="232"/>
      <c r="T3615" s="232"/>
    </row>
    <row r="3616" spans="3:20">
      <c r="C3616" s="232"/>
      <c r="E3616" s="232"/>
      <c r="G3616" s="232"/>
      <c r="I3616" s="232"/>
      <c r="K3616" s="232"/>
      <c r="M3616" s="232"/>
      <c r="P3616" s="232"/>
      <c r="R3616" s="232"/>
      <c r="T3616" s="232"/>
    </row>
    <row r="3617" spans="3:20">
      <c r="C3617" s="232"/>
      <c r="E3617" s="232"/>
      <c r="G3617" s="232"/>
      <c r="I3617" s="232"/>
      <c r="K3617" s="232"/>
      <c r="M3617" s="232"/>
      <c r="P3617" s="232"/>
      <c r="R3617" s="232"/>
      <c r="T3617" s="232"/>
    </row>
    <row r="3618" spans="3:20">
      <c r="C3618" s="232"/>
      <c r="E3618" s="232"/>
      <c r="G3618" s="232"/>
      <c r="I3618" s="232"/>
      <c r="K3618" s="232"/>
      <c r="M3618" s="232"/>
      <c r="P3618" s="232"/>
      <c r="R3618" s="232"/>
      <c r="T3618" s="232"/>
    </row>
    <row r="3619" spans="3:20">
      <c r="C3619" s="232"/>
      <c r="E3619" s="232"/>
      <c r="G3619" s="232"/>
      <c r="I3619" s="232"/>
      <c r="K3619" s="232"/>
      <c r="M3619" s="232"/>
      <c r="P3619" s="232"/>
      <c r="R3619" s="232"/>
      <c r="T3619" s="232"/>
    </row>
    <row r="3620" spans="3:20">
      <c r="C3620" s="232"/>
      <c r="E3620" s="232"/>
      <c r="G3620" s="232"/>
      <c r="I3620" s="232"/>
      <c r="K3620" s="232"/>
      <c r="M3620" s="232"/>
      <c r="P3620" s="232"/>
      <c r="R3620" s="232"/>
      <c r="T3620" s="232"/>
    </row>
    <row r="3621" spans="3:20">
      <c r="C3621" s="232"/>
      <c r="E3621" s="232"/>
      <c r="G3621" s="232"/>
      <c r="I3621" s="232"/>
      <c r="K3621" s="232"/>
      <c r="M3621" s="232"/>
      <c r="P3621" s="232"/>
      <c r="R3621" s="232"/>
      <c r="T3621" s="232"/>
    </row>
    <row r="3622" spans="3:20">
      <c r="C3622" s="232"/>
      <c r="E3622" s="232"/>
      <c r="G3622" s="232"/>
      <c r="I3622" s="232"/>
      <c r="K3622" s="232"/>
      <c r="M3622" s="232"/>
      <c r="P3622" s="232"/>
      <c r="R3622" s="232"/>
      <c r="T3622" s="232"/>
    </row>
    <row r="3623" spans="3:20">
      <c r="C3623" s="232"/>
      <c r="E3623" s="232"/>
      <c r="G3623" s="232"/>
      <c r="I3623" s="232"/>
      <c r="K3623" s="232"/>
      <c r="M3623" s="232"/>
      <c r="P3623" s="232"/>
      <c r="R3623" s="232"/>
      <c r="T3623" s="232"/>
    </row>
    <row r="3624" spans="3:20">
      <c r="C3624" s="232"/>
      <c r="E3624" s="232"/>
      <c r="G3624" s="232"/>
      <c r="I3624" s="232"/>
      <c r="K3624" s="232"/>
      <c r="M3624" s="232"/>
      <c r="P3624" s="232"/>
      <c r="R3624" s="232"/>
      <c r="T3624" s="232"/>
    </row>
    <row r="3625" spans="3:20">
      <c r="C3625" s="232"/>
      <c r="E3625" s="232"/>
      <c r="G3625" s="232"/>
      <c r="I3625" s="232"/>
      <c r="K3625" s="232"/>
      <c r="M3625" s="232"/>
      <c r="P3625" s="232"/>
      <c r="R3625" s="232"/>
      <c r="T3625" s="232"/>
    </row>
    <row r="3626" spans="3:20">
      <c r="C3626" s="232"/>
      <c r="E3626" s="232"/>
      <c r="G3626" s="232"/>
      <c r="I3626" s="232"/>
      <c r="K3626" s="232"/>
      <c r="M3626" s="232"/>
      <c r="P3626" s="232"/>
      <c r="R3626" s="232"/>
      <c r="T3626" s="232"/>
    </row>
    <row r="3627" spans="3:20">
      <c r="C3627" s="232"/>
      <c r="E3627" s="232"/>
      <c r="G3627" s="232"/>
      <c r="I3627" s="232"/>
      <c r="K3627" s="232"/>
      <c r="M3627" s="232"/>
      <c r="P3627" s="232"/>
      <c r="R3627" s="232"/>
      <c r="T3627" s="232"/>
    </row>
    <row r="3628" spans="3:20">
      <c r="C3628" s="232"/>
      <c r="E3628" s="232"/>
      <c r="G3628" s="232"/>
      <c r="I3628" s="232"/>
      <c r="K3628" s="232"/>
      <c r="M3628" s="232"/>
      <c r="P3628" s="232"/>
      <c r="R3628" s="232"/>
      <c r="T3628" s="232"/>
    </row>
    <row r="3629" spans="3:20">
      <c r="C3629" s="232"/>
      <c r="E3629" s="232"/>
      <c r="G3629" s="232"/>
      <c r="I3629" s="232"/>
      <c r="K3629" s="232"/>
      <c r="M3629" s="232"/>
      <c r="P3629" s="232"/>
      <c r="R3629" s="232"/>
      <c r="T3629" s="232"/>
    </row>
    <row r="3630" spans="3:20">
      <c r="C3630" s="232"/>
      <c r="E3630" s="232"/>
      <c r="G3630" s="232"/>
      <c r="I3630" s="232"/>
      <c r="K3630" s="232"/>
      <c r="M3630" s="232"/>
      <c r="P3630" s="232"/>
      <c r="R3630" s="232"/>
      <c r="T3630" s="232"/>
    </row>
    <row r="3631" spans="3:20">
      <c r="C3631" s="232"/>
      <c r="E3631" s="232"/>
      <c r="G3631" s="232"/>
      <c r="I3631" s="232"/>
      <c r="K3631" s="232"/>
      <c r="M3631" s="232"/>
      <c r="P3631" s="232"/>
      <c r="R3631" s="232"/>
      <c r="T3631" s="232"/>
    </row>
    <row r="3632" spans="3:20">
      <c r="C3632" s="232"/>
      <c r="E3632" s="232"/>
      <c r="G3632" s="232"/>
      <c r="I3632" s="232"/>
      <c r="K3632" s="232"/>
      <c r="M3632" s="232"/>
      <c r="P3632" s="232"/>
      <c r="R3632" s="232"/>
      <c r="T3632" s="232"/>
    </row>
    <row r="3633" spans="3:20">
      <c r="C3633" s="232"/>
      <c r="E3633" s="232"/>
      <c r="G3633" s="232"/>
      <c r="I3633" s="232"/>
      <c r="K3633" s="232"/>
      <c r="M3633" s="232"/>
      <c r="P3633" s="232"/>
      <c r="R3633" s="232"/>
      <c r="T3633" s="232"/>
    </row>
    <row r="3634" spans="3:20">
      <c r="C3634" s="232"/>
      <c r="E3634" s="232"/>
      <c r="G3634" s="232"/>
      <c r="I3634" s="232"/>
      <c r="K3634" s="232"/>
      <c r="M3634" s="232"/>
      <c r="P3634" s="232"/>
      <c r="R3634" s="232"/>
      <c r="T3634" s="232"/>
    </row>
    <row r="3635" spans="3:20">
      <c r="C3635" s="232"/>
      <c r="E3635" s="232"/>
      <c r="G3635" s="232"/>
      <c r="I3635" s="232"/>
      <c r="K3635" s="232"/>
      <c r="M3635" s="232"/>
      <c r="P3635" s="232"/>
      <c r="R3635" s="232"/>
      <c r="T3635" s="232"/>
    </row>
    <row r="3636" spans="3:20">
      <c r="C3636" s="232"/>
      <c r="E3636" s="232"/>
      <c r="G3636" s="232"/>
      <c r="I3636" s="232"/>
      <c r="K3636" s="232"/>
      <c r="M3636" s="232"/>
      <c r="P3636" s="232"/>
      <c r="R3636" s="232"/>
      <c r="T3636" s="232"/>
    </row>
    <row r="3637" spans="3:20">
      <c r="C3637" s="232"/>
      <c r="E3637" s="232"/>
      <c r="G3637" s="232"/>
      <c r="I3637" s="232"/>
      <c r="K3637" s="232"/>
      <c r="M3637" s="232"/>
      <c r="P3637" s="232"/>
      <c r="R3637" s="232"/>
      <c r="T3637" s="232"/>
    </row>
    <row r="3638" spans="3:20">
      <c r="C3638" s="232"/>
      <c r="E3638" s="232"/>
      <c r="G3638" s="232"/>
      <c r="I3638" s="232"/>
      <c r="K3638" s="232"/>
      <c r="M3638" s="232"/>
      <c r="P3638" s="232"/>
      <c r="R3638" s="232"/>
      <c r="T3638" s="232"/>
    </row>
    <row r="3639" spans="3:20">
      <c r="C3639" s="232"/>
      <c r="E3639" s="232"/>
      <c r="G3639" s="232"/>
      <c r="I3639" s="232"/>
      <c r="K3639" s="232"/>
      <c r="M3639" s="232"/>
      <c r="P3639" s="232"/>
      <c r="R3639" s="232"/>
      <c r="T3639" s="232"/>
    </row>
    <row r="3640" spans="3:20">
      <c r="C3640" s="232"/>
      <c r="E3640" s="232"/>
      <c r="G3640" s="232"/>
      <c r="I3640" s="232"/>
      <c r="K3640" s="232"/>
      <c r="M3640" s="232"/>
      <c r="P3640" s="232"/>
      <c r="R3640" s="232"/>
      <c r="T3640" s="232"/>
    </row>
    <row r="3641" spans="3:20">
      <c r="C3641" s="232"/>
      <c r="E3641" s="232"/>
      <c r="G3641" s="232"/>
      <c r="I3641" s="232"/>
      <c r="K3641" s="232"/>
      <c r="M3641" s="232"/>
      <c r="P3641" s="232"/>
      <c r="R3641" s="232"/>
      <c r="T3641" s="232"/>
    </row>
    <row r="3642" spans="3:20">
      <c r="C3642" s="232"/>
      <c r="E3642" s="232"/>
      <c r="G3642" s="232"/>
      <c r="I3642" s="232"/>
      <c r="K3642" s="232"/>
      <c r="M3642" s="232"/>
      <c r="P3642" s="232"/>
      <c r="R3642" s="232"/>
      <c r="T3642" s="232"/>
    </row>
    <row r="3643" spans="3:20">
      <c r="C3643" s="232"/>
      <c r="E3643" s="232"/>
      <c r="G3643" s="232"/>
      <c r="I3643" s="232"/>
      <c r="K3643" s="232"/>
      <c r="M3643" s="232"/>
      <c r="P3643" s="232"/>
      <c r="R3643" s="232"/>
      <c r="T3643" s="232"/>
    </row>
    <row r="3644" spans="3:20">
      <c r="C3644" s="232"/>
      <c r="E3644" s="232"/>
      <c r="G3644" s="232"/>
      <c r="I3644" s="232"/>
      <c r="K3644" s="232"/>
      <c r="M3644" s="232"/>
      <c r="P3644" s="232"/>
      <c r="R3644" s="232"/>
      <c r="T3644" s="232"/>
    </row>
    <row r="3645" spans="3:20">
      <c r="C3645" s="232"/>
      <c r="E3645" s="232"/>
      <c r="G3645" s="232"/>
      <c r="I3645" s="232"/>
      <c r="K3645" s="232"/>
      <c r="M3645" s="232"/>
      <c r="P3645" s="232"/>
      <c r="R3645" s="232"/>
      <c r="T3645" s="232"/>
    </row>
    <row r="3646" spans="3:20">
      <c r="C3646" s="232"/>
      <c r="E3646" s="232"/>
      <c r="G3646" s="232"/>
      <c r="I3646" s="232"/>
      <c r="K3646" s="232"/>
      <c r="M3646" s="232"/>
      <c r="P3646" s="232"/>
      <c r="R3646" s="232"/>
      <c r="T3646" s="232"/>
    </row>
    <row r="3647" spans="3:20">
      <c r="C3647" s="232"/>
      <c r="E3647" s="232"/>
      <c r="G3647" s="232"/>
      <c r="I3647" s="232"/>
      <c r="K3647" s="232"/>
      <c r="M3647" s="232"/>
      <c r="P3647" s="232"/>
      <c r="R3647" s="232"/>
      <c r="T3647" s="232"/>
    </row>
    <row r="3648" spans="3:20">
      <c r="C3648" s="232"/>
      <c r="E3648" s="232"/>
      <c r="G3648" s="232"/>
      <c r="I3648" s="232"/>
      <c r="K3648" s="232"/>
      <c r="M3648" s="232"/>
      <c r="P3648" s="232"/>
      <c r="R3648" s="232"/>
      <c r="T3648" s="232"/>
    </row>
    <row r="3649" spans="3:20">
      <c r="C3649" s="232"/>
      <c r="E3649" s="232"/>
      <c r="G3649" s="232"/>
      <c r="I3649" s="232"/>
      <c r="K3649" s="232"/>
      <c r="M3649" s="232"/>
      <c r="P3649" s="232"/>
      <c r="R3649" s="232"/>
      <c r="T3649" s="232"/>
    </row>
    <row r="3650" spans="3:20">
      <c r="C3650" s="232"/>
      <c r="E3650" s="232"/>
      <c r="G3650" s="232"/>
      <c r="I3650" s="232"/>
      <c r="K3650" s="232"/>
      <c r="M3650" s="232"/>
      <c r="P3650" s="232"/>
      <c r="R3650" s="232"/>
      <c r="T3650" s="232"/>
    </row>
    <row r="3651" spans="3:20">
      <c r="C3651" s="232"/>
      <c r="E3651" s="232"/>
      <c r="G3651" s="232"/>
      <c r="I3651" s="232"/>
      <c r="K3651" s="232"/>
      <c r="M3651" s="232"/>
      <c r="P3651" s="232"/>
      <c r="R3651" s="232"/>
      <c r="T3651" s="232"/>
    </row>
    <row r="3652" spans="3:20">
      <c r="C3652" s="232"/>
      <c r="E3652" s="232"/>
      <c r="G3652" s="232"/>
      <c r="I3652" s="232"/>
      <c r="K3652" s="232"/>
      <c r="M3652" s="232"/>
      <c r="P3652" s="232"/>
      <c r="R3652" s="232"/>
      <c r="T3652" s="232"/>
    </row>
    <row r="3653" spans="3:20">
      <c r="C3653" s="232"/>
      <c r="E3653" s="232"/>
      <c r="G3653" s="232"/>
      <c r="I3653" s="232"/>
      <c r="K3653" s="232"/>
      <c r="M3653" s="232"/>
      <c r="P3653" s="232"/>
      <c r="R3653" s="232"/>
      <c r="T3653" s="232"/>
    </row>
    <row r="3654" spans="3:20">
      <c r="C3654" s="232"/>
      <c r="E3654" s="232"/>
      <c r="G3654" s="232"/>
      <c r="I3654" s="232"/>
      <c r="K3654" s="232"/>
      <c r="M3654" s="232"/>
      <c r="P3654" s="232"/>
      <c r="R3654" s="232"/>
      <c r="T3654" s="232"/>
    </row>
    <row r="3655" spans="3:20">
      <c r="C3655" s="232"/>
      <c r="E3655" s="232"/>
      <c r="G3655" s="232"/>
      <c r="I3655" s="232"/>
      <c r="K3655" s="232"/>
      <c r="M3655" s="232"/>
      <c r="P3655" s="232"/>
      <c r="R3655" s="232"/>
      <c r="T3655" s="232"/>
    </row>
    <row r="3656" spans="3:20">
      <c r="C3656" s="232"/>
      <c r="E3656" s="232"/>
      <c r="G3656" s="232"/>
      <c r="I3656" s="232"/>
      <c r="K3656" s="232"/>
      <c r="M3656" s="232"/>
      <c r="P3656" s="232"/>
      <c r="R3656" s="232"/>
      <c r="T3656" s="232"/>
    </row>
    <row r="3657" spans="3:20">
      <c r="C3657" s="232"/>
      <c r="E3657" s="232"/>
      <c r="G3657" s="232"/>
      <c r="I3657" s="232"/>
      <c r="K3657" s="232"/>
      <c r="M3657" s="232"/>
      <c r="P3657" s="232"/>
      <c r="R3657" s="232"/>
      <c r="T3657" s="232"/>
    </row>
    <row r="3658" spans="3:20">
      <c r="C3658" s="232"/>
      <c r="E3658" s="232"/>
      <c r="G3658" s="232"/>
      <c r="I3658" s="232"/>
      <c r="K3658" s="232"/>
      <c r="M3658" s="232"/>
      <c r="P3658" s="232"/>
      <c r="R3658" s="232"/>
      <c r="T3658" s="232"/>
    </row>
    <row r="3659" spans="3:20">
      <c r="C3659" s="232"/>
      <c r="E3659" s="232"/>
      <c r="G3659" s="232"/>
      <c r="I3659" s="232"/>
      <c r="K3659" s="232"/>
      <c r="M3659" s="232"/>
      <c r="P3659" s="232"/>
      <c r="R3659" s="232"/>
      <c r="T3659" s="232"/>
    </row>
    <row r="3660" spans="3:20">
      <c r="C3660" s="232"/>
      <c r="E3660" s="232"/>
      <c r="G3660" s="232"/>
      <c r="I3660" s="232"/>
      <c r="K3660" s="232"/>
      <c r="M3660" s="232"/>
      <c r="P3660" s="232"/>
      <c r="R3660" s="232"/>
      <c r="T3660" s="232"/>
    </row>
    <row r="3661" spans="3:20">
      <c r="C3661" s="232"/>
      <c r="E3661" s="232"/>
      <c r="G3661" s="232"/>
      <c r="I3661" s="232"/>
      <c r="K3661" s="232"/>
      <c r="M3661" s="232"/>
      <c r="P3661" s="232"/>
      <c r="R3661" s="232"/>
      <c r="T3661" s="232"/>
    </row>
    <row r="3662" spans="3:20">
      <c r="C3662" s="232"/>
      <c r="E3662" s="232"/>
      <c r="G3662" s="232"/>
      <c r="I3662" s="232"/>
      <c r="K3662" s="232"/>
      <c r="M3662" s="232"/>
      <c r="P3662" s="232"/>
      <c r="R3662" s="232"/>
      <c r="T3662" s="232"/>
    </row>
    <row r="3663" spans="3:20">
      <c r="C3663" s="232"/>
      <c r="E3663" s="232"/>
      <c r="G3663" s="232"/>
      <c r="I3663" s="232"/>
      <c r="K3663" s="232"/>
      <c r="M3663" s="232"/>
      <c r="P3663" s="232"/>
      <c r="R3663" s="232"/>
      <c r="T3663" s="232"/>
    </row>
    <row r="3664" spans="3:20">
      <c r="C3664" s="232"/>
      <c r="E3664" s="232"/>
      <c r="G3664" s="232"/>
      <c r="I3664" s="232"/>
      <c r="K3664" s="232"/>
      <c r="M3664" s="232"/>
      <c r="P3664" s="232"/>
      <c r="R3664" s="232"/>
      <c r="T3664" s="232"/>
    </row>
    <row r="3665" spans="3:20">
      <c r="C3665" s="232"/>
      <c r="E3665" s="232"/>
      <c r="G3665" s="232"/>
      <c r="I3665" s="232"/>
      <c r="K3665" s="232"/>
      <c r="M3665" s="232"/>
      <c r="P3665" s="232"/>
      <c r="R3665" s="232"/>
      <c r="T3665" s="232"/>
    </row>
    <row r="3666" spans="3:20">
      <c r="C3666" s="232"/>
      <c r="E3666" s="232"/>
      <c r="G3666" s="232"/>
      <c r="I3666" s="232"/>
      <c r="K3666" s="232"/>
      <c r="M3666" s="232"/>
      <c r="P3666" s="232"/>
      <c r="R3666" s="232"/>
      <c r="T3666" s="232"/>
    </row>
    <row r="3667" spans="3:20">
      <c r="C3667" s="232"/>
      <c r="E3667" s="232"/>
      <c r="G3667" s="232"/>
      <c r="I3667" s="232"/>
      <c r="K3667" s="232"/>
      <c r="M3667" s="232"/>
      <c r="P3667" s="232"/>
      <c r="R3667" s="232"/>
      <c r="T3667" s="232"/>
    </row>
    <row r="3668" spans="3:20">
      <c r="C3668" s="232"/>
      <c r="E3668" s="232"/>
      <c r="G3668" s="232"/>
      <c r="I3668" s="232"/>
      <c r="K3668" s="232"/>
      <c r="M3668" s="232"/>
      <c r="P3668" s="232"/>
      <c r="R3668" s="232"/>
      <c r="T3668" s="232"/>
    </row>
    <row r="3669" spans="3:20">
      <c r="C3669" s="232"/>
      <c r="E3669" s="232"/>
      <c r="G3669" s="232"/>
      <c r="I3669" s="232"/>
      <c r="K3669" s="232"/>
      <c r="M3669" s="232"/>
      <c r="P3669" s="232"/>
      <c r="R3669" s="232"/>
      <c r="T3669" s="232"/>
    </row>
    <row r="3670" spans="3:20">
      <c r="C3670" s="232"/>
      <c r="E3670" s="232"/>
      <c r="G3670" s="232"/>
      <c r="I3670" s="232"/>
      <c r="K3670" s="232"/>
      <c r="M3670" s="232"/>
      <c r="P3670" s="232"/>
      <c r="R3670" s="232"/>
      <c r="T3670" s="232"/>
    </row>
    <row r="3671" spans="3:20">
      <c r="C3671" s="232"/>
      <c r="E3671" s="232"/>
      <c r="G3671" s="232"/>
      <c r="I3671" s="232"/>
      <c r="K3671" s="232"/>
      <c r="M3671" s="232"/>
      <c r="P3671" s="232"/>
      <c r="R3671" s="232"/>
      <c r="T3671" s="232"/>
    </row>
    <row r="3672" spans="3:20">
      <c r="C3672" s="232"/>
      <c r="E3672" s="232"/>
      <c r="G3672" s="232"/>
      <c r="I3672" s="232"/>
      <c r="K3672" s="232"/>
      <c r="M3672" s="232"/>
      <c r="P3672" s="232"/>
      <c r="R3672" s="232"/>
      <c r="T3672" s="232"/>
    </row>
    <row r="3673" spans="3:20">
      <c r="C3673" s="232"/>
      <c r="E3673" s="232"/>
      <c r="G3673" s="232"/>
      <c r="I3673" s="232"/>
      <c r="K3673" s="232"/>
      <c r="M3673" s="232"/>
      <c r="P3673" s="232"/>
      <c r="R3673" s="232"/>
      <c r="T3673" s="232"/>
    </row>
    <row r="3674" spans="3:20">
      <c r="C3674" s="232"/>
      <c r="E3674" s="232"/>
      <c r="G3674" s="232"/>
      <c r="I3674" s="232"/>
      <c r="K3674" s="232"/>
      <c r="M3674" s="232"/>
      <c r="P3674" s="232"/>
      <c r="R3674" s="232"/>
      <c r="T3674" s="232"/>
    </row>
    <row r="3675" spans="3:20">
      <c r="C3675" s="232"/>
      <c r="E3675" s="232"/>
      <c r="G3675" s="232"/>
      <c r="I3675" s="232"/>
      <c r="K3675" s="232"/>
      <c r="M3675" s="232"/>
      <c r="P3675" s="232"/>
      <c r="R3675" s="232"/>
      <c r="T3675" s="232"/>
    </row>
    <row r="3676" spans="3:20">
      <c r="C3676" s="232"/>
      <c r="E3676" s="232"/>
      <c r="G3676" s="232"/>
      <c r="I3676" s="232"/>
      <c r="K3676" s="232"/>
      <c r="M3676" s="232"/>
      <c r="P3676" s="232"/>
      <c r="R3676" s="232"/>
      <c r="T3676" s="232"/>
    </row>
    <row r="3677" spans="3:20">
      <c r="C3677" s="232"/>
      <c r="E3677" s="232"/>
      <c r="G3677" s="232"/>
      <c r="I3677" s="232"/>
      <c r="K3677" s="232"/>
      <c r="M3677" s="232"/>
      <c r="P3677" s="232"/>
      <c r="R3677" s="232"/>
      <c r="T3677" s="232"/>
    </row>
    <row r="3678" spans="3:20">
      <c r="C3678" s="232"/>
      <c r="E3678" s="232"/>
      <c r="G3678" s="232"/>
      <c r="I3678" s="232"/>
      <c r="K3678" s="232"/>
      <c r="M3678" s="232"/>
      <c r="P3678" s="232"/>
      <c r="R3678" s="232"/>
      <c r="T3678" s="232"/>
    </row>
    <row r="3679" spans="3:20">
      <c r="C3679" s="232"/>
      <c r="E3679" s="232"/>
      <c r="G3679" s="232"/>
      <c r="I3679" s="232"/>
      <c r="K3679" s="232"/>
      <c r="M3679" s="232"/>
      <c r="P3679" s="232"/>
      <c r="R3679" s="232"/>
      <c r="T3679" s="232"/>
    </row>
    <row r="3680" spans="3:20">
      <c r="C3680" s="232"/>
      <c r="E3680" s="232"/>
      <c r="G3680" s="232"/>
      <c r="I3680" s="232"/>
      <c r="K3680" s="232"/>
      <c r="M3680" s="232"/>
      <c r="P3680" s="232"/>
      <c r="R3680" s="232"/>
      <c r="T3680" s="232"/>
    </row>
    <row r="3681" spans="3:20">
      <c r="C3681" s="232"/>
      <c r="E3681" s="232"/>
      <c r="G3681" s="232"/>
      <c r="I3681" s="232"/>
      <c r="K3681" s="232"/>
      <c r="M3681" s="232"/>
      <c r="P3681" s="232"/>
      <c r="R3681" s="232"/>
      <c r="T3681" s="232"/>
    </row>
    <row r="3682" spans="3:20">
      <c r="C3682" s="232"/>
      <c r="E3682" s="232"/>
      <c r="G3682" s="232"/>
      <c r="I3682" s="232"/>
      <c r="K3682" s="232"/>
      <c r="M3682" s="232"/>
      <c r="P3682" s="232"/>
      <c r="R3682" s="232"/>
      <c r="T3682" s="232"/>
    </row>
    <row r="3683" spans="3:20">
      <c r="C3683" s="232"/>
      <c r="E3683" s="232"/>
      <c r="G3683" s="232"/>
      <c r="I3683" s="232"/>
      <c r="K3683" s="232"/>
      <c r="M3683" s="232"/>
      <c r="P3683" s="232"/>
      <c r="R3683" s="232"/>
      <c r="T3683" s="232"/>
    </row>
    <row r="3684" spans="3:20">
      <c r="C3684" s="232"/>
      <c r="E3684" s="232"/>
      <c r="G3684" s="232"/>
      <c r="I3684" s="232"/>
      <c r="K3684" s="232"/>
      <c r="M3684" s="232"/>
      <c r="P3684" s="232"/>
      <c r="R3684" s="232"/>
      <c r="T3684" s="232"/>
    </row>
    <row r="3685" spans="3:20">
      <c r="C3685" s="232"/>
      <c r="E3685" s="232"/>
      <c r="G3685" s="232"/>
      <c r="I3685" s="232"/>
      <c r="K3685" s="232"/>
      <c r="M3685" s="232"/>
      <c r="P3685" s="232"/>
      <c r="R3685" s="232"/>
      <c r="T3685" s="232"/>
    </row>
    <row r="3686" spans="3:20">
      <c r="C3686" s="232"/>
      <c r="E3686" s="232"/>
      <c r="G3686" s="232"/>
      <c r="I3686" s="232"/>
      <c r="K3686" s="232"/>
      <c r="M3686" s="232"/>
      <c r="P3686" s="232"/>
      <c r="R3686" s="232"/>
      <c r="T3686" s="232"/>
    </row>
    <row r="3687" spans="3:20">
      <c r="C3687" s="232"/>
      <c r="E3687" s="232"/>
      <c r="G3687" s="232"/>
      <c r="I3687" s="232"/>
      <c r="K3687" s="232"/>
      <c r="M3687" s="232"/>
      <c r="P3687" s="232"/>
      <c r="R3687" s="232"/>
      <c r="T3687" s="232"/>
    </row>
    <row r="3688" spans="3:20">
      <c r="C3688" s="232"/>
      <c r="E3688" s="232"/>
      <c r="G3688" s="232"/>
      <c r="I3688" s="232"/>
      <c r="K3688" s="232"/>
      <c r="M3688" s="232"/>
      <c r="P3688" s="232"/>
      <c r="R3688" s="232"/>
      <c r="T3688" s="232"/>
    </row>
    <row r="3689" spans="3:20">
      <c r="C3689" s="232"/>
      <c r="E3689" s="232"/>
      <c r="G3689" s="232"/>
      <c r="I3689" s="232"/>
      <c r="K3689" s="232"/>
      <c r="M3689" s="232"/>
      <c r="P3689" s="232"/>
      <c r="R3689" s="232"/>
      <c r="T3689" s="232"/>
    </row>
    <row r="3690" spans="3:20">
      <c r="C3690" s="232"/>
      <c r="E3690" s="232"/>
      <c r="G3690" s="232"/>
      <c r="I3690" s="232"/>
      <c r="K3690" s="232"/>
      <c r="M3690" s="232"/>
      <c r="P3690" s="232"/>
      <c r="R3690" s="232"/>
      <c r="T3690" s="232"/>
    </row>
    <row r="3691" spans="3:20">
      <c r="C3691" s="232"/>
      <c r="E3691" s="232"/>
      <c r="G3691" s="232"/>
      <c r="I3691" s="232"/>
      <c r="K3691" s="232"/>
      <c r="M3691" s="232"/>
      <c r="P3691" s="232"/>
      <c r="R3691" s="232"/>
      <c r="T3691" s="232"/>
    </row>
    <row r="3692" spans="3:20">
      <c r="C3692" s="232"/>
      <c r="E3692" s="232"/>
      <c r="G3692" s="232"/>
      <c r="I3692" s="232"/>
      <c r="K3692" s="232"/>
      <c r="M3692" s="232"/>
      <c r="P3692" s="232"/>
      <c r="R3692" s="232"/>
      <c r="T3692" s="232"/>
    </row>
    <row r="3693" spans="3:20">
      <c r="C3693" s="232"/>
      <c r="E3693" s="232"/>
      <c r="G3693" s="232"/>
      <c r="I3693" s="232"/>
      <c r="K3693" s="232"/>
      <c r="M3693" s="232"/>
      <c r="P3693" s="232"/>
      <c r="R3693" s="232"/>
      <c r="T3693" s="232"/>
    </row>
    <row r="3694" spans="3:20">
      <c r="C3694" s="232"/>
      <c r="E3694" s="232"/>
      <c r="G3694" s="232"/>
      <c r="I3694" s="232"/>
      <c r="K3694" s="232"/>
      <c r="M3694" s="232"/>
      <c r="P3694" s="232"/>
      <c r="R3694" s="232"/>
      <c r="T3694" s="232"/>
    </row>
    <row r="3695" spans="3:20">
      <c r="C3695" s="232"/>
      <c r="E3695" s="232"/>
      <c r="G3695" s="232"/>
      <c r="I3695" s="232"/>
      <c r="K3695" s="232"/>
      <c r="M3695" s="232"/>
      <c r="P3695" s="232"/>
      <c r="R3695" s="232"/>
      <c r="T3695" s="232"/>
    </row>
    <row r="3696" spans="3:20">
      <c r="C3696" s="232"/>
      <c r="E3696" s="232"/>
      <c r="G3696" s="232"/>
      <c r="I3696" s="232"/>
      <c r="K3696" s="232"/>
      <c r="M3696" s="232"/>
      <c r="P3696" s="232"/>
      <c r="R3696" s="232"/>
      <c r="T3696" s="232"/>
    </row>
    <row r="3697" spans="3:20">
      <c r="C3697" s="232"/>
      <c r="E3697" s="232"/>
      <c r="G3697" s="232"/>
      <c r="I3697" s="232"/>
      <c r="K3697" s="232"/>
      <c r="M3697" s="232"/>
      <c r="P3697" s="232"/>
      <c r="R3697" s="232"/>
      <c r="T3697" s="232"/>
    </row>
    <row r="3698" spans="3:20">
      <c r="C3698" s="232"/>
      <c r="E3698" s="232"/>
      <c r="G3698" s="232"/>
      <c r="I3698" s="232"/>
      <c r="K3698" s="232"/>
      <c r="M3698" s="232"/>
      <c r="P3698" s="232"/>
      <c r="R3698" s="232"/>
      <c r="T3698" s="232"/>
    </row>
    <row r="3699" spans="3:20">
      <c r="C3699" s="232"/>
      <c r="E3699" s="232"/>
      <c r="G3699" s="232"/>
      <c r="I3699" s="232"/>
      <c r="K3699" s="232"/>
      <c r="M3699" s="232"/>
      <c r="P3699" s="232"/>
      <c r="R3699" s="232"/>
      <c r="T3699" s="232"/>
    </row>
    <row r="3700" spans="3:20">
      <c r="C3700" s="232"/>
      <c r="E3700" s="232"/>
      <c r="G3700" s="232"/>
      <c r="I3700" s="232"/>
      <c r="K3700" s="232"/>
      <c r="M3700" s="232"/>
      <c r="P3700" s="232"/>
      <c r="R3700" s="232"/>
      <c r="T3700" s="232"/>
    </row>
    <row r="3701" spans="3:20">
      <c r="C3701" s="232"/>
      <c r="E3701" s="232"/>
      <c r="G3701" s="232"/>
      <c r="I3701" s="232"/>
      <c r="K3701" s="232"/>
      <c r="M3701" s="232"/>
      <c r="P3701" s="232"/>
      <c r="R3701" s="232"/>
      <c r="T3701" s="232"/>
    </row>
    <row r="3702" spans="3:20">
      <c r="C3702" s="232"/>
      <c r="E3702" s="232"/>
      <c r="G3702" s="232"/>
      <c r="I3702" s="232"/>
      <c r="K3702" s="232"/>
      <c r="M3702" s="232"/>
      <c r="P3702" s="232"/>
      <c r="R3702" s="232"/>
      <c r="T3702" s="232"/>
    </row>
    <row r="3703" spans="3:20">
      <c r="C3703" s="232"/>
      <c r="E3703" s="232"/>
      <c r="G3703" s="232"/>
      <c r="I3703" s="232"/>
      <c r="K3703" s="232"/>
      <c r="M3703" s="232"/>
      <c r="P3703" s="232"/>
      <c r="R3703" s="232"/>
      <c r="T3703" s="232"/>
    </row>
    <row r="3704" spans="3:20">
      <c r="C3704" s="232"/>
      <c r="E3704" s="232"/>
      <c r="G3704" s="232"/>
      <c r="I3704" s="232"/>
      <c r="K3704" s="232"/>
      <c r="M3704" s="232"/>
      <c r="P3704" s="232"/>
      <c r="R3704" s="232"/>
      <c r="T3704" s="232"/>
    </row>
    <row r="3705" spans="3:20">
      <c r="C3705" s="232"/>
      <c r="E3705" s="232"/>
      <c r="G3705" s="232"/>
      <c r="I3705" s="232"/>
      <c r="K3705" s="232"/>
      <c r="M3705" s="232"/>
      <c r="P3705" s="232"/>
      <c r="R3705" s="232"/>
      <c r="T3705" s="232"/>
    </row>
    <row r="3706" spans="3:20">
      <c r="C3706" s="232"/>
      <c r="E3706" s="232"/>
      <c r="G3706" s="232"/>
      <c r="I3706" s="232"/>
      <c r="K3706" s="232"/>
      <c r="M3706" s="232"/>
      <c r="P3706" s="232"/>
      <c r="R3706" s="232"/>
      <c r="T3706" s="232"/>
    </row>
    <row r="3707" spans="3:20">
      <c r="C3707" s="232"/>
      <c r="E3707" s="232"/>
      <c r="G3707" s="232"/>
      <c r="I3707" s="232"/>
      <c r="K3707" s="232"/>
      <c r="M3707" s="232"/>
      <c r="P3707" s="232"/>
      <c r="R3707" s="232"/>
      <c r="T3707" s="232"/>
    </row>
    <row r="3708" spans="3:20">
      <c r="C3708" s="232"/>
      <c r="E3708" s="232"/>
      <c r="G3708" s="232"/>
      <c r="I3708" s="232"/>
      <c r="K3708" s="232"/>
      <c r="M3708" s="232"/>
      <c r="P3708" s="232"/>
      <c r="R3708" s="232"/>
      <c r="T3708" s="232"/>
    </row>
    <row r="3709" spans="3:20">
      <c r="C3709" s="232"/>
      <c r="E3709" s="232"/>
      <c r="G3709" s="232"/>
      <c r="I3709" s="232"/>
      <c r="K3709" s="232"/>
      <c r="M3709" s="232"/>
      <c r="P3709" s="232"/>
      <c r="R3709" s="232"/>
      <c r="T3709" s="232"/>
    </row>
    <row r="3710" spans="3:20">
      <c r="C3710" s="232"/>
      <c r="E3710" s="232"/>
      <c r="G3710" s="232"/>
      <c r="I3710" s="232"/>
      <c r="K3710" s="232"/>
      <c r="M3710" s="232"/>
      <c r="P3710" s="232"/>
      <c r="R3710" s="232"/>
      <c r="T3710" s="232"/>
    </row>
    <row r="3711" spans="3:20">
      <c r="C3711" s="232"/>
      <c r="E3711" s="232"/>
      <c r="G3711" s="232"/>
      <c r="I3711" s="232"/>
      <c r="K3711" s="232"/>
      <c r="M3711" s="232"/>
      <c r="P3711" s="232"/>
      <c r="R3711" s="232"/>
      <c r="T3711" s="232"/>
    </row>
    <row r="3712" spans="3:20">
      <c r="C3712" s="232"/>
      <c r="E3712" s="232"/>
      <c r="G3712" s="232"/>
      <c r="I3712" s="232"/>
      <c r="K3712" s="232"/>
      <c r="M3712" s="232"/>
      <c r="P3712" s="232"/>
      <c r="R3712" s="232"/>
      <c r="T3712" s="232"/>
    </row>
    <row r="3713" spans="3:20">
      <c r="C3713" s="232"/>
      <c r="E3713" s="232"/>
      <c r="G3713" s="232"/>
      <c r="I3713" s="232"/>
      <c r="K3713" s="232"/>
      <c r="M3713" s="232"/>
      <c r="P3713" s="232"/>
      <c r="R3713" s="232"/>
      <c r="T3713" s="232"/>
    </row>
    <row r="3714" spans="3:20">
      <c r="C3714" s="232"/>
      <c r="E3714" s="232"/>
      <c r="G3714" s="232"/>
      <c r="I3714" s="232"/>
      <c r="K3714" s="232"/>
      <c r="M3714" s="232"/>
      <c r="P3714" s="232"/>
      <c r="R3714" s="232"/>
      <c r="T3714" s="232"/>
    </row>
    <row r="3715" spans="3:20">
      <c r="C3715" s="232"/>
      <c r="E3715" s="232"/>
      <c r="G3715" s="232"/>
      <c r="I3715" s="232"/>
      <c r="K3715" s="232"/>
      <c r="M3715" s="232"/>
      <c r="P3715" s="232"/>
      <c r="R3715" s="232"/>
      <c r="T3715" s="232"/>
    </row>
    <row r="3716" spans="3:20">
      <c r="C3716" s="232"/>
      <c r="E3716" s="232"/>
      <c r="G3716" s="232"/>
      <c r="I3716" s="232"/>
      <c r="K3716" s="232"/>
      <c r="M3716" s="232"/>
      <c r="P3716" s="232"/>
      <c r="R3716" s="232"/>
      <c r="T3716" s="232"/>
    </row>
    <row r="3717" spans="3:20">
      <c r="C3717" s="232"/>
      <c r="E3717" s="232"/>
      <c r="G3717" s="232"/>
      <c r="I3717" s="232"/>
      <c r="K3717" s="232"/>
      <c r="M3717" s="232"/>
      <c r="P3717" s="232"/>
      <c r="R3717" s="232"/>
      <c r="T3717" s="232"/>
    </row>
    <row r="3718" spans="3:20">
      <c r="C3718" s="232"/>
      <c r="E3718" s="232"/>
      <c r="G3718" s="232"/>
      <c r="I3718" s="232"/>
      <c r="K3718" s="232"/>
      <c r="M3718" s="232"/>
      <c r="P3718" s="232"/>
      <c r="R3718" s="232"/>
      <c r="T3718" s="232"/>
    </row>
    <row r="3719" spans="3:20">
      <c r="C3719" s="232"/>
      <c r="E3719" s="232"/>
      <c r="G3719" s="232"/>
      <c r="I3719" s="232"/>
      <c r="K3719" s="232"/>
      <c r="M3719" s="232"/>
      <c r="P3719" s="232"/>
      <c r="R3719" s="232"/>
      <c r="T3719" s="232"/>
    </row>
    <row r="3720" spans="3:20">
      <c r="C3720" s="232"/>
      <c r="E3720" s="232"/>
      <c r="G3720" s="232"/>
      <c r="I3720" s="232"/>
      <c r="K3720" s="232"/>
      <c r="M3720" s="232"/>
      <c r="P3720" s="232"/>
      <c r="R3720" s="232"/>
      <c r="T3720" s="232"/>
    </row>
    <row r="3721" spans="3:20">
      <c r="C3721" s="232"/>
      <c r="E3721" s="232"/>
      <c r="G3721" s="232"/>
      <c r="I3721" s="232"/>
      <c r="K3721" s="232"/>
      <c r="M3721" s="232"/>
      <c r="P3721" s="232"/>
      <c r="R3721" s="232"/>
      <c r="T3721" s="232"/>
    </row>
    <row r="3722" spans="3:20">
      <c r="C3722" s="232"/>
      <c r="E3722" s="232"/>
      <c r="G3722" s="232"/>
      <c r="I3722" s="232"/>
      <c r="K3722" s="232"/>
      <c r="M3722" s="232"/>
      <c r="P3722" s="232"/>
      <c r="R3722" s="232"/>
      <c r="T3722" s="232"/>
    </row>
    <row r="3723" spans="3:20">
      <c r="C3723" s="232"/>
      <c r="E3723" s="232"/>
      <c r="G3723" s="232"/>
      <c r="I3723" s="232"/>
      <c r="K3723" s="232"/>
      <c r="M3723" s="232"/>
      <c r="P3723" s="232"/>
      <c r="R3723" s="232"/>
      <c r="T3723" s="232"/>
    </row>
    <row r="3724" spans="3:20">
      <c r="C3724" s="232"/>
      <c r="E3724" s="232"/>
      <c r="G3724" s="232"/>
      <c r="I3724" s="232"/>
      <c r="K3724" s="232"/>
      <c r="M3724" s="232"/>
      <c r="P3724" s="232"/>
      <c r="R3724" s="232"/>
      <c r="T3724" s="232"/>
    </row>
    <row r="3725" spans="3:20">
      <c r="C3725" s="232"/>
      <c r="E3725" s="232"/>
      <c r="G3725" s="232"/>
      <c r="I3725" s="232"/>
      <c r="K3725" s="232"/>
      <c r="M3725" s="232"/>
      <c r="P3725" s="232"/>
      <c r="R3725" s="232"/>
      <c r="T3725" s="232"/>
    </row>
    <row r="3726" spans="3:20">
      <c r="C3726" s="232"/>
      <c r="E3726" s="232"/>
      <c r="G3726" s="232"/>
      <c r="I3726" s="232"/>
      <c r="K3726" s="232"/>
      <c r="M3726" s="232"/>
      <c r="P3726" s="232"/>
      <c r="R3726" s="232"/>
      <c r="T3726" s="232"/>
    </row>
    <row r="3727" spans="3:20">
      <c r="C3727" s="232"/>
      <c r="E3727" s="232"/>
      <c r="G3727" s="232"/>
      <c r="I3727" s="232"/>
      <c r="K3727" s="232"/>
      <c r="M3727" s="232"/>
      <c r="P3727" s="232"/>
      <c r="R3727" s="232"/>
      <c r="T3727" s="232"/>
    </row>
    <row r="3728" spans="3:20">
      <c r="C3728" s="232"/>
      <c r="E3728" s="232"/>
      <c r="G3728" s="232"/>
      <c r="I3728" s="232"/>
      <c r="K3728" s="232"/>
      <c r="M3728" s="232"/>
      <c r="P3728" s="232"/>
      <c r="R3728" s="232"/>
      <c r="T3728" s="232"/>
    </row>
    <row r="3729" spans="3:20">
      <c r="C3729" s="232"/>
      <c r="E3729" s="232"/>
      <c r="G3729" s="232"/>
      <c r="I3729" s="232"/>
      <c r="K3729" s="232"/>
      <c r="M3729" s="232"/>
      <c r="P3729" s="232"/>
      <c r="R3729" s="232"/>
      <c r="T3729" s="232"/>
    </row>
    <row r="3730" spans="3:20">
      <c r="C3730" s="232"/>
      <c r="E3730" s="232"/>
      <c r="G3730" s="232"/>
      <c r="I3730" s="232"/>
      <c r="K3730" s="232"/>
      <c r="M3730" s="232"/>
      <c r="P3730" s="232"/>
      <c r="R3730" s="232"/>
      <c r="T3730" s="232"/>
    </row>
    <row r="3731" spans="3:20">
      <c r="C3731" s="232"/>
      <c r="E3731" s="232"/>
      <c r="G3731" s="232"/>
      <c r="I3731" s="232"/>
      <c r="K3731" s="232"/>
      <c r="M3731" s="232"/>
      <c r="P3731" s="232"/>
      <c r="R3731" s="232"/>
      <c r="T3731" s="232"/>
    </row>
    <row r="3732" spans="3:20">
      <c r="C3732" s="232"/>
      <c r="E3732" s="232"/>
      <c r="G3732" s="232"/>
      <c r="I3732" s="232"/>
      <c r="K3732" s="232"/>
      <c r="M3732" s="232"/>
      <c r="P3732" s="232"/>
      <c r="R3732" s="232"/>
      <c r="T3732" s="232"/>
    </row>
    <row r="3733" spans="3:20">
      <c r="C3733" s="232"/>
      <c r="E3733" s="232"/>
      <c r="G3733" s="232"/>
      <c r="I3733" s="232"/>
      <c r="K3733" s="232"/>
      <c r="M3733" s="232"/>
      <c r="P3733" s="232"/>
      <c r="R3733" s="232"/>
      <c r="T3733" s="232"/>
    </row>
    <row r="3734" spans="3:20">
      <c r="C3734" s="232"/>
      <c r="E3734" s="232"/>
      <c r="G3734" s="232"/>
      <c r="I3734" s="232"/>
      <c r="K3734" s="232"/>
      <c r="M3734" s="232"/>
      <c r="P3734" s="232"/>
      <c r="R3734" s="232"/>
      <c r="T3734" s="232"/>
    </row>
    <row r="3735" spans="3:20">
      <c r="C3735" s="232"/>
      <c r="E3735" s="232"/>
      <c r="G3735" s="232"/>
      <c r="I3735" s="232"/>
      <c r="K3735" s="232"/>
      <c r="M3735" s="232"/>
      <c r="P3735" s="232"/>
      <c r="R3735" s="232"/>
      <c r="T3735" s="232"/>
    </row>
    <row r="3736" spans="3:20">
      <c r="C3736" s="232"/>
      <c r="E3736" s="232"/>
      <c r="G3736" s="232"/>
      <c r="I3736" s="232"/>
      <c r="K3736" s="232"/>
      <c r="M3736" s="232"/>
      <c r="P3736" s="232"/>
      <c r="R3736" s="232"/>
      <c r="T3736" s="232"/>
    </row>
    <row r="3737" spans="3:20">
      <c r="C3737" s="232"/>
      <c r="E3737" s="232"/>
      <c r="G3737" s="232"/>
      <c r="I3737" s="232"/>
      <c r="K3737" s="232"/>
      <c r="M3737" s="232"/>
      <c r="P3737" s="232"/>
      <c r="R3737" s="232"/>
      <c r="T3737" s="232"/>
    </row>
    <row r="3738" spans="3:20">
      <c r="C3738" s="232"/>
      <c r="E3738" s="232"/>
      <c r="G3738" s="232"/>
      <c r="I3738" s="232"/>
      <c r="K3738" s="232"/>
      <c r="M3738" s="232"/>
      <c r="P3738" s="232"/>
      <c r="R3738" s="232"/>
      <c r="T3738" s="232"/>
    </row>
    <row r="3739" spans="3:20">
      <c r="C3739" s="232"/>
      <c r="E3739" s="232"/>
      <c r="G3739" s="232"/>
      <c r="I3739" s="232"/>
      <c r="K3739" s="232"/>
      <c r="M3739" s="232"/>
      <c r="P3739" s="232"/>
      <c r="R3739" s="232"/>
      <c r="T3739" s="232"/>
    </row>
    <row r="3740" spans="3:20">
      <c r="C3740" s="232"/>
      <c r="E3740" s="232"/>
      <c r="G3740" s="232"/>
      <c r="I3740" s="232"/>
      <c r="K3740" s="232"/>
      <c r="M3740" s="232"/>
      <c r="P3740" s="232"/>
      <c r="R3740" s="232"/>
      <c r="T3740" s="232"/>
    </row>
    <row r="3741" spans="3:20">
      <c r="C3741" s="232"/>
      <c r="E3741" s="232"/>
      <c r="G3741" s="232"/>
      <c r="I3741" s="232"/>
      <c r="K3741" s="232"/>
      <c r="M3741" s="232"/>
      <c r="P3741" s="232"/>
      <c r="R3741" s="232"/>
      <c r="T3741" s="232"/>
    </row>
    <row r="3742" spans="3:20">
      <c r="C3742" s="232"/>
      <c r="E3742" s="232"/>
      <c r="G3742" s="232"/>
      <c r="I3742" s="232"/>
      <c r="K3742" s="232"/>
      <c r="M3742" s="232"/>
      <c r="P3742" s="232"/>
      <c r="R3742" s="232"/>
      <c r="T3742" s="232"/>
    </row>
    <row r="3743" spans="3:20">
      <c r="C3743" s="232"/>
      <c r="E3743" s="232"/>
      <c r="G3743" s="232"/>
      <c r="I3743" s="232"/>
      <c r="K3743" s="232"/>
      <c r="M3743" s="232"/>
      <c r="P3743" s="232"/>
      <c r="R3743" s="232"/>
      <c r="T3743" s="232"/>
    </row>
    <row r="3744" spans="3:20">
      <c r="C3744" s="232"/>
      <c r="E3744" s="232"/>
      <c r="G3744" s="232"/>
      <c r="I3744" s="232"/>
      <c r="K3744" s="232"/>
      <c r="M3744" s="232"/>
      <c r="P3744" s="232"/>
      <c r="R3744" s="232"/>
      <c r="T3744" s="232"/>
    </row>
    <row r="3745" spans="3:20">
      <c r="C3745" s="232"/>
      <c r="E3745" s="232"/>
      <c r="G3745" s="232"/>
      <c r="I3745" s="232"/>
      <c r="K3745" s="232"/>
      <c r="M3745" s="232"/>
      <c r="P3745" s="232"/>
      <c r="R3745" s="232"/>
      <c r="T3745" s="232"/>
    </row>
    <row r="3746" spans="3:20">
      <c r="C3746" s="232"/>
      <c r="E3746" s="232"/>
      <c r="G3746" s="232"/>
      <c r="I3746" s="232"/>
      <c r="K3746" s="232"/>
      <c r="M3746" s="232"/>
      <c r="P3746" s="232"/>
      <c r="R3746" s="232"/>
      <c r="T3746" s="232"/>
    </row>
    <row r="3747" spans="3:20">
      <c r="C3747" s="232"/>
      <c r="E3747" s="232"/>
      <c r="G3747" s="232"/>
      <c r="I3747" s="232"/>
      <c r="K3747" s="232"/>
      <c r="M3747" s="232"/>
      <c r="P3747" s="232"/>
      <c r="R3747" s="232"/>
      <c r="T3747" s="232"/>
    </row>
    <row r="3748" spans="3:20">
      <c r="C3748" s="232"/>
      <c r="E3748" s="232"/>
      <c r="G3748" s="232"/>
      <c r="I3748" s="232"/>
      <c r="K3748" s="232"/>
      <c r="M3748" s="232"/>
      <c r="P3748" s="232"/>
      <c r="R3748" s="232"/>
      <c r="T3748" s="232"/>
    </row>
    <row r="3749" spans="3:20">
      <c r="C3749" s="232"/>
      <c r="E3749" s="232"/>
      <c r="G3749" s="232"/>
      <c r="I3749" s="232"/>
      <c r="K3749" s="232"/>
      <c r="M3749" s="232"/>
      <c r="P3749" s="232"/>
      <c r="R3749" s="232"/>
      <c r="T3749" s="232"/>
    </row>
    <row r="3750" spans="3:20">
      <c r="C3750" s="232"/>
      <c r="E3750" s="232"/>
      <c r="G3750" s="232"/>
      <c r="I3750" s="232"/>
      <c r="K3750" s="232"/>
      <c r="M3750" s="232"/>
      <c r="P3750" s="232"/>
      <c r="R3750" s="232"/>
      <c r="T3750" s="232"/>
    </row>
    <row r="3751" spans="3:20">
      <c r="C3751" s="232"/>
      <c r="E3751" s="232"/>
      <c r="G3751" s="232"/>
      <c r="I3751" s="232"/>
      <c r="K3751" s="232"/>
      <c r="M3751" s="232"/>
      <c r="P3751" s="232"/>
      <c r="R3751" s="232"/>
      <c r="T3751" s="232"/>
    </row>
    <row r="3752" spans="3:20">
      <c r="C3752" s="232"/>
      <c r="E3752" s="232"/>
      <c r="G3752" s="232"/>
      <c r="I3752" s="232"/>
      <c r="K3752" s="232"/>
      <c r="M3752" s="232"/>
      <c r="P3752" s="232"/>
      <c r="R3752" s="232"/>
      <c r="T3752" s="232"/>
    </row>
    <row r="3753" spans="3:20">
      <c r="C3753" s="232"/>
      <c r="E3753" s="232"/>
      <c r="G3753" s="232"/>
      <c r="I3753" s="232"/>
      <c r="K3753" s="232"/>
      <c r="M3753" s="232"/>
      <c r="P3753" s="232"/>
      <c r="R3753" s="232"/>
      <c r="T3753" s="232"/>
    </row>
    <row r="3754" spans="3:20">
      <c r="C3754" s="232"/>
      <c r="E3754" s="232"/>
      <c r="G3754" s="232"/>
      <c r="I3754" s="232"/>
      <c r="K3754" s="232"/>
      <c r="M3754" s="232"/>
      <c r="P3754" s="232"/>
      <c r="R3754" s="232"/>
      <c r="T3754" s="232"/>
    </row>
    <row r="3755" spans="3:20">
      <c r="C3755" s="232"/>
      <c r="E3755" s="232"/>
      <c r="G3755" s="232"/>
      <c r="I3755" s="232"/>
      <c r="K3755" s="232"/>
      <c r="M3755" s="232"/>
      <c r="P3755" s="232"/>
      <c r="R3755" s="232"/>
      <c r="T3755" s="232"/>
    </row>
    <row r="3756" spans="3:20">
      <c r="C3756" s="232"/>
      <c r="E3756" s="232"/>
      <c r="G3756" s="232"/>
      <c r="I3756" s="232"/>
      <c r="K3756" s="232"/>
      <c r="M3756" s="232"/>
      <c r="P3756" s="232"/>
      <c r="R3756" s="232"/>
      <c r="T3756" s="232"/>
    </row>
    <row r="3757" spans="3:20">
      <c r="C3757" s="232"/>
      <c r="E3757" s="232"/>
      <c r="G3757" s="232"/>
      <c r="I3757" s="232"/>
      <c r="K3757" s="232"/>
      <c r="M3757" s="232"/>
      <c r="P3757" s="232"/>
      <c r="R3757" s="232"/>
      <c r="T3757" s="232"/>
    </row>
    <row r="3758" spans="3:20">
      <c r="C3758" s="232"/>
      <c r="E3758" s="232"/>
      <c r="G3758" s="232"/>
      <c r="I3758" s="232"/>
      <c r="K3758" s="232"/>
      <c r="M3758" s="232"/>
      <c r="P3758" s="232"/>
      <c r="R3758" s="232"/>
      <c r="T3758" s="232"/>
    </row>
    <row r="3759" spans="3:20">
      <c r="C3759" s="232"/>
      <c r="E3759" s="232"/>
      <c r="G3759" s="232"/>
      <c r="I3759" s="232"/>
      <c r="K3759" s="232"/>
      <c r="M3759" s="232"/>
      <c r="P3759" s="232"/>
      <c r="R3759" s="232"/>
      <c r="T3759" s="232"/>
    </row>
    <row r="3760" spans="3:20">
      <c r="C3760" s="232"/>
      <c r="E3760" s="232"/>
      <c r="G3760" s="232"/>
      <c r="I3760" s="232"/>
      <c r="K3760" s="232"/>
      <c r="M3760" s="232"/>
      <c r="P3760" s="232"/>
      <c r="R3760" s="232"/>
      <c r="T3760" s="232"/>
    </row>
    <row r="3761" spans="3:20">
      <c r="C3761" s="232"/>
      <c r="E3761" s="232"/>
      <c r="G3761" s="232"/>
      <c r="I3761" s="232"/>
      <c r="K3761" s="232"/>
      <c r="M3761" s="232"/>
      <c r="P3761" s="232"/>
      <c r="R3761" s="232"/>
      <c r="T3761" s="232"/>
    </row>
    <row r="3762" spans="3:20">
      <c r="C3762" s="232"/>
      <c r="E3762" s="232"/>
      <c r="G3762" s="232"/>
      <c r="I3762" s="232"/>
      <c r="K3762" s="232"/>
      <c r="M3762" s="232"/>
      <c r="P3762" s="232"/>
      <c r="R3762" s="232"/>
      <c r="T3762" s="232"/>
    </row>
    <row r="3763" spans="3:20">
      <c r="C3763" s="232"/>
      <c r="E3763" s="232"/>
      <c r="G3763" s="232"/>
      <c r="I3763" s="232"/>
      <c r="K3763" s="232"/>
      <c r="M3763" s="232"/>
      <c r="P3763" s="232"/>
      <c r="R3763" s="232"/>
      <c r="T3763" s="232"/>
    </row>
    <row r="3764" spans="3:20">
      <c r="C3764" s="232"/>
      <c r="E3764" s="232"/>
      <c r="G3764" s="232"/>
      <c r="I3764" s="232"/>
      <c r="K3764" s="232"/>
      <c r="M3764" s="232"/>
      <c r="P3764" s="232"/>
      <c r="R3764" s="232"/>
      <c r="T3764" s="232"/>
    </row>
    <row r="3765" spans="3:20">
      <c r="C3765" s="232"/>
      <c r="E3765" s="232"/>
      <c r="G3765" s="232"/>
      <c r="I3765" s="232"/>
      <c r="K3765" s="232"/>
      <c r="M3765" s="232"/>
      <c r="P3765" s="232"/>
      <c r="R3765" s="232"/>
      <c r="T3765" s="232"/>
    </row>
    <row r="3766" spans="3:20">
      <c r="C3766" s="232"/>
      <c r="E3766" s="232"/>
      <c r="G3766" s="232"/>
      <c r="I3766" s="232"/>
      <c r="K3766" s="232"/>
      <c r="M3766" s="232"/>
      <c r="P3766" s="232"/>
      <c r="R3766" s="232"/>
      <c r="T3766" s="232"/>
    </row>
    <row r="3767" spans="3:20">
      <c r="C3767" s="232"/>
      <c r="E3767" s="232"/>
      <c r="G3767" s="232"/>
      <c r="I3767" s="232"/>
      <c r="K3767" s="232"/>
      <c r="M3767" s="232"/>
      <c r="P3767" s="232"/>
      <c r="R3767" s="232"/>
      <c r="T3767" s="232"/>
    </row>
    <row r="3768" spans="3:20">
      <c r="C3768" s="232"/>
      <c r="E3768" s="232"/>
      <c r="G3768" s="232"/>
      <c r="I3768" s="232"/>
      <c r="K3768" s="232"/>
      <c r="M3768" s="232"/>
      <c r="P3768" s="232"/>
      <c r="R3768" s="232"/>
      <c r="T3768" s="232"/>
    </row>
    <row r="3769" spans="3:20">
      <c r="C3769" s="232"/>
      <c r="E3769" s="232"/>
      <c r="G3769" s="232"/>
      <c r="I3769" s="232"/>
      <c r="K3769" s="232"/>
      <c r="M3769" s="232"/>
      <c r="P3769" s="232"/>
      <c r="R3769" s="232"/>
      <c r="T3769" s="232"/>
    </row>
    <row r="3770" spans="3:20">
      <c r="C3770" s="232"/>
      <c r="E3770" s="232"/>
      <c r="G3770" s="232"/>
      <c r="I3770" s="232"/>
      <c r="K3770" s="232"/>
      <c r="M3770" s="232"/>
      <c r="P3770" s="232"/>
      <c r="R3770" s="232"/>
      <c r="T3770" s="232"/>
    </row>
    <row r="3771" spans="3:20">
      <c r="C3771" s="232"/>
      <c r="E3771" s="232"/>
      <c r="G3771" s="232"/>
      <c r="I3771" s="232"/>
      <c r="K3771" s="232"/>
      <c r="M3771" s="232"/>
      <c r="P3771" s="232"/>
      <c r="R3771" s="232"/>
      <c r="T3771" s="232"/>
    </row>
    <row r="3772" spans="3:20">
      <c r="C3772" s="232"/>
      <c r="E3772" s="232"/>
      <c r="G3772" s="232"/>
      <c r="I3772" s="232"/>
      <c r="K3772" s="232"/>
      <c r="M3772" s="232"/>
      <c r="P3772" s="232"/>
      <c r="R3772" s="232"/>
      <c r="T3772" s="232"/>
    </row>
    <row r="3773" spans="3:20">
      <c r="C3773" s="232"/>
      <c r="E3773" s="232"/>
      <c r="G3773" s="232"/>
      <c r="I3773" s="232"/>
      <c r="K3773" s="232"/>
      <c r="M3773" s="232"/>
      <c r="P3773" s="232"/>
      <c r="R3773" s="232"/>
      <c r="T3773" s="232"/>
    </row>
    <row r="3774" spans="3:20">
      <c r="C3774" s="232"/>
      <c r="E3774" s="232"/>
      <c r="G3774" s="232"/>
      <c r="I3774" s="232"/>
      <c r="K3774" s="232"/>
      <c r="M3774" s="232"/>
      <c r="P3774" s="232"/>
      <c r="R3774" s="232"/>
      <c r="T3774" s="232"/>
    </row>
    <row r="3775" spans="3:20">
      <c r="C3775" s="232"/>
      <c r="E3775" s="232"/>
      <c r="G3775" s="232"/>
      <c r="I3775" s="232"/>
      <c r="K3775" s="232"/>
      <c r="M3775" s="232"/>
      <c r="P3775" s="232"/>
      <c r="R3775" s="232"/>
      <c r="T3775" s="232"/>
    </row>
    <row r="3776" spans="3:20">
      <c r="C3776" s="232"/>
      <c r="E3776" s="232"/>
      <c r="G3776" s="232"/>
      <c r="I3776" s="232"/>
      <c r="K3776" s="232"/>
      <c r="M3776" s="232"/>
      <c r="P3776" s="232"/>
      <c r="R3776" s="232"/>
      <c r="T3776" s="232"/>
    </row>
    <row r="3777" spans="3:20">
      <c r="C3777" s="232"/>
      <c r="E3777" s="232"/>
      <c r="G3777" s="232"/>
      <c r="I3777" s="232"/>
      <c r="K3777" s="232"/>
      <c r="M3777" s="232"/>
      <c r="P3777" s="232"/>
      <c r="R3777" s="232"/>
      <c r="T3777" s="232"/>
    </row>
    <row r="3778" spans="3:20">
      <c r="C3778" s="232"/>
      <c r="E3778" s="232"/>
      <c r="G3778" s="232"/>
      <c r="I3778" s="232"/>
      <c r="K3778" s="232"/>
      <c r="M3778" s="232"/>
      <c r="P3778" s="232"/>
      <c r="R3778" s="232"/>
      <c r="T3778" s="232"/>
    </row>
    <row r="3779" spans="3:20">
      <c r="C3779" s="232"/>
      <c r="E3779" s="232"/>
      <c r="G3779" s="232"/>
      <c r="I3779" s="232"/>
      <c r="K3779" s="232"/>
      <c r="M3779" s="232"/>
      <c r="P3779" s="232"/>
      <c r="R3779" s="232"/>
      <c r="T3779" s="232"/>
    </row>
    <row r="3780" spans="3:20">
      <c r="C3780" s="232"/>
      <c r="E3780" s="232"/>
      <c r="G3780" s="232"/>
      <c r="I3780" s="232"/>
      <c r="K3780" s="232"/>
      <c r="M3780" s="232"/>
      <c r="P3780" s="232"/>
      <c r="R3780" s="232"/>
      <c r="T3780" s="232"/>
    </row>
    <row r="3781" spans="3:20">
      <c r="C3781" s="232"/>
      <c r="E3781" s="232"/>
      <c r="G3781" s="232"/>
      <c r="I3781" s="232"/>
      <c r="K3781" s="232"/>
      <c r="M3781" s="232"/>
      <c r="P3781" s="232"/>
      <c r="R3781" s="232"/>
      <c r="T3781" s="232"/>
    </row>
    <row r="3782" spans="3:20">
      <c r="C3782" s="232"/>
      <c r="E3782" s="232"/>
      <c r="G3782" s="232"/>
      <c r="I3782" s="232"/>
      <c r="K3782" s="232"/>
      <c r="M3782" s="232"/>
      <c r="P3782" s="232"/>
      <c r="R3782" s="232"/>
      <c r="T3782" s="232"/>
    </row>
    <row r="3783" spans="3:20">
      <c r="C3783" s="232"/>
      <c r="E3783" s="232"/>
      <c r="G3783" s="232"/>
      <c r="I3783" s="232"/>
      <c r="K3783" s="232"/>
      <c r="M3783" s="232"/>
      <c r="P3783" s="232"/>
      <c r="R3783" s="232"/>
      <c r="T3783" s="232"/>
    </row>
    <row r="3784" spans="3:20">
      <c r="C3784" s="232"/>
      <c r="E3784" s="232"/>
      <c r="G3784" s="232"/>
      <c r="I3784" s="232"/>
      <c r="K3784" s="232"/>
      <c r="M3784" s="232"/>
      <c r="P3784" s="232"/>
      <c r="R3784" s="232"/>
      <c r="T3784" s="232"/>
    </row>
    <row r="3785" spans="3:20">
      <c r="C3785" s="232"/>
      <c r="E3785" s="232"/>
      <c r="G3785" s="232"/>
      <c r="I3785" s="232"/>
      <c r="K3785" s="232"/>
      <c r="M3785" s="232"/>
      <c r="P3785" s="232"/>
      <c r="R3785" s="232"/>
      <c r="T3785" s="232"/>
    </row>
    <row r="3786" spans="3:20">
      <c r="C3786" s="232"/>
      <c r="E3786" s="232"/>
      <c r="G3786" s="232"/>
      <c r="I3786" s="232"/>
      <c r="K3786" s="232"/>
      <c r="M3786" s="232"/>
      <c r="P3786" s="232"/>
      <c r="R3786" s="232"/>
      <c r="T3786" s="232"/>
    </row>
    <row r="3787" spans="3:20">
      <c r="C3787" s="232"/>
      <c r="E3787" s="232"/>
      <c r="G3787" s="232"/>
      <c r="I3787" s="232"/>
      <c r="K3787" s="232"/>
      <c r="M3787" s="232"/>
      <c r="P3787" s="232"/>
      <c r="R3787" s="232"/>
      <c r="T3787" s="232"/>
    </row>
    <row r="3788" spans="3:20">
      <c r="C3788" s="232"/>
      <c r="E3788" s="232"/>
      <c r="G3788" s="232"/>
      <c r="I3788" s="232"/>
      <c r="K3788" s="232"/>
      <c r="M3788" s="232"/>
      <c r="P3788" s="232"/>
      <c r="R3788" s="232"/>
      <c r="T3788" s="232"/>
    </row>
    <row r="3789" spans="3:20">
      <c r="C3789" s="232"/>
      <c r="E3789" s="232"/>
      <c r="G3789" s="232"/>
      <c r="I3789" s="232"/>
      <c r="K3789" s="232"/>
      <c r="M3789" s="232"/>
      <c r="P3789" s="232"/>
      <c r="R3789" s="232"/>
      <c r="T3789" s="232"/>
    </row>
    <row r="3790" spans="3:20">
      <c r="C3790" s="232"/>
      <c r="E3790" s="232"/>
      <c r="G3790" s="232"/>
      <c r="I3790" s="232"/>
      <c r="K3790" s="232"/>
      <c r="M3790" s="232"/>
      <c r="P3790" s="232"/>
      <c r="R3790" s="232"/>
      <c r="T3790" s="232"/>
    </row>
    <row r="3791" spans="3:20">
      <c r="C3791" s="232"/>
      <c r="E3791" s="232"/>
      <c r="G3791" s="232"/>
      <c r="I3791" s="232"/>
      <c r="K3791" s="232"/>
      <c r="M3791" s="232"/>
      <c r="P3791" s="232"/>
      <c r="R3791" s="232"/>
      <c r="T3791" s="232"/>
    </row>
    <row r="3792" spans="3:20">
      <c r="C3792" s="232"/>
      <c r="E3792" s="232"/>
      <c r="G3792" s="232"/>
      <c r="I3792" s="232"/>
      <c r="K3792" s="232"/>
      <c r="M3792" s="232"/>
      <c r="P3792" s="232"/>
      <c r="R3792" s="232"/>
      <c r="T3792" s="232"/>
    </row>
    <row r="3793" spans="3:20">
      <c r="C3793" s="232"/>
      <c r="E3793" s="232"/>
      <c r="G3793" s="232"/>
      <c r="I3793" s="232"/>
      <c r="K3793" s="232"/>
      <c r="M3793" s="232"/>
      <c r="P3793" s="232"/>
      <c r="R3793" s="232"/>
      <c r="T3793" s="232"/>
    </row>
    <row r="3794" spans="3:20">
      <c r="C3794" s="232"/>
      <c r="E3794" s="232"/>
      <c r="G3794" s="232"/>
      <c r="I3794" s="232"/>
      <c r="K3794" s="232"/>
      <c r="M3794" s="232"/>
      <c r="P3794" s="232"/>
      <c r="R3794" s="232"/>
      <c r="T3794" s="232"/>
    </row>
    <row r="3795" spans="3:20">
      <c r="C3795" s="232"/>
      <c r="E3795" s="232"/>
      <c r="G3795" s="232"/>
      <c r="I3795" s="232"/>
      <c r="K3795" s="232"/>
      <c r="M3795" s="232"/>
      <c r="P3795" s="232"/>
      <c r="R3795" s="232"/>
      <c r="T3795" s="232"/>
    </row>
    <row r="3796" spans="3:20">
      <c r="C3796" s="232"/>
      <c r="E3796" s="232"/>
      <c r="G3796" s="232"/>
      <c r="I3796" s="232"/>
      <c r="K3796" s="232"/>
      <c r="M3796" s="232"/>
      <c r="P3796" s="232"/>
      <c r="R3796" s="232"/>
      <c r="T3796" s="232"/>
    </row>
    <row r="3797" spans="3:20">
      <c r="C3797" s="232"/>
      <c r="E3797" s="232"/>
      <c r="G3797" s="232"/>
      <c r="I3797" s="232"/>
      <c r="K3797" s="232"/>
      <c r="M3797" s="232"/>
      <c r="P3797" s="232"/>
      <c r="R3797" s="232"/>
      <c r="T3797" s="232"/>
    </row>
    <row r="3798" spans="3:20">
      <c r="C3798" s="232"/>
      <c r="E3798" s="232"/>
      <c r="G3798" s="232"/>
      <c r="I3798" s="232"/>
      <c r="K3798" s="232"/>
      <c r="M3798" s="232"/>
      <c r="P3798" s="232"/>
      <c r="R3798" s="232"/>
      <c r="T3798" s="232"/>
    </row>
    <row r="3799" spans="3:20">
      <c r="C3799" s="232"/>
      <c r="E3799" s="232"/>
      <c r="G3799" s="232"/>
      <c r="I3799" s="232"/>
      <c r="K3799" s="232"/>
      <c r="M3799" s="232"/>
      <c r="P3799" s="232"/>
      <c r="R3799" s="232"/>
      <c r="T3799" s="232"/>
    </row>
    <row r="3800" spans="3:20">
      <c r="C3800" s="232"/>
      <c r="E3800" s="232"/>
      <c r="G3800" s="232"/>
      <c r="I3800" s="232"/>
      <c r="K3800" s="232"/>
      <c r="M3800" s="232"/>
      <c r="P3800" s="232"/>
      <c r="R3800" s="232"/>
      <c r="T3800" s="232"/>
    </row>
    <row r="3801" spans="3:20">
      <c r="C3801" s="232"/>
      <c r="E3801" s="232"/>
      <c r="G3801" s="232"/>
      <c r="I3801" s="232"/>
      <c r="K3801" s="232"/>
      <c r="M3801" s="232"/>
      <c r="P3801" s="232"/>
      <c r="R3801" s="232"/>
      <c r="T3801" s="232"/>
    </row>
    <row r="3802" spans="3:20">
      <c r="C3802" s="232"/>
      <c r="E3802" s="232"/>
      <c r="G3802" s="232"/>
      <c r="I3802" s="232"/>
      <c r="K3802" s="232"/>
      <c r="M3802" s="232"/>
      <c r="P3802" s="232"/>
      <c r="R3802" s="232"/>
      <c r="T3802" s="232"/>
    </row>
    <row r="3803" spans="3:20">
      <c r="C3803" s="232"/>
      <c r="E3803" s="232"/>
      <c r="G3803" s="232"/>
      <c r="I3803" s="232"/>
      <c r="K3803" s="232"/>
      <c r="M3803" s="232"/>
      <c r="P3803" s="232"/>
      <c r="R3803" s="232"/>
      <c r="T3803" s="232"/>
    </row>
    <row r="3804" spans="3:20">
      <c r="C3804" s="232"/>
      <c r="E3804" s="232"/>
      <c r="G3804" s="232"/>
      <c r="I3804" s="232"/>
      <c r="K3804" s="232"/>
      <c r="M3804" s="232"/>
      <c r="P3804" s="232"/>
      <c r="R3804" s="232"/>
      <c r="T3804" s="232"/>
    </row>
    <row r="3805" spans="3:20">
      <c r="C3805" s="232"/>
      <c r="E3805" s="232"/>
      <c r="G3805" s="232"/>
      <c r="I3805" s="232"/>
      <c r="K3805" s="232"/>
      <c r="M3805" s="232"/>
      <c r="P3805" s="232"/>
      <c r="R3805" s="232"/>
      <c r="T3805" s="232"/>
    </row>
    <row r="3806" spans="3:20">
      <c r="C3806" s="232"/>
      <c r="E3806" s="232"/>
      <c r="G3806" s="232"/>
      <c r="I3806" s="232"/>
      <c r="K3806" s="232"/>
      <c r="M3806" s="232"/>
      <c r="P3806" s="232"/>
      <c r="R3806" s="232"/>
      <c r="T3806" s="232"/>
    </row>
    <row r="3807" spans="3:20">
      <c r="C3807" s="232"/>
      <c r="E3807" s="232"/>
      <c r="G3807" s="232"/>
      <c r="I3807" s="232"/>
      <c r="K3807" s="232"/>
      <c r="M3807" s="232"/>
      <c r="P3807" s="232"/>
      <c r="R3807" s="232"/>
      <c r="T3807" s="232"/>
    </row>
    <row r="3808" spans="3:20">
      <c r="C3808" s="232"/>
      <c r="E3808" s="232"/>
      <c r="G3808" s="232"/>
      <c r="I3808" s="232"/>
      <c r="K3808" s="232"/>
      <c r="M3808" s="232"/>
      <c r="P3808" s="232"/>
      <c r="R3808" s="232"/>
      <c r="T3808" s="232"/>
    </row>
    <row r="3809" spans="3:20">
      <c r="C3809" s="232"/>
      <c r="E3809" s="232"/>
      <c r="G3809" s="232"/>
      <c r="I3809" s="232"/>
      <c r="K3809" s="232"/>
      <c r="M3809" s="232"/>
      <c r="P3809" s="232"/>
      <c r="R3809" s="232"/>
      <c r="T3809" s="232"/>
    </row>
    <row r="3810" spans="3:20">
      <c r="C3810" s="232"/>
      <c r="E3810" s="232"/>
      <c r="G3810" s="232"/>
      <c r="I3810" s="232"/>
      <c r="K3810" s="232"/>
      <c r="M3810" s="232"/>
      <c r="P3810" s="232"/>
      <c r="R3810" s="232"/>
      <c r="T3810" s="232"/>
    </row>
    <row r="3811" spans="3:20">
      <c r="C3811" s="232"/>
      <c r="E3811" s="232"/>
      <c r="G3811" s="232"/>
      <c r="I3811" s="232"/>
      <c r="K3811" s="232"/>
      <c r="M3811" s="232"/>
      <c r="P3811" s="232"/>
      <c r="R3811" s="232"/>
      <c r="T3811" s="232"/>
    </row>
    <row r="3812" spans="3:20">
      <c r="C3812" s="232"/>
      <c r="E3812" s="232"/>
      <c r="G3812" s="232"/>
      <c r="I3812" s="232"/>
      <c r="K3812" s="232"/>
      <c r="M3812" s="232"/>
      <c r="P3812" s="232"/>
      <c r="R3812" s="232"/>
      <c r="T3812" s="232"/>
    </row>
    <row r="3813" spans="3:20">
      <c r="C3813" s="232"/>
      <c r="E3813" s="232"/>
      <c r="G3813" s="232"/>
      <c r="I3813" s="232"/>
      <c r="K3813" s="232"/>
      <c r="M3813" s="232"/>
      <c r="P3813" s="232"/>
      <c r="R3813" s="232"/>
      <c r="T3813" s="232"/>
    </row>
    <row r="3814" spans="3:20">
      <c r="C3814" s="232"/>
      <c r="E3814" s="232"/>
      <c r="G3814" s="232"/>
      <c r="I3814" s="232"/>
      <c r="K3814" s="232"/>
      <c r="M3814" s="232"/>
      <c r="P3814" s="232"/>
      <c r="R3814" s="232"/>
      <c r="T3814" s="232"/>
    </row>
    <row r="3815" spans="3:20">
      <c r="C3815" s="232"/>
      <c r="E3815" s="232"/>
      <c r="G3815" s="232"/>
      <c r="I3815" s="232"/>
      <c r="K3815" s="232"/>
      <c r="M3815" s="232"/>
      <c r="P3815" s="232"/>
      <c r="R3815" s="232"/>
      <c r="T3815" s="232"/>
    </row>
    <row r="3816" spans="3:20">
      <c r="C3816" s="232"/>
      <c r="E3816" s="232"/>
      <c r="G3816" s="232"/>
      <c r="I3816" s="232"/>
      <c r="K3816" s="232"/>
      <c r="M3816" s="232"/>
      <c r="P3816" s="232"/>
      <c r="R3816" s="232"/>
      <c r="T3816" s="232"/>
    </row>
    <row r="3817" spans="3:20">
      <c r="C3817" s="232"/>
      <c r="E3817" s="232"/>
      <c r="G3817" s="232"/>
      <c r="I3817" s="232"/>
      <c r="K3817" s="232"/>
      <c r="M3817" s="232"/>
      <c r="P3817" s="232"/>
      <c r="R3817" s="232"/>
      <c r="T3817" s="232"/>
    </row>
    <row r="3818" spans="3:20">
      <c r="C3818" s="232"/>
      <c r="E3818" s="232"/>
      <c r="G3818" s="232"/>
      <c r="I3818" s="232"/>
      <c r="K3818" s="232"/>
      <c r="M3818" s="232"/>
      <c r="P3818" s="232"/>
      <c r="R3818" s="232"/>
      <c r="T3818" s="232"/>
    </row>
    <row r="3819" spans="3:20">
      <c r="C3819" s="232"/>
      <c r="E3819" s="232"/>
      <c r="G3819" s="232"/>
      <c r="I3819" s="232"/>
      <c r="K3819" s="232"/>
      <c r="M3819" s="232"/>
      <c r="P3819" s="232"/>
      <c r="R3819" s="232"/>
      <c r="T3819" s="232"/>
    </row>
    <row r="3820" spans="3:20">
      <c r="C3820" s="232"/>
      <c r="E3820" s="232"/>
      <c r="G3820" s="232"/>
      <c r="I3820" s="232"/>
      <c r="K3820" s="232"/>
      <c r="M3820" s="232"/>
      <c r="P3820" s="232"/>
      <c r="R3820" s="232"/>
      <c r="T3820" s="232"/>
    </row>
    <row r="3821" spans="3:20">
      <c r="C3821" s="232"/>
      <c r="E3821" s="232"/>
      <c r="G3821" s="232"/>
      <c r="I3821" s="232"/>
      <c r="K3821" s="232"/>
      <c r="M3821" s="232"/>
      <c r="P3821" s="232"/>
      <c r="R3821" s="232"/>
      <c r="T3821" s="232"/>
    </row>
    <row r="3822" spans="3:20">
      <c r="C3822" s="232"/>
      <c r="E3822" s="232"/>
      <c r="G3822" s="232"/>
      <c r="I3822" s="232"/>
      <c r="K3822" s="232"/>
      <c r="M3822" s="232"/>
      <c r="P3822" s="232"/>
      <c r="R3822" s="232"/>
      <c r="T3822" s="232"/>
    </row>
    <row r="3823" spans="3:20">
      <c r="C3823" s="232"/>
      <c r="E3823" s="232"/>
      <c r="G3823" s="232"/>
      <c r="I3823" s="232"/>
      <c r="K3823" s="232"/>
      <c r="M3823" s="232"/>
      <c r="P3823" s="232"/>
      <c r="R3823" s="232"/>
      <c r="T3823" s="232"/>
    </row>
    <row r="3824" spans="3:20">
      <c r="C3824" s="232"/>
      <c r="E3824" s="232"/>
      <c r="G3824" s="232"/>
      <c r="I3824" s="232"/>
      <c r="K3824" s="232"/>
      <c r="M3824" s="232"/>
      <c r="P3824" s="232"/>
      <c r="R3824" s="232"/>
      <c r="T3824" s="232"/>
    </row>
    <row r="3825" spans="3:20">
      <c r="C3825" s="232"/>
      <c r="E3825" s="232"/>
      <c r="G3825" s="232"/>
      <c r="I3825" s="232"/>
      <c r="K3825" s="232"/>
      <c r="M3825" s="232"/>
      <c r="P3825" s="232"/>
      <c r="R3825" s="232"/>
      <c r="T3825" s="232"/>
    </row>
    <row r="3826" spans="3:20">
      <c r="C3826" s="232"/>
      <c r="E3826" s="232"/>
      <c r="G3826" s="232"/>
      <c r="I3826" s="232"/>
      <c r="K3826" s="232"/>
      <c r="M3826" s="232"/>
      <c r="P3826" s="232"/>
      <c r="R3826" s="232"/>
      <c r="T3826" s="232"/>
    </row>
    <row r="3827" spans="3:20">
      <c r="C3827" s="232"/>
      <c r="E3827" s="232"/>
      <c r="G3827" s="232"/>
      <c r="I3827" s="232"/>
      <c r="K3827" s="232"/>
      <c r="M3827" s="232"/>
      <c r="P3827" s="232"/>
      <c r="R3827" s="232"/>
      <c r="T3827" s="232"/>
    </row>
    <row r="3828" spans="3:20">
      <c r="C3828" s="232"/>
      <c r="E3828" s="232"/>
      <c r="G3828" s="232"/>
      <c r="I3828" s="232"/>
      <c r="K3828" s="232"/>
      <c r="M3828" s="232"/>
      <c r="P3828" s="232"/>
      <c r="R3828" s="232"/>
      <c r="T3828" s="232"/>
    </row>
    <row r="3829" spans="3:20">
      <c r="C3829" s="232"/>
      <c r="E3829" s="232"/>
      <c r="G3829" s="232"/>
      <c r="I3829" s="232"/>
      <c r="K3829" s="232"/>
      <c r="M3829" s="232"/>
      <c r="P3829" s="232"/>
      <c r="R3829" s="232"/>
      <c r="T3829" s="232"/>
    </row>
    <row r="3830" spans="3:20">
      <c r="C3830" s="232"/>
      <c r="E3830" s="232"/>
      <c r="G3830" s="232"/>
      <c r="I3830" s="232"/>
      <c r="K3830" s="232"/>
      <c r="M3830" s="232"/>
      <c r="P3830" s="232"/>
      <c r="R3830" s="232"/>
      <c r="T3830" s="232"/>
    </row>
    <row r="3831" spans="3:20">
      <c r="C3831" s="232"/>
      <c r="E3831" s="232"/>
      <c r="G3831" s="232"/>
      <c r="I3831" s="232"/>
      <c r="K3831" s="232"/>
      <c r="M3831" s="232"/>
      <c r="P3831" s="232"/>
      <c r="R3831" s="232"/>
      <c r="T3831" s="232"/>
    </row>
    <row r="3832" spans="3:20">
      <c r="C3832" s="232"/>
      <c r="E3832" s="232"/>
      <c r="G3832" s="232"/>
      <c r="I3832" s="232"/>
      <c r="K3832" s="232"/>
      <c r="M3832" s="232"/>
      <c r="P3832" s="232"/>
      <c r="R3832" s="232"/>
      <c r="T3832" s="232"/>
    </row>
    <row r="3833" spans="3:20">
      <c r="C3833" s="232"/>
      <c r="E3833" s="232"/>
      <c r="G3833" s="232"/>
      <c r="I3833" s="232"/>
      <c r="K3833" s="232"/>
      <c r="M3833" s="232"/>
      <c r="P3833" s="232"/>
      <c r="R3833" s="232"/>
      <c r="T3833" s="232"/>
    </row>
    <row r="3834" spans="3:20">
      <c r="C3834" s="232"/>
      <c r="E3834" s="232"/>
      <c r="G3834" s="232"/>
      <c r="I3834" s="232"/>
      <c r="K3834" s="232"/>
      <c r="M3834" s="232"/>
      <c r="P3834" s="232"/>
      <c r="R3834" s="232"/>
      <c r="T3834" s="232"/>
    </row>
    <row r="3835" spans="3:20">
      <c r="C3835" s="232"/>
      <c r="E3835" s="232"/>
      <c r="G3835" s="232"/>
      <c r="I3835" s="232"/>
      <c r="K3835" s="232"/>
      <c r="M3835" s="232"/>
      <c r="P3835" s="232"/>
      <c r="R3835" s="232"/>
      <c r="T3835" s="232"/>
    </row>
    <row r="3836" spans="3:20">
      <c r="C3836" s="232"/>
      <c r="E3836" s="232"/>
      <c r="G3836" s="232"/>
      <c r="I3836" s="232"/>
      <c r="K3836" s="232"/>
      <c r="M3836" s="232"/>
      <c r="P3836" s="232"/>
      <c r="R3836" s="232"/>
      <c r="T3836" s="232"/>
    </row>
    <row r="3837" spans="3:20">
      <c r="C3837" s="232"/>
      <c r="E3837" s="232"/>
      <c r="G3837" s="232"/>
      <c r="I3837" s="232"/>
      <c r="K3837" s="232"/>
      <c r="M3837" s="232"/>
      <c r="P3837" s="232"/>
      <c r="R3837" s="232"/>
      <c r="T3837" s="232"/>
    </row>
    <row r="3838" spans="3:20">
      <c r="C3838" s="232"/>
      <c r="E3838" s="232"/>
      <c r="G3838" s="232"/>
      <c r="I3838" s="232"/>
      <c r="K3838" s="232"/>
      <c r="M3838" s="232"/>
      <c r="P3838" s="232"/>
      <c r="R3838" s="232"/>
      <c r="T3838" s="232"/>
    </row>
    <row r="3839" spans="3:20">
      <c r="C3839" s="232"/>
      <c r="E3839" s="232"/>
      <c r="G3839" s="232"/>
      <c r="I3839" s="232"/>
      <c r="K3839" s="232"/>
      <c r="M3839" s="232"/>
      <c r="P3839" s="232"/>
      <c r="R3839" s="232"/>
      <c r="T3839" s="232"/>
    </row>
    <row r="3840" spans="3:20">
      <c r="C3840" s="232"/>
      <c r="E3840" s="232"/>
      <c r="G3840" s="232"/>
      <c r="I3840" s="232"/>
      <c r="K3840" s="232"/>
      <c r="M3840" s="232"/>
      <c r="P3840" s="232"/>
      <c r="R3840" s="232"/>
      <c r="T3840" s="232"/>
    </row>
    <row r="3841" spans="3:20">
      <c r="C3841" s="232"/>
      <c r="E3841" s="232"/>
      <c r="G3841" s="232"/>
      <c r="I3841" s="232"/>
      <c r="K3841" s="232"/>
      <c r="M3841" s="232"/>
      <c r="P3841" s="232"/>
      <c r="R3841" s="232"/>
      <c r="T3841" s="232"/>
    </row>
    <row r="3842" spans="3:20">
      <c r="C3842" s="232"/>
      <c r="E3842" s="232"/>
      <c r="G3842" s="232"/>
      <c r="I3842" s="232"/>
      <c r="K3842" s="232"/>
      <c r="M3842" s="232"/>
      <c r="P3842" s="232"/>
      <c r="R3842" s="232"/>
      <c r="T3842" s="232"/>
    </row>
    <row r="3843" spans="3:20">
      <c r="C3843" s="232"/>
      <c r="E3843" s="232"/>
      <c r="G3843" s="232"/>
      <c r="I3843" s="232"/>
      <c r="K3843" s="232"/>
      <c r="M3843" s="232"/>
      <c r="P3843" s="232"/>
      <c r="R3843" s="232"/>
      <c r="T3843" s="232"/>
    </row>
    <row r="3844" spans="3:20">
      <c r="C3844" s="232"/>
      <c r="E3844" s="232"/>
      <c r="G3844" s="232"/>
      <c r="I3844" s="232"/>
      <c r="K3844" s="232"/>
      <c r="M3844" s="232"/>
      <c r="P3844" s="232"/>
      <c r="R3844" s="232"/>
      <c r="T3844" s="232"/>
    </row>
    <row r="3845" spans="3:20">
      <c r="C3845" s="232"/>
      <c r="E3845" s="232"/>
      <c r="G3845" s="232"/>
      <c r="I3845" s="232"/>
      <c r="K3845" s="232"/>
      <c r="M3845" s="232"/>
      <c r="P3845" s="232"/>
      <c r="R3845" s="232"/>
      <c r="T3845" s="232"/>
    </row>
    <row r="3846" spans="3:20">
      <c r="C3846" s="232"/>
      <c r="E3846" s="232"/>
      <c r="G3846" s="232"/>
      <c r="I3846" s="232"/>
      <c r="K3846" s="232"/>
      <c r="M3846" s="232"/>
      <c r="P3846" s="232"/>
      <c r="R3846" s="232"/>
      <c r="T3846" s="232"/>
    </row>
    <row r="3847" spans="3:20">
      <c r="C3847" s="232"/>
      <c r="E3847" s="232"/>
      <c r="G3847" s="232"/>
      <c r="I3847" s="232"/>
      <c r="K3847" s="232"/>
      <c r="M3847" s="232"/>
      <c r="P3847" s="232"/>
      <c r="R3847" s="232"/>
      <c r="T3847" s="232"/>
    </row>
    <row r="3848" spans="3:20">
      <c r="C3848" s="232"/>
      <c r="E3848" s="232"/>
      <c r="G3848" s="232"/>
      <c r="I3848" s="232"/>
      <c r="K3848" s="232"/>
      <c r="M3848" s="232"/>
      <c r="P3848" s="232"/>
      <c r="R3848" s="232"/>
      <c r="T3848" s="232"/>
    </row>
    <row r="3849" spans="3:20">
      <c r="C3849" s="232"/>
      <c r="E3849" s="232"/>
      <c r="G3849" s="232"/>
      <c r="I3849" s="232"/>
      <c r="K3849" s="232"/>
      <c r="M3849" s="232"/>
      <c r="P3849" s="232"/>
      <c r="R3849" s="232"/>
      <c r="T3849" s="232"/>
    </row>
    <row r="3850" spans="3:20">
      <c r="C3850" s="232"/>
      <c r="E3850" s="232"/>
      <c r="G3850" s="232"/>
      <c r="I3850" s="232"/>
      <c r="K3850" s="232"/>
      <c r="M3850" s="232"/>
      <c r="P3850" s="232"/>
      <c r="R3850" s="232"/>
      <c r="T3850" s="232"/>
    </row>
    <row r="3851" spans="3:20">
      <c r="C3851" s="232"/>
      <c r="E3851" s="232"/>
      <c r="G3851" s="232"/>
      <c r="I3851" s="232"/>
      <c r="K3851" s="232"/>
      <c r="M3851" s="232"/>
      <c r="P3851" s="232"/>
      <c r="R3851" s="232"/>
      <c r="T3851" s="232"/>
    </row>
    <row r="3852" spans="3:20">
      <c r="C3852" s="232"/>
      <c r="E3852" s="232"/>
      <c r="G3852" s="232"/>
      <c r="I3852" s="232"/>
      <c r="K3852" s="232"/>
      <c r="M3852" s="232"/>
      <c r="P3852" s="232"/>
      <c r="R3852" s="232"/>
      <c r="T3852" s="232"/>
    </row>
    <row r="3853" spans="3:20">
      <c r="C3853" s="232"/>
      <c r="E3853" s="232"/>
      <c r="G3853" s="232"/>
      <c r="I3853" s="232"/>
      <c r="K3853" s="232"/>
      <c r="M3853" s="232"/>
      <c r="P3853" s="232"/>
      <c r="R3853" s="232"/>
      <c r="T3853" s="232"/>
    </row>
    <row r="3854" spans="3:20">
      <c r="C3854" s="232"/>
      <c r="E3854" s="232"/>
      <c r="G3854" s="232"/>
      <c r="I3854" s="232"/>
      <c r="K3854" s="232"/>
      <c r="M3854" s="232"/>
      <c r="P3854" s="232"/>
      <c r="R3854" s="232"/>
      <c r="T3854" s="232"/>
    </row>
    <row r="3855" spans="3:20">
      <c r="C3855" s="232"/>
      <c r="E3855" s="232"/>
      <c r="G3855" s="232"/>
      <c r="I3855" s="232"/>
      <c r="K3855" s="232"/>
      <c r="M3855" s="232"/>
      <c r="P3855" s="232"/>
      <c r="R3855" s="232"/>
      <c r="T3855" s="232"/>
    </row>
    <row r="3856" spans="3:20">
      <c r="C3856" s="232"/>
      <c r="E3856" s="232"/>
      <c r="G3856" s="232"/>
      <c r="I3856" s="232"/>
      <c r="K3856" s="232"/>
      <c r="M3856" s="232"/>
      <c r="P3856" s="232"/>
      <c r="R3856" s="232"/>
      <c r="T3856" s="232"/>
    </row>
    <row r="3857" spans="3:20">
      <c r="C3857" s="232"/>
      <c r="E3857" s="232"/>
      <c r="G3857" s="232"/>
      <c r="I3857" s="232"/>
      <c r="K3857" s="232"/>
      <c r="M3857" s="232"/>
      <c r="P3857" s="232"/>
      <c r="R3857" s="232"/>
      <c r="T3857" s="232"/>
    </row>
    <row r="3858" spans="3:20">
      <c r="C3858" s="232"/>
      <c r="E3858" s="232"/>
      <c r="G3858" s="232"/>
      <c r="I3858" s="232"/>
      <c r="K3858" s="232"/>
      <c r="M3858" s="232"/>
      <c r="P3858" s="232"/>
      <c r="R3858" s="232"/>
      <c r="T3858" s="232"/>
    </row>
    <row r="3859" spans="3:20">
      <c r="C3859" s="232"/>
      <c r="E3859" s="232"/>
      <c r="G3859" s="232"/>
      <c r="I3859" s="232"/>
      <c r="K3859" s="232"/>
      <c r="M3859" s="232"/>
      <c r="P3859" s="232"/>
      <c r="R3859" s="232"/>
      <c r="T3859" s="232"/>
    </row>
    <row r="3860" spans="3:20">
      <c r="C3860" s="232"/>
      <c r="E3860" s="232"/>
      <c r="G3860" s="232"/>
      <c r="I3860" s="232"/>
      <c r="K3860" s="232"/>
      <c r="M3860" s="232"/>
      <c r="P3860" s="232"/>
      <c r="R3860" s="232"/>
      <c r="T3860" s="232"/>
    </row>
    <row r="3861" spans="3:20">
      <c r="C3861" s="232"/>
      <c r="E3861" s="232"/>
      <c r="G3861" s="232"/>
      <c r="I3861" s="232"/>
      <c r="K3861" s="232"/>
      <c r="M3861" s="232"/>
      <c r="P3861" s="232"/>
      <c r="R3861" s="232"/>
      <c r="T3861" s="232"/>
    </row>
    <row r="3862" spans="3:20">
      <c r="C3862" s="232"/>
      <c r="E3862" s="232"/>
      <c r="G3862" s="232"/>
      <c r="I3862" s="232"/>
      <c r="K3862" s="232"/>
      <c r="M3862" s="232"/>
      <c r="P3862" s="232"/>
      <c r="R3862" s="232"/>
      <c r="T3862" s="232"/>
    </row>
    <row r="3863" spans="3:20">
      <c r="C3863" s="232"/>
      <c r="E3863" s="232"/>
      <c r="G3863" s="232"/>
      <c r="I3863" s="232"/>
      <c r="K3863" s="232"/>
      <c r="M3863" s="232"/>
      <c r="P3863" s="232"/>
      <c r="R3863" s="232"/>
      <c r="T3863" s="232"/>
    </row>
    <row r="3864" spans="3:20">
      <c r="C3864" s="232"/>
      <c r="E3864" s="232"/>
      <c r="G3864" s="232"/>
      <c r="I3864" s="232"/>
      <c r="K3864" s="232"/>
      <c r="M3864" s="232"/>
      <c r="P3864" s="232"/>
      <c r="R3864" s="232"/>
      <c r="T3864" s="232"/>
    </row>
    <row r="3865" spans="3:20">
      <c r="C3865" s="232"/>
      <c r="E3865" s="232"/>
      <c r="G3865" s="232"/>
      <c r="I3865" s="232"/>
      <c r="K3865" s="232"/>
      <c r="M3865" s="232"/>
      <c r="P3865" s="232"/>
      <c r="R3865" s="232"/>
      <c r="T3865" s="232"/>
    </row>
    <row r="3866" spans="3:20">
      <c r="C3866" s="232"/>
      <c r="E3866" s="232"/>
      <c r="G3866" s="232"/>
      <c r="I3866" s="232"/>
      <c r="K3866" s="232"/>
      <c r="M3866" s="232"/>
      <c r="P3866" s="232"/>
      <c r="R3866" s="232"/>
      <c r="T3866" s="232"/>
    </row>
    <row r="3867" spans="3:20">
      <c r="C3867" s="232"/>
      <c r="E3867" s="232"/>
      <c r="G3867" s="232"/>
      <c r="I3867" s="232"/>
      <c r="K3867" s="232"/>
      <c r="M3867" s="232"/>
      <c r="P3867" s="232"/>
      <c r="R3867" s="232"/>
      <c r="T3867" s="232"/>
    </row>
    <row r="3868" spans="3:20">
      <c r="C3868" s="232"/>
      <c r="E3868" s="232"/>
      <c r="G3868" s="232"/>
      <c r="I3868" s="232"/>
      <c r="K3868" s="232"/>
      <c r="M3868" s="232"/>
      <c r="P3868" s="232"/>
      <c r="R3868" s="232"/>
      <c r="T3868" s="232"/>
    </row>
    <row r="3869" spans="3:20">
      <c r="C3869" s="232"/>
      <c r="E3869" s="232"/>
      <c r="G3869" s="232"/>
      <c r="I3869" s="232"/>
      <c r="K3869" s="232"/>
      <c r="M3869" s="232"/>
      <c r="P3869" s="232"/>
      <c r="R3869" s="232"/>
      <c r="T3869" s="232"/>
    </row>
    <row r="3870" spans="3:20">
      <c r="C3870" s="232"/>
      <c r="E3870" s="232"/>
      <c r="G3870" s="232"/>
      <c r="I3870" s="232"/>
      <c r="K3870" s="232"/>
      <c r="M3870" s="232"/>
      <c r="P3870" s="232"/>
      <c r="R3870" s="232"/>
      <c r="T3870" s="232"/>
    </row>
    <row r="3871" spans="3:20">
      <c r="C3871" s="232"/>
      <c r="E3871" s="232"/>
      <c r="G3871" s="232"/>
      <c r="I3871" s="232"/>
      <c r="K3871" s="232"/>
      <c r="M3871" s="232"/>
      <c r="P3871" s="232"/>
      <c r="R3871" s="232"/>
      <c r="T3871" s="232"/>
    </row>
    <row r="3872" spans="3:20">
      <c r="C3872" s="232"/>
      <c r="E3872" s="232"/>
      <c r="G3872" s="232"/>
      <c r="I3872" s="232"/>
      <c r="K3872" s="232"/>
      <c r="M3872" s="232"/>
      <c r="P3872" s="232"/>
      <c r="R3872" s="232"/>
      <c r="T3872" s="232"/>
    </row>
    <row r="3873" spans="3:20">
      <c r="C3873" s="232"/>
      <c r="E3873" s="232"/>
      <c r="G3873" s="232"/>
      <c r="I3873" s="232"/>
      <c r="K3873" s="232"/>
      <c r="M3873" s="232"/>
      <c r="P3873" s="232"/>
      <c r="R3873" s="232"/>
      <c r="T3873" s="232"/>
    </row>
    <row r="3874" spans="3:20">
      <c r="C3874" s="232"/>
      <c r="E3874" s="232"/>
      <c r="G3874" s="232"/>
      <c r="I3874" s="232"/>
      <c r="K3874" s="232"/>
      <c r="M3874" s="232"/>
      <c r="P3874" s="232"/>
      <c r="R3874" s="232"/>
      <c r="T3874" s="232"/>
    </row>
    <row r="3875" spans="3:20">
      <c r="C3875" s="232"/>
      <c r="E3875" s="232"/>
      <c r="G3875" s="232"/>
      <c r="I3875" s="232"/>
      <c r="K3875" s="232"/>
      <c r="M3875" s="232"/>
      <c r="P3875" s="232"/>
      <c r="R3875" s="232"/>
      <c r="T3875" s="232"/>
    </row>
    <row r="3876" spans="3:20">
      <c r="C3876" s="232"/>
      <c r="E3876" s="232"/>
      <c r="G3876" s="232"/>
      <c r="I3876" s="232"/>
      <c r="K3876" s="232"/>
      <c r="M3876" s="232"/>
      <c r="P3876" s="232"/>
      <c r="R3876" s="232"/>
      <c r="T3876" s="232"/>
    </row>
    <row r="3877" spans="3:20">
      <c r="C3877" s="232"/>
      <c r="E3877" s="232"/>
      <c r="G3877" s="232"/>
      <c r="I3877" s="232"/>
      <c r="K3877" s="232"/>
      <c r="M3877" s="232"/>
      <c r="P3877" s="232"/>
      <c r="R3877" s="232"/>
      <c r="T3877" s="232"/>
    </row>
    <row r="3878" spans="3:20">
      <c r="C3878" s="232"/>
      <c r="E3878" s="232"/>
      <c r="G3878" s="232"/>
      <c r="I3878" s="232"/>
      <c r="K3878" s="232"/>
      <c r="M3878" s="232"/>
      <c r="P3878" s="232"/>
      <c r="R3878" s="232"/>
      <c r="T3878" s="232"/>
    </row>
    <row r="3879" spans="3:20">
      <c r="C3879" s="232"/>
      <c r="E3879" s="232"/>
      <c r="G3879" s="232"/>
      <c r="I3879" s="232"/>
      <c r="K3879" s="232"/>
      <c r="M3879" s="232"/>
      <c r="P3879" s="232"/>
      <c r="R3879" s="232"/>
      <c r="T3879" s="232"/>
    </row>
    <row r="3880" spans="3:20">
      <c r="C3880" s="232"/>
      <c r="E3880" s="232"/>
      <c r="G3880" s="232"/>
      <c r="I3880" s="232"/>
      <c r="K3880" s="232"/>
      <c r="M3880" s="232"/>
      <c r="P3880" s="232"/>
      <c r="R3880" s="232"/>
      <c r="T3880" s="232"/>
    </row>
    <row r="3881" spans="3:20">
      <c r="C3881" s="232"/>
      <c r="E3881" s="232"/>
      <c r="G3881" s="232"/>
      <c r="I3881" s="232"/>
      <c r="K3881" s="232"/>
      <c r="M3881" s="232"/>
      <c r="P3881" s="232"/>
      <c r="R3881" s="232"/>
      <c r="T3881" s="232"/>
    </row>
    <row r="3882" spans="3:20">
      <c r="C3882" s="232"/>
      <c r="E3882" s="232"/>
      <c r="G3882" s="232"/>
      <c r="I3882" s="232"/>
      <c r="K3882" s="232"/>
      <c r="M3882" s="232"/>
      <c r="P3882" s="232"/>
      <c r="R3882" s="232"/>
      <c r="T3882" s="232"/>
    </row>
    <row r="3883" spans="3:20">
      <c r="C3883" s="232"/>
      <c r="E3883" s="232"/>
      <c r="G3883" s="232"/>
      <c r="I3883" s="232"/>
      <c r="K3883" s="232"/>
      <c r="M3883" s="232"/>
      <c r="P3883" s="232"/>
      <c r="R3883" s="232"/>
      <c r="T3883" s="232"/>
    </row>
    <row r="3884" spans="3:20">
      <c r="C3884" s="232"/>
      <c r="E3884" s="232"/>
      <c r="G3884" s="232"/>
      <c r="I3884" s="232"/>
      <c r="K3884" s="232"/>
      <c r="M3884" s="232"/>
      <c r="P3884" s="232"/>
      <c r="R3884" s="232"/>
      <c r="T3884" s="232"/>
    </row>
    <row r="3885" spans="3:20">
      <c r="C3885" s="232"/>
      <c r="E3885" s="232"/>
      <c r="G3885" s="232"/>
      <c r="I3885" s="232"/>
      <c r="K3885" s="232"/>
      <c r="M3885" s="232"/>
      <c r="P3885" s="232"/>
      <c r="R3885" s="232"/>
      <c r="T3885" s="232"/>
    </row>
    <row r="3886" spans="3:20">
      <c r="C3886" s="232"/>
      <c r="E3886" s="232"/>
      <c r="G3886" s="232"/>
      <c r="I3886" s="232"/>
      <c r="K3886" s="232"/>
      <c r="M3886" s="232"/>
      <c r="P3886" s="232"/>
      <c r="R3886" s="232"/>
      <c r="T3886" s="232"/>
    </row>
    <row r="3887" spans="3:20">
      <c r="C3887" s="232"/>
      <c r="E3887" s="232"/>
      <c r="G3887" s="232"/>
      <c r="I3887" s="232"/>
      <c r="K3887" s="232"/>
      <c r="M3887" s="232"/>
      <c r="P3887" s="232"/>
      <c r="R3887" s="232"/>
      <c r="T3887" s="232"/>
    </row>
    <row r="3888" spans="3:20">
      <c r="C3888" s="232"/>
      <c r="E3888" s="232"/>
      <c r="G3888" s="232"/>
      <c r="I3888" s="232"/>
      <c r="K3888" s="232"/>
      <c r="M3888" s="232"/>
      <c r="P3888" s="232"/>
      <c r="R3888" s="232"/>
      <c r="T3888" s="232"/>
    </row>
    <row r="3889" spans="3:20">
      <c r="C3889" s="232"/>
      <c r="E3889" s="232"/>
      <c r="G3889" s="232"/>
      <c r="I3889" s="232"/>
      <c r="K3889" s="232"/>
      <c r="M3889" s="232"/>
      <c r="P3889" s="232"/>
      <c r="R3889" s="232"/>
      <c r="T3889" s="232"/>
    </row>
    <row r="3890" spans="3:20">
      <c r="C3890" s="232"/>
      <c r="E3890" s="232"/>
      <c r="G3890" s="232"/>
      <c r="I3890" s="232"/>
      <c r="K3890" s="232"/>
      <c r="M3890" s="232"/>
      <c r="P3890" s="232"/>
      <c r="R3890" s="232"/>
      <c r="T3890" s="232"/>
    </row>
    <row r="3891" spans="3:20">
      <c r="C3891" s="232"/>
      <c r="E3891" s="232"/>
      <c r="G3891" s="232"/>
      <c r="I3891" s="232"/>
      <c r="K3891" s="232"/>
      <c r="M3891" s="232"/>
      <c r="P3891" s="232"/>
      <c r="R3891" s="232"/>
      <c r="T3891" s="232"/>
    </row>
    <row r="3892" spans="3:20">
      <c r="C3892" s="232"/>
      <c r="E3892" s="232"/>
      <c r="G3892" s="232"/>
      <c r="I3892" s="232"/>
      <c r="K3892" s="232"/>
      <c r="M3892" s="232"/>
      <c r="P3892" s="232"/>
      <c r="R3892" s="232"/>
      <c r="T3892" s="232"/>
    </row>
    <row r="3893" spans="3:20">
      <c r="C3893" s="232"/>
      <c r="E3893" s="232"/>
      <c r="G3893" s="232"/>
      <c r="I3893" s="232"/>
      <c r="K3893" s="232"/>
      <c r="M3893" s="232"/>
      <c r="P3893" s="232"/>
      <c r="R3893" s="232"/>
      <c r="T3893" s="232"/>
    </row>
    <row r="3894" spans="3:20">
      <c r="C3894" s="232"/>
      <c r="E3894" s="232"/>
      <c r="G3894" s="232"/>
      <c r="I3894" s="232"/>
      <c r="K3894" s="232"/>
      <c r="M3894" s="232"/>
      <c r="P3894" s="232"/>
      <c r="R3894" s="232"/>
      <c r="T3894" s="232"/>
    </row>
    <row r="3895" spans="3:20">
      <c r="C3895" s="232"/>
      <c r="E3895" s="232"/>
      <c r="G3895" s="232"/>
      <c r="I3895" s="232"/>
      <c r="K3895" s="232"/>
      <c r="M3895" s="232"/>
      <c r="P3895" s="232"/>
      <c r="R3895" s="232"/>
      <c r="T3895" s="232"/>
    </row>
    <row r="3896" spans="3:20">
      <c r="C3896" s="232"/>
      <c r="E3896" s="232"/>
      <c r="G3896" s="232"/>
      <c r="I3896" s="232"/>
      <c r="K3896" s="232"/>
      <c r="M3896" s="232"/>
      <c r="P3896" s="232"/>
      <c r="R3896" s="232"/>
      <c r="T3896" s="232"/>
    </row>
    <row r="3897" spans="3:20">
      <c r="C3897" s="232"/>
      <c r="E3897" s="232"/>
      <c r="G3897" s="232"/>
      <c r="I3897" s="232"/>
      <c r="K3897" s="232"/>
      <c r="M3897" s="232"/>
      <c r="P3897" s="232"/>
      <c r="R3897" s="232"/>
      <c r="T3897" s="232"/>
    </row>
    <row r="3898" spans="3:20">
      <c r="C3898" s="232"/>
      <c r="E3898" s="232"/>
      <c r="G3898" s="232"/>
      <c r="I3898" s="232"/>
      <c r="K3898" s="232"/>
      <c r="M3898" s="232"/>
      <c r="P3898" s="232"/>
      <c r="R3898" s="232"/>
      <c r="T3898" s="232"/>
    </row>
    <row r="3899" spans="3:20">
      <c r="C3899" s="232"/>
      <c r="E3899" s="232"/>
      <c r="G3899" s="232"/>
      <c r="I3899" s="232"/>
      <c r="K3899" s="232"/>
      <c r="M3899" s="232"/>
      <c r="P3899" s="232"/>
      <c r="R3899" s="232"/>
      <c r="T3899" s="232"/>
    </row>
    <row r="3900" spans="3:20">
      <c r="C3900" s="232"/>
      <c r="E3900" s="232"/>
      <c r="G3900" s="232"/>
      <c r="I3900" s="232"/>
      <c r="K3900" s="232"/>
      <c r="M3900" s="232"/>
      <c r="P3900" s="232"/>
      <c r="R3900" s="232"/>
      <c r="T3900" s="232"/>
    </row>
    <row r="3901" spans="3:20">
      <c r="C3901" s="232"/>
      <c r="E3901" s="232"/>
      <c r="G3901" s="232"/>
      <c r="I3901" s="232"/>
      <c r="K3901" s="232"/>
      <c r="M3901" s="232"/>
      <c r="P3901" s="232"/>
      <c r="R3901" s="232"/>
      <c r="T3901" s="232"/>
    </row>
    <row r="3902" spans="3:20">
      <c r="C3902" s="232"/>
      <c r="E3902" s="232"/>
      <c r="G3902" s="232"/>
      <c r="I3902" s="232"/>
      <c r="K3902" s="232"/>
      <c r="M3902" s="232"/>
      <c r="P3902" s="232"/>
      <c r="R3902" s="232"/>
      <c r="T3902" s="232"/>
    </row>
    <row r="3903" spans="3:20">
      <c r="C3903" s="232"/>
      <c r="E3903" s="232"/>
      <c r="G3903" s="232"/>
      <c r="I3903" s="232"/>
      <c r="K3903" s="232"/>
      <c r="M3903" s="232"/>
      <c r="P3903" s="232"/>
      <c r="R3903" s="232"/>
      <c r="T3903" s="232"/>
    </row>
    <row r="3904" spans="3:20">
      <c r="C3904" s="232"/>
      <c r="E3904" s="232"/>
      <c r="G3904" s="232"/>
      <c r="I3904" s="232"/>
      <c r="K3904" s="232"/>
      <c r="M3904" s="232"/>
      <c r="P3904" s="232"/>
      <c r="R3904" s="232"/>
      <c r="T3904" s="232"/>
    </row>
    <row r="3905" spans="3:20">
      <c r="C3905" s="232"/>
      <c r="E3905" s="232"/>
      <c r="G3905" s="232"/>
      <c r="I3905" s="232"/>
      <c r="K3905" s="232"/>
      <c r="M3905" s="232"/>
      <c r="P3905" s="232"/>
      <c r="R3905" s="232"/>
      <c r="T3905" s="232"/>
    </row>
    <row r="3906" spans="3:20">
      <c r="C3906" s="232"/>
      <c r="E3906" s="232"/>
      <c r="G3906" s="232"/>
      <c r="I3906" s="232"/>
      <c r="K3906" s="232"/>
      <c r="M3906" s="232"/>
      <c r="P3906" s="232"/>
      <c r="R3906" s="232"/>
      <c r="T3906" s="232"/>
    </row>
    <row r="3907" spans="3:20">
      <c r="C3907" s="232"/>
      <c r="E3907" s="232"/>
      <c r="G3907" s="232"/>
      <c r="I3907" s="232"/>
      <c r="K3907" s="232"/>
      <c r="M3907" s="232"/>
      <c r="P3907" s="232"/>
      <c r="R3907" s="232"/>
      <c r="T3907" s="232"/>
    </row>
    <row r="3908" spans="3:20">
      <c r="C3908" s="232"/>
      <c r="E3908" s="232"/>
      <c r="G3908" s="232"/>
      <c r="I3908" s="232"/>
      <c r="K3908" s="232"/>
      <c r="M3908" s="232"/>
      <c r="P3908" s="232"/>
      <c r="R3908" s="232"/>
      <c r="T3908" s="232"/>
    </row>
    <row r="3909" spans="3:20">
      <c r="C3909" s="232"/>
      <c r="E3909" s="232"/>
      <c r="G3909" s="232"/>
      <c r="I3909" s="232"/>
      <c r="K3909" s="232"/>
      <c r="M3909" s="232"/>
      <c r="P3909" s="232"/>
      <c r="R3909" s="232"/>
      <c r="T3909" s="232"/>
    </row>
    <row r="3910" spans="3:20">
      <c r="C3910" s="232"/>
      <c r="E3910" s="232"/>
      <c r="G3910" s="232"/>
      <c r="I3910" s="232"/>
      <c r="K3910" s="232"/>
      <c r="M3910" s="232"/>
      <c r="P3910" s="232"/>
      <c r="R3910" s="232"/>
      <c r="T3910" s="232"/>
    </row>
    <row r="3911" spans="3:20">
      <c r="C3911" s="232"/>
      <c r="E3911" s="232"/>
      <c r="G3911" s="232"/>
      <c r="I3911" s="232"/>
      <c r="K3911" s="232"/>
      <c r="M3911" s="232"/>
      <c r="P3911" s="232"/>
      <c r="R3911" s="232"/>
      <c r="T3911" s="232"/>
    </row>
    <row r="3912" spans="3:20">
      <c r="C3912" s="232"/>
      <c r="E3912" s="232"/>
      <c r="G3912" s="232"/>
      <c r="I3912" s="232"/>
      <c r="K3912" s="232"/>
      <c r="M3912" s="232"/>
      <c r="P3912" s="232"/>
      <c r="R3912" s="232"/>
      <c r="T3912" s="232"/>
    </row>
    <row r="3913" spans="3:20">
      <c r="C3913" s="232"/>
      <c r="E3913" s="232"/>
      <c r="G3913" s="232"/>
      <c r="I3913" s="232"/>
      <c r="K3913" s="232"/>
      <c r="M3913" s="232"/>
      <c r="P3913" s="232"/>
      <c r="R3913" s="232"/>
      <c r="T3913" s="232"/>
    </row>
    <row r="3914" spans="3:20">
      <c r="C3914" s="232"/>
      <c r="E3914" s="232"/>
      <c r="G3914" s="232"/>
      <c r="I3914" s="232"/>
      <c r="K3914" s="232"/>
      <c r="M3914" s="232"/>
      <c r="P3914" s="232"/>
      <c r="R3914" s="232"/>
      <c r="T3914" s="232"/>
    </row>
    <row r="3915" spans="3:20">
      <c r="C3915" s="232"/>
      <c r="E3915" s="232"/>
      <c r="G3915" s="232"/>
      <c r="I3915" s="232"/>
      <c r="K3915" s="232"/>
      <c r="M3915" s="232"/>
      <c r="P3915" s="232"/>
      <c r="R3915" s="232"/>
      <c r="T3915" s="232"/>
    </row>
    <row r="3916" spans="3:20">
      <c r="C3916" s="232"/>
      <c r="E3916" s="232"/>
      <c r="G3916" s="232"/>
      <c r="I3916" s="232"/>
      <c r="K3916" s="232"/>
      <c r="M3916" s="232"/>
      <c r="P3916" s="232"/>
      <c r="R3916" s="232"/>
      <c r="T3916" s="232"/>
    </row>
    <row r="3917" spans="3:20">
      <c r="C3917" s="232"/>
      <c r="E3917" s="232"/>
      <c r="G3917" s="232"/>
      <c r="I3917" s="232"/>
      <c r="K3917" s="232"/>
      <c r="M3917" s="232"/>
      <c r="P3917" s="232"/>
      <c r="R3917" s="232"/>
      <c r="T3917" s="232"/>
    </row>
    <row r="3918" spans="3:20">
      <c r="C3918" s="232"/>
      <c r="E3918" s="232"/>
      <c r="G3918" s="232"/>
      <c r="I3918" s="232"/>
      <c r="K3918" s="232"/>
      <c r="M3918" s="232"/>
      <c r="P3918" s="232"/>
      <c r="R3918" s="232"/>
      <c r="T3918" s="232"/>
    </row>
    <row r="3919" spans="3:20">
      <c r="C3919" s="232"/>
      <c r="E3919" s="232"/>
      <c r="G3919" s="232"/>
      <c r="I3919" s="232"/>
      <c r="K3919" s="232"/>
      <c r="M3919" s="232"/>
      <c r="P3919" s="232"/>
      <c r="R3919" s="232"/>
      <c r="T3919" s="232"/>
    </row>
    <row r="3920" spans="3:20">
      <c r="C3920" s="232"/>
      <c r="E3920" s="232"/>
      <c r="G3920" s="232"/>
      <c r="I3920" s="232"/>
      <c r="K3920" s="232"/>
      <c r="M3920" s="232"/>
      <c r="P3920" s="232"/>
      <c r="R3920" s="232"/>
      <c r="T3920" s="232"/>
    </row>
    <row r="3921" spans="3:20">
      <c r="C3921" s="232"/>
      <c r="E3921" s="232"/>
      <c r="G3921" s="232"/>
      <c r="I3921" s="232"/>
      <c r="K3921" s="232"/>
      <c r="M3921" s="232"/>
      <c r="P3921" s="232"/>
      <c r="R3921" s="232"/>
      <c r="T3921" s="232"/>
    </row>
    <row r="3922" spans="3:20">
      <c r="C3922" s="232"/>
      <c r="E3922" s="232"/>
      <c r="G3922" s="232"/>
      <c r="I3922" s="232"/>
      <c r="K3922" s="232"/>
      <c r="M3922" s="232"/>
      <c r="P3922" s="232"/>
      <c r="R3922" s="232"/>
      <c r="T3922" s="232"/>
    </row>
    <row r="3923" spans="3:20">
      <c r="C3923" s="232"/>
      <c r="E3923" s="232"/>
      <c r="G3923" s="232"/>
      <c r="I3923" s="232"/>
      <c r="K3923" s="232"/>
      <c r="M3923" s="232"/>
      <c r="P3923" s="232"/>
      <c r="R3923" s="232"/>
      <c r="T3923" s="232"/>
    </row>
    <row r="3924" spans="3:20">
      <c r="C3924" s="232"/>
      <c r="E3924" s="232"/>
      <c r="G3924" s="232"/>
      <c r="I3924" s="232"/>
      <c r="K3924" s="232"/>
      <c r="M3924" s="232"/>
      <c r="P3924" s="232"/>
      <c r="R3924" s="232"/>
      <c r="T3924" s="232"/>
    </row>
    <row r="3925" spans="3:20">
      <c r="C3925" s="232"/>
      <c r="E3925" s="232"/>
      <c r="G3925" s="232"/>
      <c r="I3925" s="232"/>
      <c r="K3925" s="232"/>
      <c r="M3925" s="232"/>
      <c r="P3925" s="232"/>
      <c r="R3925" s="232"/>
      <c r="T3925" s="232"/>
    </row>
    <row r="3926" spans="3:20">
      <c r="C3926" s="232"/>
      <c r="E3926" s="232"/>
      <c r="G3926" s="232"/>
      <c r="I3926" s="232"/>
      <c r="K3926" s="232"/>
      <c r="M3926" s="232"/>
      <c r="P3926" s="232"/>
      <c r="R3926" s="232"/>
      <c r="T3926" s="232"/>
    </row>
    <row r="3927" spans="3:20">
      <c r="C3927" s="232"/>
      <c r="E3927" s="232"/>
      <c r="G3927" s="232"/>
      <c r="I3927" s="232"/>
      <c r="K3927" s="232"/>
      <c r="M3927" s="232"/>
      <c r="P3927" s="232"/>
      <c r="R3927" s="232"/>
      <c r="T3927" s="232"/>
    </row>
    <row r="3928" spans="3:20">
      <c r="C3928" s="232"/>
      <c r="E3928" s="232"/>
      <c r="G3928" s="232"/>
      <c r="I3928" s="232"/>
      <c r="K3928" s="232"/>
      <c r="M3928" s="232"/>
      <c r="P3928" s="232"/>
      <c r="R3928" s="232"/>
      <c r="T3928" s="232"/>
    </row>
    <row r="3929" spans="3:20">
      <c r="C3929" s="232"/>
      <c r="E3929" s="232"/>
      <c r="G3929" s="232"/>
      <c r="I3929" s="232"/>
      <c r="K3929" s="232"/>
      <c r="M3929" s="232"/>
      <c r="P3929" s="232"/>
      <c r="R3929" s="232"/>
      <c r="T3929" s="232"/>
    </row>
    <row r="3930" spans="3:20">
      <c r="C3930" s="232"/>
      <c r="E3930" s="232"/>
      <c r="G3930" s="232"/>
      <c r="I3930" s="232"/>
      <c r="K3930" s="232"/>
      <c r="M3930" s="232"/>
      <c r="P3930" s="232"/>
      <c r="R3930" s="232"/>
      <c r="T3930" s="232"/>
    </row>
    <row r="3931" spans="3:20">
      <c r="C3931" s="232"/>
      <c r="E3931" s="232"/>
      <c r="G3931" s="232"/>
      <c r="I3931" s="232"/>
      <c r="K3931" s="232"/>
      <c r="M3931" s="232"/>
      <c r="P3931" s="232"/>
      <c r="R3931" s="232"/>
      <c r="T3931" s="232"/>
    </row>
    <row r="3932" spans="3:20">
      <c r="C3932" s="232"/>
      <c r="E3932" s="232"/>
      <c r="G3932" s="232"/>
      <c r="I3932" s="232"/>
      <c r="K3932" s="232"/>
      <c r="M3932" s="232"/>
      <c r="P3932" s="232"/>
      <c r="R3932" s="232"/>
      <c r="T3932" s="232"/>
    </row>
    <row r="3933" spans="3:20">
      <c r="C3933" s="232"/>
      <c r="E3933" s="232"/>
      <c r="G3933" s="232"/>
      <c r="I3933" s="232"/>
      <c r="K3933" s="232"/>
      <c r="M3933" s="232"/>
      <c r="P3933" s="232"/>
      <c r="R3933" s="232"/>
      <c r="T3933" s="232"/>
    </row>
    <row r="3934" spans="3:20">
      <c r="C3934" s="232"/>
      <c r="E3934" s="232"/>
      <c r="G3934" s="232"/>
      <c r="I3934" s="232"/>
      <c r="K3934" s="232"/>
      <c r="M3934" s="232"/>
      <c r="P3934" s="232"/>
      <c r="R3934" s="232"/>
      <c r="T3934" s="232"/>
    </row>
    <row r="3935" spans="3:20">
      <c r="C3935" s="232"/>
      <c r="E3935" s="232"/>
      <c r="G3935" s="232"/>
      <c r="I3935" s="232"/>
      <c r="K3935" s="232"/>
      <c r="M3935" s="232"/>
      <c r="P3935" s="232"/>
      <c r="R3935" s="232"/>
      <c r="T3935" s="232"/>
    </row>
    <row r="3936" spans="3:20">
      <c r="C3936" s="232"/>
      <c r="E3936" s="232"/>
      <c r="G3936" s="232"/>
      <c r="I3936" s="232"/>
      <c r="K3936" s="232"/>
      <c r="M3936" s="232"/>
      <c r="P3936" s="232"/>
      <c r="R3936" s="232"/>
      <c r="T3936" s="232"/>
    </row>
    <row r="3937" spans="3:20">
      <c r="C3937" s="232"/>
      <c r="E3937" s="232"/>
      <c r="G3937" s="232"/>
      <c r="I3937" s="232"/>
      <c r="K3937" s="232"/>
      <c r="M3937" s="232"/>
      <c r="P3937" s="232"/>
      <c r="R3937" s="232"/>
      <c r="T3937" s="232"/>
    </row>
    <row r="3938" spans="3:20">
      <c r="C3938" s="232"/>
      <c r="E3938" s="232"/>
      <c r="G3938" s="232"/>
      <c r="I3938" s="232"/>
      <c r="K3938" s="232"/>
      <c r="M3938" s="232"/>
      <c r="P3938" s="232"/>
      <c r="R3938" s="232"/>
      <c r="T3938" s="232"/>
    </row>
    <row r="3939" spans="3:20">
      <c r="C3939" s="232"/>
      <c r="E3939" s="232"/>
      <c r="G3939" s="232"/>
      <c r="I3939" s="232"/>
      <c r="K3939" s="232"/>
      <c r="M3939" s="232"/>
      <c r="P3939" s="232"/>
      <c r="R3939" s="232"/>
      <c r="T3939" s="232"/>
    </row>
    <row r="3940" spans="3:20">
      <c r="C3940" s="232"/>
      <c r="E3940" s="232"/>
      <c r="G3940" s="232"/>
      <c r="I3940" s="232"/>
      <c r="K3940" s="232"/>
      <c r="M3940" s="232"/>
      <c r="P3940" s="232"/>
      <c r="R3940" s="232"/>
      <c r="T3940" s="232"/>
    </row>
    <row r="3941" spans="3:20">
      <c r="C3941" s="232"/>
      <c r="E3941" s="232"/>
      <c r="G3941" s="232"/>
      <c r="I3941" s="232"/>
      <c r="K3941" s="232"/>
      <c r="M3941" s="232"/>
      <c r="P3941" s="232"/>
      <c r="R3941" s="232"/>
      <c r="T3941" s="232"/>
    </row>
    <row r="3942" spans="3:20">
      <c r="C3942" s="232"/>
      <c r="E3942" s="232"/>
      <c r="G3942" s="232"/>
      <c r="I3942" s="232"/>
      <c r="K3942" s="232"/>
      <c r="M3942" s="232"/>
      <c r="P3942" s="232"/>
      <c r="R3942" s="232"/>
      <c r="T3942" s="232"/>
    </row>
    <row r="3943" spans="3:20">
      <c r="C3943" s="232"/>
      <c r="E3943" s="232"/>
      <c r="G3943" s="232"/>
      <c r="I3943" s="232"/>
      <c r="K3943" s="232"/>
      <c r="M3943" s="232"/>
      <c r="P3943" s="232"/>
      <c r="R3943" s="232"/>
      <c r="T3943" s="232"/>
    </row>
    <row r="3944" spans="3:20">
      <c r="C3944" s="232"/>
      <c r="E3944" s="232"/>
      <c r="G3944" s="232"/>
      <c r="I3944" s="232"/>
      <c r="K3944" s="232"/>
      <c r="M3944" s="232"/>
      <c r="P3944" s="232"/>
      <c r="R3944" s="232"/>
      <c r="T3944" s="232"/>
    </row>
    <row r="3945" spans="3:20">
      <c r="C3945" s="232"/>
      <c r="E3945" s="232"/>
      <c r="G3945" s="232"/>
      <c r="I3945" s="232"/>
      <c r="K3945" s="232"/>
      <c r="M3945" s="232"/>
      <c r="P3945" s="232"/>
      <c r="R3945" s="232"/>
      <c r="T3945" s="232"/>
    </row>
    <row r="3946" spans="3:20">
      <c r="C3946" s="232"/>
      <c r="E3946" s="232"/>
      <c r="G3946" s="232"/>
      <c r="I3946" s="232"/>
      <c r="K3946" s="232"/>
      <c r="M3946" s="232"/>
      <c r="P3946" s="232"/>
      <c r="R3946" s="232"/>
      <c r="T3946" s="232"/>
    </row>
    <row r="3947" spans="3:20">
      <c r="C3947" s="232"/>
      <c r="E3947" s="232"/>
      <c r="G3947" s="232"/>
      <c r="I3947" s="232"/>
      <c r="K3947" s="232"/>
      <c r="M3947" s="232"/>
      <c r="P3947" s="232"/>
      <c r="R3947" s="232"/>
      <c r="T3947" s="232"/>
    </row>
    <row r="3948" spans="3:20">
      <c r="C3948" s="232"/>
      <c r="E3948" s="232"/>
      <c r="G3948" s="232"/>
      <c r="I3948" s="232"/>
      <c r="K3948" s="232"/>
      <c r="M3948" s="232"/>
      <c r="P3948" s="232"/>
      <c r="R3948" s="232"/>
      <c r="T3948" s="232"/>
    </row>
    <row r="3949" spans="3:20">
      <c r="C3949" s="232"/>
      <c r="E3949" s="232"/>
      <c r="G3949" s="232"/>
      <c r="I3949" s="232"/>
      <c r="K3949" s="232"/>
      <c r="M3949" s="232"/>
      <c r="P3949" s="232"/>
      <c r="R3949" s="232"/>
      <c r="T3949" s="232"/>
    </row>
    <row r="3950" spans="3:20">
      <c r="C3950" s="232"/>
      <c r="E3950" s="232"/>
      <c r="G3950" s="232"/>
      <c r="I3950" s="232"/>
      <c r="K3950" s="232"/>
      <c r="M3950" s="232"/>
      <c r="P3950" s="232"/>
      <c r="R3950" s="232"/>
      <c r="T3950" s="232"/>
    </row>
    <row r="3951" spans="3:20">
      <c r="C3951" s="232"/>
      <c r="E3951" s="232"/>
      <c r="G3951" s="232"/>
      <c r="I3951" s="232"/>
      <c r="K3951" s="232"/>
      <c r="M3951" s="232"/>
      <c r="P3951" s="232"/>
      <c r="R3951" s="232"/>
      <c r="T3951" s="232"/>
    </row>
    <row r="3952" spans="3:20">
      <c r="C3952" s="232"/>
      <c r="E3952" s="232"/>
      <c r="G3952" s="232"/>
      <c r="I3952" s="232"/>
      <c r="K3952" s="232"/>
      <c r="M3952" s="232"/>
      <c r="P3952" s="232"/>
      <c r="R3952" s="232"/>
      <c r="T3952" s="232"/>
    </row>
    <row r="3953" spans="3:20">
      <c r="C3953" s="232"/>
      <c r="E3953" s="232"/>
      <c r="G3953" s="232"/>
      <c r="I3953" s="232"/>
      <c r="K3953" s="232"/>
      <c r="M3953" s="232"/>
      <c r="P3953" s="232"/>
      <c r="R3953" s="232"/>
      <c r="T3953" s="232"/>
    </row>
    <row r="3954" spans="3:20">
      <c r="C3954" s="232"/>
      <c r="E3954" s="232"/>
      <c r="G3954" s="232"/>
      <c r="I3954" s="232"/>
      <c r="K3954" s="232"/>
      <c r="M3954" s="232"/>
      <c r="P3954" s="232"/>
      <c r="R3954" s="232"/>
      <c r="T3954" s="232"/>
    </row>
    <row r="3955" spans="3:20">
      <c r="C3955" s="232"/>
      <c r="E3955" s="232"/>
      <c r="G3955" s="232"/>
      <c r="I3955" s="232"/>
      <c r="K3955" s="232"/>
      <c r="M3955" s="232"/>
      <c r="P3955" s="232"/>
      <c r="R3955" s="232"/>
      <c r="T3955" s="232"/>
    </row>
    <row r="3956" spans="3:20">
      <c r="C3956" s="232"/>
      <c r="E3956" s="232"/>
      <c r="G3956" s="232"/>
      <c r="I3956" s="232"/>
      <c r="K3956" s="232"/>
      <c r="M3956" s="232"/>
      <c r="P3956" s="232"/>
      <c r="R3956" s="232"/>
      <c r="T3956" s="232"/>
    </row>
    <row r="3957" spans="3:20">
      <c r="C3957" s="232"/>
      <c r="E3957" s="232"/>
      <c r="G3957" s="232"/>
      <c r="I3957" s="232"/>
      <c r="K3957" s="232"/>
      <c r="M3957" s="232"/>
      <c r="P3957" s="232"/>
      <c r="R3957" s="232"/>
      <c r="T3957" s="232"/>
    </row>
    <row r="3958" spans="3:20">
      <c r="C3958" s="232"/>
      <c r="E3958" s="232"/>
      <c r="G3958" s="232"/>
      <c r="I3958" s="232"/>
      <c r="K3958" s="232"/>
      <c r="M3958" s="232"/>
      <c r="P3958" s="232"/>
      <c r="R3958" s="232"/>
      <c r="T3958" s="232"/>
    </row>
    <row r="3959" spans="3:20">
      <c r="C3959" s="232"/>
      <c r="E3959" s="232"/>
      <c r="G3959" s="232"/>
      <c r="I3959" s="232"/>
      <c r="K3959" s="232"/>
      <c r="M3959" s="232"/>
      <c r="P3959" s="232"/>
      <c r="R3959" s="232"/>
      <c r="T3959" s="232"/>
    </row>
    <row r="3960" spans="3:20">
      <c r="C3960" s="232"/>
      <c r="E3960" s="232"/>
      <c r="G3960" s="232"/>
      <c r="I3960" s="232"/>
      <c r="K3960" s="232"/>
      <c r="M3960" s="232"/>
      <c r="P3960" s="232"/>
      <c r="R3960" s="232"/>
      <c r="T3960" s="232"/>
    </row>
    <row r="3961" spans="3:20">
      <c r="C3961" s="232"/>
      <c r="E3961" s="232"/>
      <c r="G3961" s="232"/>
      <c r="I3961" s="232"/>
      <c r="K3961" s="232"/>
      <c r="M3961" s="232"/>
      <c r="P3961" s="232"/>
      <c r="R3961" s="232"/>
      <c r="T3961" s="232"/>
    </row>
    <row r="3962" spans="3:20">
      <c r="C3962" s="232"/>
      <c r="E3962" s="232"/>
      <c r="G3962" s="232"/>
      <c r="I3962" s="232"/>
      <c r="K3962" s="232"/>
      <c r="M3962" s="232"/>
      <c r="P3962" s="232"/>
      <c r="R3962" s="232"/>
      <c r="T3962" s="232"/>
    </row>
    <row r="3963" spans="3:20">
      <c r="C3963" s="232"/>
      <c r="E3963" s="232"/>
      <c r="G3963" s="232"/>
      <c r="I3963" s="232"/>
      <c r="K3963" s="232"/>
      <c r="M3963" s="232"/>
      <c r="P3963" s="232"/>
      <c r="R3963" s="232"/>
      <c r="T3963" s="232"/>
    </row>
    <row r="3964" spans="3:20">
      <c r="C3964" s="232"/>
      <c r="E3964" s="232"/>
      <c r="G3964" s="232"/>
      <c r="I3964" s="232"/>
      <c r="K3964" s="232"/>
      <c r="M3964" s="232"/>
      <c r="P3964" s="232"/>
      <c r="R3964" s="232"/>
      <c r="T3964" s="232"/>
    </row>
    <row r="3965" spans="3:20">
      <c r="C3965" s="232"/>
      <c r="E3965" s="232"/>
      <c r="G3965" s="232"/>
      <c r="I3965" s="232"/>
      <c r="K3965" s="232"/>
      <c r="M3965" s="232"/>
      <c r="P3965" s="232"/>
      <c r="R3965" s="232"/>
      <c r="T3965" s="232"/>
    </row>
    <row r="3966" spans="3:20">
      <c r="C3966" s="232"/>
      <c r="E3966" s="232"/>
      <c r="G3966" s="232"/>
      <c r="I3966" s="232"/>
      <c r="K3966" s="232"/>
      <c r="M3966" s="232"/>
      <c r="P3966" s="232"/>
      <c r="R3966" s="232"/>
      <c r="T3966" s="232"/>
    </row>
    <row r="3967" spans="3:20">
      <c r="C3967" s="232"/>
      <c r="E3967" s="232"/>
      <c r="G3967" s="232"/>
      <c r="I3967" s="232"/>
      <c r="K3967" s="232"/>
      <c r="M3967" s="232"/>
      <c r="P3967" s="232"/>
      <c r="R3967" s="232"/>
      <c r="T3967" s="232"/>
    </row>
    <row r="3968" spans="3:20">
      <c r="C3968" s="232"/>
      <c r="E3968" s="232"/>
      <c r="G3968" s="232"/>
      <c r="I3968" s="232"/>
      <c r="K3968" s="232"/>
      <c r="M3968" s="232"/>
      <c r="P3968" s="232"/>
      <c r="R3968" s="232"/>
      <c r="T3968" s="232"/>
    </row>
    <row r="3969" spans="3:20">
      <c r="C3969" s="232"/>
      <c r="E3969" s="232"/>
      <c r="G3969" s="232"/>
      <c r="I3969" s="232"/>
      <c r="K3969" s="232"/>
      <c r="M3969" s="232"/>
      <c r="P3969" s="232"/>
      <c r="R3969" s="232"/>
      <c r="T3969" s="232"/>
    </row>
    <row r="3970" spans="3:20">
      <c r="C3970" s="232"/>
      <c r="E3970" s="232"/>
      <c r="G3970" s="232"/>
      <c r="I3970" s="232"/>
      <c r="K3970" s="232"/>
      <c r="M3970" s="232"/>
      <c r="P3970" s="232"/>
      <c r="R3970" s="232"/>
      <c r="T3970" s="232"/>
    </row>
    <row r="3971" spans="3:20">
      <c r="C3971" s="232"/>
      <c r="E3971" s="232"/>
      <c r="G3971" s="232"/>
      <c r="I3971" s="232"/>
      <c r="K3971" s="232"/>
      <c r="M3971" s="232"/>
      <c r="P3971" s="232"/>
      <c r="R3971" s="232"/>
      <c r="T3971" s="232"/>
    </row>
    <row r="3972" spans="3:20">
      <c r="C3972" s="232"/>
      <c r="E3972" s="232"/>
      <c r="G3972" s="232"/>
      <c r="I3972" s="232"/>
      <c r="K3972" s="232"/>
      <c r="M3972" s="232"/>
      <c r="P3972" s="232"/>
      <c r="R3972" s="232"/>
      <c r="T3972" s="232"/>
    </row>
    <row r="3973" spans="3:20">
      <c r="C3973" s="232"/>
      <c r="E3973" s="232"/>
      <c r="G3973" s="232"/>
      <c r="I3973" s="232"/>
      <c r="K3973" s="232"/>
      <c r="M3973" s="232"/>
      <c r="P3973" s="232"/>
      <c r="R3973" s="232"/>
      <c r="T3973" s="232"/>
    </row>
    <row r="3974" spans="3:20">
      <c r="C3974" s="232"/>
      <c r="E3974" s="232"/>
      <c r="G3974" s="232"/>
      <c r="I3974" s="232"/>
      <c r="K3974" s="232"/>
      <c r="M3974" s="232"/>
      <c r="P3974" s="232"/>
      <c r="R3974" s="232"/>
      <c r="T3974" s="232"/>
    </row>
    <row r="3975" spans="3:20">
      <c r="C3975" s="232"/>
      <c r="E3975" s="232"/>
      <c r="G3975" s="232"/>
      <c r="I3975" s="232"/>
      <c r="K3975" s="232"/>
      <c r="M3975" s="232"/>
      <c r="P3975" s="232"/>
      <c r="R3975" s="232"/>
      <c r="T3975" s="232"/>
    </row>
    <row r="3976" spans="3:20">
      <c r="C3976" s="232"/>
      <c r="E3976" s="232"/>
      <c r="G3976" s="232"/>
      <c r="I3976" s="232"/>
      <c r="K3976" s="232"/>
      <c r="M3976" s="232"/>
      <c r="P3976" s="232"/>
      <c r="R3976" s="232"/>
      <c r="T3976" s="232"/>
    </row>
    <row r="3977" spans="3:20">
      <c r="C3977" s="232"/>
      <c r="E3977" s="232"/>
      <c r="G3977" s="232"/>
      <c r="I3977" s="232"/>
      <c r="K3977" s="232"/>
      <c r="M3977" s="232"/>
      <c r="P3977" s="232"/>
      <c r="R3977" s="232"/>
      <c r="T3977" s="232"/>
    </row>
    <row r="3978" spans="3:20">
      <c r="C3978" s="232"/>
      <c r="E3978" s="232"/>
      <c r="G3978" s="232"/>
      <c r="I3978" s="232"/>
      <c r="K3978" s="232"/>
      <c r="M3978" s="232"/>
      <c r="P3978" s="232"/>
      <c r="R3978" s="232"/>
      <c r="T3978" s="232"/>
    </row>
    <row r="3979" spans="3:20">
      <c r="C3979" s="232"/>
      <c r="E3979" s="232"/>
      <c r="G3979" s="232"/>
      <c r="I3979" s="232"/>
      <c r="K3979" s="232"/>
      <c r="M3979" s="232"/>
      <c r="P3979" s="232"/>
      <c r="R3979" s="232"/>
      <c r="T3979" s="232"/>
    </row>
    <row r="3980" spans="3:20">
      <c r="C3980" s="232"/>
      <c r="E3980" s="232"/>
      <c r="G3980" s="232"/>
      <c r="I3980" s="232"/>
      <c r="K3980" s="232"/>
      <c r="M3980" s="232"/>
      <c r="P3980" s="232"/>
      <c r="R3980" s="232"/>
      <c r="T3980" s="232"/>
    </row>
    <row r="3981" spans="3:20">
      <c r="C3981" s="232"/>
      <c r="E3981" s="232"/>
      <c r="G3981" s="232"/>
      <c r="I3981" s="232"/>
      <c r="K3981" s="232"/>
      <c r="M3981" s="232"/>
      <c r="P3981" s="232"/>
      <c r="R3981" s="232"/>
      <c r="T3981" s="232"/>
    </row>
    <row r="3982" spans="3:20">
      <c r="C3982" s="232"/>
      <c r="E3982" s="232"/>
      <c r="G3982" s="232"/>
      <c r="I3982" s="232"/>
      <c r="K3982" s="232"/>
      <c r="M3982" s="232"/>
      <c r="P3982" s="232"/>
      <c r="R3982" s="232"/>
      <c r="T3982" s="232"/>
    </row>
    <row r="3983" spans="3:20">
      <c r="C3983" s="232"/>
      <c r="E3983" s="232"/>
      <c r="G3983" s="232"/>
      <c r="I3983" s="232"/>
      <c r="K3983" s="232"/>
      <c r="M3983" s="232"/>
      <c r="P3983" s="232"/>
      <c r="R3983" s="232"/>
      <c r="T3983" s="232"/>
    </row>
    <row r="3984" spans="3:20">
      <c r="C3984" s="232"/>
      <c r="E3984" s="232"/>
      <c r="G3984" s="232"/>
      <c r="I3984" s="232"/>
      <c r="K3984" s="232"/>
      <c r="M3984" s="232"/>
      <c r="P3984" s="232"/>
      <c r="R3984" s="232"/>
      <c r="T3984" s="232"/>
    </row>
    <row r="3985" spans="3:20">
      <c r="C3985" s="232"/>
      <c r="E3985" s="232"/>
      <c r="G3985" s="232"/>
      <c r="I3985" s="232"/>
      <c r="K3985" s="232"/>
      <c r="M3985" s="232"/>
      <c r="P3985" s="232"/>
      <c r="R3985" s="232"/>
      <c r="T3985" s="232"/>
    </row>
    <row r="3986" spans="3:20">
      <c r="C3986" s="232"/>
      <c r="E3986" s="232"/>
      <c r="G3986" s="232"/>
      <c r="I3986" s="232"/>
      <c r="K3986" s="232"/>
      <c r="M3986" s="232"/>
      <c r="P3986" s="232"/>
      <c r="R3986" s="232"/>
      <c r="T3986" s="232"/>
    </row>
    <row r="3987" spans="3:20">
      <c r="C3987" s="232"/>
      <c r="E3987" s="232"/>
      <c r="G3987" s="232"/>
      <c r="I3987" s="232"/>
      <c r="K3987" s="232"/>
      <c r="M3987" s="232"/>
      <c r="P3987" s="232"/>
      <c r="R3987" s="232"/>
      <c r="T3987" s="232"/>
    </row>
    <row r="3988" spans="3:20">
      <c r="C3988" s="232"/>
      <c r="E3988" s="232"/>
      <c r="G3988" s="232"/>
      <c r="I3988" s="232"/>
      <c r="K3988" s="232"/>
      <c r="M3988" s="232"/>
      <c r="P3988" s="232"/>
      <c r="R3988" s="232"/>
      <c r="T3988" s="232"/>
    </row>
    <row r="3989" spans="3:20">
      <c r="C3989" s="232"/>
      <c r="E3989" s="232"/>
      <c r="G3989" s="232"/>
      <c r="I3989" s="232"/>
      <c r="K3989" s="232"/>
      <c r="M3989" s="232"/>
      <c r="P3989" s="232"/>
      <c r="R3989" s="232"/>
      <c r="T3989" s="232"/>
    </row>
    <row r="3990" spans="3:20">
      <c r="C3990" s="232"/>
      <c r="E3990" s="232"/>
      <c r="G3990" s="232"/>
      <c r="I3990" s="232"/>
      <c r="K3990" s="232"/>
      <c r="M3990" s="232"/>
      <c r="P3990" s="232"/>
      <c r="R3990" s="232"/>
      <c r="T3990" s="232"/>
    </row>
    <row r="3991" spans="3:20">
      <c r="C3991" s="232"/>
      <c r="E3991" s="232"/>
      <c r="G3991" s="232"/>
      <c r="I3991" s="232"/>
      <c r="K3991" s="232"/>
      <c r="M3991" s="232"/>
      <c r="P3991" s="232"/>
      <c r="R3991" s="232"/>
      <c r="T3991" s="232"/>
    </row>
    <row r="3992" spans="3:20">
      <c r="C3992" s="232"/>
      <c r="E3992" s="232"/>
      <c r="G3992" s="232"/>
      <c r="I3992" s="232"/>
      <c r="K3992" s="232"/>
      <c r="M3992" s="232"/>
      <c r="P3992" s="232"/>
      <c r="R3992" s="232"/>
      <c r="T3992" s="232"/>
    </row>
    <row r="3993" spans="3:20">
      <c r="C3993" s="232"/>
      <c r="E3993" s="232"/>
      <c r="G3993" s="232"/>
      <c r="I3993" s="232"/>
      <c r="K3993" s="232"/>
      <c r="M3993" s="232"/>
      <c r="P3993" s="232"/>
      <c r="R3993" s="232"/>
      <c r="T3993" s="232"/>
    </row>
    <row r="3994" spans="3:20">
      <c r="C3994" s="232"/>
      <c r="E3994" s="232"/>
      <c r="G3994" s="232"/>
      <c r="I3994" s="232"/>
      <c r="K3994" s="232"/>
      <c r="M3994" s="232"/>
      <c r="P3994" s="232"/>
      <c r="R3994" s="232"/>
      <c r="T3994" s="232"/>
    </row>
    <row r="3995" spans="3:20">
      <c r="C3995" s="232"/>
      <c r="E3995" s="232"/>
      <c r="G3995" s="232"/>
      <c r="I3995" s="232"/>
      <c r="K3995" s="232"/>
      <c r="M3995" s="232"/>
      <c r="P3995" s="232"/>
      <c r="R3995" s="232"/>
      <c r="T3995" s="232"/>
    </row>
    <row r="3996" spans="3:20">
      <c r="C3996" s="232"/>
      <c r="E3996" s="232"/>
      <c r="G3996" s="232"/>
      <c r="I3996" s="232"/>
      <c r="K3996" s="232"/>
      <c r="M3996" s="232"/>
      <c r="P3996" s="232"/>
      <c r="R3996" s="232"/>
      <c r="T3996" s="232"/>
    </row>
    <row r="3997" spans="3:20">
      <c r="C3997" s="232"/>
      <c r="E3997" s="232"/>
      <c r="G3997" s="232"/>
      <c r="I3997" s="232"/>
      <c r="K3997" s="232"/>
      <c r="M3997" s="232"/>
      <c r="P3997" s="232"/>
      <c r="R3997" s="232"/>
      <c r="T3997" s="232"/>
    </row>
    <row r="3998" spans="3:20">
      <c r="C3998" s="232"/>
      <c r="E3998" s="232"/>
      <c r="G3998" s="232"/>
      <c r="I3998" s="232"/>
      <c r="K3998" s="232"/>
      <c r="M3998" s="232"/>
      <c r="P3998" s="232"/>
      <c r="R3998" s="232"/>
      <c r="T3998" s="232"/>
    </row>
    <row r="3999" spans="3:20">
      <c r="C3999" s="232"/>
      <c r="E3999" s="232"/>
      <c r="G3999" s="232"/>
      <c r="I3999" s="232"/>
      <c r="K3999" s="232"/>
      <c r="M3999" s="232"/>
      <c r="P3999" s="232"/>
      <c r="R3999" s="232"/>
      <c r="T3999" s="232"/>
    </row>
    <row r="4000" spans="3:20">
      <c r="C4000" s="232"/>
      <c r="E4000" s="232"/>
      <c r="G4000" s="232"/>
      <c r="I4000" s="232"/>
      <c r="K4000" s="232"/>
      <c r="M4000" s="232"/>
      <c r="P4000" s="232"/>
      <c r="R4000" s="232"/>
      <c r="T4000" s="232"/>
    </row>
    <row r="4001" spans="3:20">
      <c r="C4001" s="232"/>
      <c r="E4001" s="232"/>
      <c r="G4001" s="232"/>
      <c r="I4001" s="232"/>
      <c r="K4001" s="232"/>
      <c r="M4001" s="232"/>
      <c r="P4001" s="232"/>
      <c r="R4001" s="232"/>
      <c r="T4001" s="232"/>
    </row>
    <row r="4002" spans="3:20">
      <c r="C4002" s="232"/>
      <c r="E4002" s="232"/>
      <c r="G4002" s="232"/>
      <c r="I4002" s="232"/>
      <c r="K4002" s="232"/>
      <c r="M4002" s="232"/>
      <c r="P4002" s="232"/>
      <c r="R4002" s="232"/>
      <c r="T4002" s="232"/>
    </row>
    <row r="4003" spans="3:20">
      <c r="C4003" s="232"/>
      <c r="E4003" s="232"/>
      <c r="G4003" s="232"/>
      <c r="I4003" s="232"/>
      <c r="K4003" s="232"/>
      <c r="M4003" s="232"/>
      <c r="P4003" s="232"/>
      <c r="R4003" s="232"/>
      <c r="T4003" s="232"/>
    </row>
    <row r="4004" spans="3:20">
      <c r="C4004" s="232"/>
      <c r="E4004" s="232"/>
      <c r="G4004" s="232"/>
      <c r="I4004" s="232"/>
      <c r="K4004" s="232"/>
      <c r="M4004" s="232"/>
      <c r="P4004" s="232"/>
      <c r="R4004" s="232"/>
      <c r="T4004" s="232"/>
    </row>
    <row r="4005" spans="3:20">
      <c r="C4005" s="232"/>
      <c r="E4005" s="232"/>
      <c r="G4005" s="232"/>
      <c r="I4005" s="232"/>
      <c r="K4005" s="232"/>
      <c r="M4005" s="232"/>
      <c r="P4005" s="232"/>
      <c r="R4005" s="232"/>
      <c r="T4005" s="232"/>
    </row>
    <row r="4006" spans="3:20">
      <c r="C4006" s="232"/>
      <c r="E4006" s="232"/>
      <c r="G4006" s="232"/>
      <c r="I4006" s="232"/>
      <c r="K4006" s="232"/>
      <c r="M4006" s="232"/>
      <c r="P4006" s="232"/>
      <c r="R4006" s="232"/>
      <c r="T4006" s="232"/>
    </row>
    <row r="4007" spans="3:20">
      <c r="C4007" s="232"/>
      <c r="E4007" s="232"/>
      <c r="G4007" s="232"/>
      <c r="I4007" s="232"/>
      <c r="K4007" s="232"/>
      <c r="M4007" s="232"/>
      <c r="P4007" s="232"/>
      <c r="R4007" s="232"/>
      <c r="T4007" s="232"/>
    </row>
    <row r="4008" spans="3:20">
      <c r="C4008" s="232"/>
      <c r="E4008" s="232"/>
      <c r="G4008" s="232"/>
      <c r="I4008" s="232"/>
      <c r="K4008" s="232"/>
      <c r="M4008" s="232"/>
      <c r="P4008" s="232"/>
      <c r="R4008" s="232"/>
      <c r="T4008" s="232"/>
    </row>
    <row r="4009" spans="3:20">
      <c r="C4009" s="232"/>
      <c r="E4009" s="232"/>
      <c r="G4009" s="232"/>
      <c r="I4009" s="232"/>
      <c r="K4009" s="232"/>
      <c r="M4009" s="232"/>
      <c r="P4009" s="232"/>
      <c r="R4009" s="232"/>
      <c r="T4009" s="232"/>
    </row>
    <row r="4010" spans="3:20">
      <c r="C4010" s="232"/>
      <c r="E4010" s="232"/>
      <c r="G4010" s="232"/>
      <c r="I4010" s="232"/>
      <c r="K4010" s="232"/>
      <c r="M4010" s="232"/>
      <c r="P4010" s="232"/>
      <c r="R4010" s="232"/>
      <c r="T4010" s="232"/>
    </row>
    <row r="4011" spans="3:20">
      <c r="C4011" s="232"/>
      <c r="E4011" s="232"/>
      <c r="G4011" s="232"/>
      <c r="I4011" s="232"/>
      <c r="K4011" s="232"/>
      <c r="M4011" s="232"/>
      <c r="P4011" s="232"/>
      <c r="R4011" s="232"/>
      <c r="T4011" s="232"/>
    </row>
    <row r="4012" spans="3:20">
      <c r="C4012" s="232"/>
      <c r="E4012" s="232"/>
      <c r="G4012" s="232"/>
      <c r="I4012" s="232"/>
      <c r="K4012" s="232"/>
      <c r="M4012" s="232"/>
      <c r="P4012" s="232"/>
      <c r="R4012" s="232"/>
      <c r="T4012" s="232"/>
    </row>
    <row r="4013" spans="3:20">
      <c r="C4013" s="232"/>
      <c r="E4013" s="232"/>
      <c r="G4013" s="232"/>
      <c r="I4013" s="232"/>
      <c r="K4013" s="232"/>
      <c r="M4013" s="232"/>
      <c r="P4013" s="232"/>
      <c r="R4013" s="232"/>
      <c r="T4013" s="232"/>
    </row>
    <row r="4014" spans="3:20">
      <c r="C4014" s="232"/>
      <c r="E4014" s="232"/>
      <c r="G4014" s="232"/>
      <c r="I4014" s="232"/>
      <c r="K4014" s="232"/>
      <c r="M4014" s="232"/>
      <c r="P4014" s="232"/>
      <c r="R4014" s="232"/>
      <c r="T4014" s="232"/>
    </row>
    <row r="4015" spans="3:20">
      <c r="C4015" s="232"/>
      <c r="E4015" s="232"/>
      <c r="G4015" s="232"/>
      <c r="I4015" s="232"/>
      <c r="K4015" s="232"/>
      <c r="M4015" s="232"/>
      <c r="P4015" s="232"/>
      <c r="R4015" s="232"/>
      <c r="T4015" s="232"/>
    </row>
    <row r="4016" spans="3:20">
      <c r="C4016" s="232"/>
      <c r="E4016" s="232"/>
      <c r="G4016" s="232"/>
      <c r="I4016" s="232"/>
      <c r="K4016" s="232"/>
      <c r="M4016" s="232"/>
      <c r="P4016" s="232"/>
      <c r="R4016" s="232"/>
      <c r="T4016" s="232"/>
    </row>
    <row r="4017" spans="3:20">
      <c r="C4017" s="232"/>
      <c r="E4017" s="232"/>
      <c r="G4017" s="232"/>
      <c r="I4017" s="232"/>
      <c r="K4017" s="232"/>
      <c r="M4017" s="232"/>
      <c r="P4017" s="232"/>
      <c r="R4017" s="232"/>
      <c r="T4017" s="232"/>
    </row>
    <row r="4018" spans="3:20">
      <c r="C4018" s="232"/>
      <c r="E4018" s="232"/>
      <c r="G4018" s="232"/>
      <c r="I4018" s="232"/>
      <c r="K4018" s="232"/>
      <c r="M4018" s="232"/>
      <c r="P4018" s="232"/>
      <c r="R4018" s="232"/>
      <c r="T4018" s="232"/>
    </row>
    <row r="4019" spans="3:20">
      <c r="C4019" s="232"/>
      <c r="E4019" s="232"/>
      <c r="G4019" s="232"/>
      <c r="I4019" s="232"/>
      <c r="K4019" s="232"/>
      <c r="M4019" s="232"/>
      <c r="P4019" s="232"/>
      <c r="R4019" s="232"/>
      <c r="T4019" s="232"/>
    </row>
    <row r="4020" spans="3:20">
      <c r="C4020" s="232"/>
      <c r="E4020" s="232"/>
      <c r="G4020" s="232"/>
      <c r="I4020" s="232"/>
      <c r="K4020" s="232"/>
      <c r="M4020" s="232"/>
      <c r="P4020" s="232"/>
      <c r="R4020" s="232"/>
      <c r="T4020" s="232"/>
    </row>
    <row r="4021" spans="3:20">
      <c r="C4021" s="232"/>
      <c r="E4021" s="232"/>
      <c r="G4021" s="232"/>
      <c r="I4021" s="232"/>
      <c r="K4021" s="232"/>
      <c r="M4021" s="232"/>
      <c r="P4021" s="232"/>
      <c r="R4021" s="232"/>
      <c r="T4021" s="232"/>
    </row>
    <row r="4022" spans="3:20">
      <c r="C4022" s="232"/>
      <c r="E4022" s="232"/>
      <c r="G4022" s="232"/>
      <c r="I4022" s="232"/>
      <c r="K4022" s="232"/>
      <c r="M4022" s="232"/>
      <c r="P4022" s="232"/>
      <c r="R4022" s="232"/>
      <c r="T4022" s="232"/>
    </row>
    <row r="4023" spans="3:20">
      <c r="C4023" s="232"/>
      <c r="E4023" s="232"/>
      <c r="G4023" s="232"/>
      <c r="I4023" s="232"/>
      <c r="K4023" s="232"/>
      <c r="M4023" s="232"/>
      <c r="P4023" s="232"/>
      <c r="R4023" s="232"/>
      <c r="T4023" s="232"/>
    </row>
    <row r="4024" spans="3:20">
      <c r="C4024" s="232"/>
      <c r="E4024" s="232"/>
      <c r="G4024" s="232"/>
      <c r="I4024" s="232"/>
      <c r="K4024" s="232"/>
      <c r="M4024" s="232"/>
      <c r="P4024" s="232"/>
      <c r="R4024" s="232"/>
      <c r="T4024" s="232"/>
    </row>
    <row r="4025" spans="3:20">
      <c r="C4025" s="232"/>
      <c r="E4025" s="232"/>
      <c r="G4025" s="232"/>
      <c r="I4025" s="232"/>
      <c r="K4025" s="232"/>
      <c r="M4025" s="232"/>
      <c r="P4025" s="232"/>
      <c r="R4025" s="232"/>
      <c r="T4025" s="232"/>
    </row>
    <row r="4026" spans="3:20">
      <c r="C4026" s="232"/>
      <c r="E4026" s="232"/>
      <c r="G4026" s="232"/>
      <c r="I4026" s="232"/>
      <c r="K4026" s="232"/>
      <c r="M4026" s="232"/>
      <c r="P4026" s="232"/>
      <c r="R4026" s="232"/>
      <c r="T4026" s="232"/>
    </row>
    <row r="4027" spans="3:20">
      <c r="C4027" s="232"/>
      <c r="E4027" s="232"/>
      <c r="G4027" s="232"/>
      <c r="I4027" s="232"/>
      <c r="K4027" s="232"/>
      <c r="M4027" s="232"/>
      <c r="P4027" s="232"/>
      <c r="R4027" s="232"/>
      <c r="T4027" s="232"/>
    </row>
    <row r="4028" spans="3:20">
      <c r="C4028" s="232"/>
      <c r="E4028" s="232"/>
      <c r="G4028" s="232"/>
      <c r="I4028" s="232"/>
      <c r="K4028" s="232"/>
      <c r="M4028" s="232"/>
      <c r="P4028" s="232"/>
      <c r="R4028" s="232"/>
      <c r="T4028" s="232"/>
    </row>
    <row r="4029" spans="3:20">
      <c r="C4029" s="232"/>
      <c r="E4029" s="232"/>
      <c r="G4029" s="232"/>
      <c r="I4029" s="232"/>
      <c r="K4029" s="232"/>
      <c r="M4029" s="232"/>
      <c r="P4029" s="232"/>
      <c r="R4029" s="232"/>
      <c r="T4029" s="232"/>
    </row>
    <row r="4030" spans="3:20">
      <c r="C4030" s="232"/>
      <c r="E4030" s="232"/>
      <c r="G4030" s="232"/>
      <c r="I4030" s="232"/>
      <c r="K4030" s="232"/>
      <c r="M4030" s="232"/>
      <c r="P4030" s="232"/>
      <c r="R4030" s="232"/>
      <c r="T4030" s="232"/>
    </row>
    <row r="4031" spans="3:20">
      <c r="C4031" s="232"/>
      <c r="E4031" s="232"/>
      <c r="G4031" s="232"/>
      <c r="I4031" s="232"/>
      <c r="K4031" s="232"/>
      <c r="M4031" s="232"/>
      <c r="P4031" s="232"/>
      <c r="R4031" s="232"/>
      <c r="T4031" s="232"/>
    </row>
    <row r="4032" spans="3:20">
      <c r="C4032" s="232"/>
      <c r="E4032" s="232"/>
      <c r="G4032" s="232"/>
      <c r="I4032" s="232"/>
      <c r="K4032" s="232"/>
      <c r="M4032" s="232"/>
      <c r="P4032" s="232"/>
      <c r="R4032" s="232"/>
      <c r="T4032" s="232"/>
    </row>
    <row r="4033" spans="3:20">
      <c r="C4033" s="232"/>
      <c r="E4033" s="232"/>
      <c r="G4033" s="232"/>
      <c r="I4033" s="232"/>
      <c r="K4033" s="232"/>
      <c r="M4033" s="232"/>
      <c r="P4033" s="232"/>
      <c r="R4033" s="232"/>
      <c r="T4033" s="232"/>
    </row>
    <row r="4034" spans="3:20">
      <c r="C4034" s="232"/>
      <c r="E4034" s="232"/>
      <c r="G4034" s="232"/>
      <c r="I4034" s="232"/>
      <c r="K4034" s="232"/>
      <c r="M4034" s="232"/>
      <c r="P4034" s="232"/>
      <c r="R4034" s="232"/>
      <c r="T4034" s="232"/>
    </row>
    <row r="4035" spans="3:20">
      <c r="C4035" s="232"/>
      <c r="E4035" s="232"/>
      <c r="G4035" s="232"/>
      <c r="I4035" s="232"/>
      <c r="K4035" s="232"/>
      <c r="M4035" s="232"/>
      <c r="P4035" s="232"/>
      <c r="R4035" s="232"/>
      <c r="T4035" s="232"/>
    </row>
    <row r="4036" spans="3:20">
      <c r="C4036" s="232"/>
      <c r="E4036" s="232"/>
      <c r="G4036" s="232"/>
      <c r="I4036" s="232"/>
      <c r="K4036" s="232"/>
      <c r="M4036" s="232"/>
      <c r="P4036" s="232"/>
      <c r="R4036" s="232"/>
      <c r="T4036" s="232"/>
    </row>
    <row r="4037" spans="3:20">
      <c r="C4037" s="232"/>
      <c r="E4037" s="232"/>
      <c r="G4037" s="232"/>
      <c r="I4037" s="232"/>
      <c r="K4037" s="232"/>
      <c r="M4037" s="232"/>
      <c r="P4037" s="232"/>
      <c r="R4037" s="232"/>
      <c r="T4037" s="232"/>
    </row>
    <row r="4038" spans="3:20">
      <c r="C4038" s="232"/>
      <c r="E4038" s="232"/>
      <c r="G4038" s="232"/>
      <c r="I4038" s="232"/>
      <c r="K4038" s="232"/>
      <c r="M4038" s="232"/>
      <c r="P4038" s="232"/>
      <c r="R4038" s="232"/>
      <c r="T4038" s="232"/>
    </row>
    <row r="4039" spans="3:20">
      <c r="C4039" s="232"/>
      <c r="E4039" s="232"/>
      <c r="G4039" s="232"/>
      <c r="I4039" s="232"/>
      <c r="K4039" s="232"/>
      <c r="M4039" s="232"/>
      <c r="P4039" s="232"/>
      <c r="R4039" s="232"/>
      <c r="T4039" s="232"/>
    </row>
    <row r="4040" spans="3:20">
      <c r="C4040" s="232"/>
      <c r="E4040" s="232"/>
      <c r="G4040" s="232"/>
      <c r="I4040" s="232"/>
      <c r="K4040" s="232"/>
      <c r="M4040" s="232"/>
      <c r="P4040" s="232"/>
      <c r="R4040" s="232"/>
      <c r="T4040" s="232"/>
    </row>
    <row r="4041" spans="3:20">
      <c r="C4041" s="232"/>
      <c r="E4041" s="232"/>
      <c r="G4041" s="232"/>
      <c r="I4041" s="232"/>
      <c r="K4041" s="232"/>
      <c r="M4041" s="232"/>
      <c r="P4041" s="232"/>
      <c r="R4041" s="232"/>
      <c r="T4041" s="232"/>
    </row>
    <row r="4042" spans="3:20">
      <c r="C4042" s="232"/>
      <c r="E4042" s="232"/>
      <c r="G4042" s="232"/>
      <c r="I4042" s="232"/>
      <c r="K4042" s="232"/>
      <c r="M4042" s="232"/>
      <c r="P4042" s="232"/>
      <c r="R4042" s="232"/>
      <c r="T4042" s="232"/>
    </row>
    <row r="4043" spans="3:20">
      <c r="C4043" s="232"/>
      <c r="E4043" s="232"/>
      <c r="G4043" s="232"/>
      <c r="I4043" s="232"/>
      <c r="K4043" s="232"/>
      <c r="M4043" s="232"/>
      <c r="P4043" s="232"/>
      <c r="R4043" s="232"/>
      <c r="T4043" s="232"/>
    </row>
    <row r="4044" spans="3:20">
      <c r="C4044" s="232"/>
      <c r="E4044" s="232"/>
      <c r="G4044" s="232"/>
      <c r="I4044" s="232"/>
      <c r="K4044" s="232"/>
      <c r="M4044" s="232"/>
      <c r="P4044" s="232"/>
      <c r="R4044" s="232"/>
      <c r="T4044" s="232"/>
    </row>
    <row r="4045" spans="3:20">
      <c r="C4045" s="232"/>
      <c r="E4045" s="232"/>
      <c r="G4045" s="232"/>
      <c r="I4045" s="232"/>
      <c r="K4045" s="232"/>
      <c r="M4045" s="232"/>
      <c r="P4045" s="232"/>
      <c r="R4045" s="232"/>
      <c r="T4045" s="232"/>
    </row>
    <row r="4046" spans="3:20">
      <c r="C4046" s="232"/>
      <c r="E4046" s="232"/>
      <c r="G4046" s="232"/>
      <c r="I4046" s="232"/>
      <c r="K4046" s="232"/>
      <c r="M4046" s="232"/>
      <c r="P4046" s="232"/>
      <c r="R4046" s="232"/>
      <c r="T4046" s="232"/>
    </row>
    <row r="4047" spans="3:20">
      <c r="C4047" s="232"/>
      <c r="E4047" s="232"/>
      <c r="G4047" s="232"/>
      <c r="I4047" s="232"/>
      <c r="K4047" s="232"/>
      <c r="M4047" s="232"/>
      <c r="P4047" s="232"/>
      <c r="R4047" s="232"/>
      <c r="T4047" s="232"/>
    </row>
    <row r="4048" spans="3:20">
      <c r="C4048" s="232"/>
      <c r="E4048" s="232"/>
      <c r="G4048" s="232"/>
      <c r="I4048" s="232"/>
      <c r="K4048" s="232"/>
      <c r="M4048" s="232"/>
      <c r="P4048" s="232"/>
      <c r="R4048" s="232"/>
      <c r="T4048" s="232"/>
    </row>
    <row r="4049" spans="3:20">
      <c r="C4049" s="232"/>
      <c r="E4049" s="232"/>
      <c r="G4049" s="232"/>
      <c r="I4049" s="232"/>
      <c r="K4049" s="232"/>
      <c r="M4049" s="232"/>
      <c r="P4049" s="232"/>
      <c r="R4049" s="232"/>
      <c r="T4049" s="232"/>
    </row>
    <row r="4050" spans="3:20">
      <c r="C4050" s="232"/>
      <c r="E4050" s="232"/>
      <c r="G4050" s="232"/>
      <c r="I4050" s="232"/>
      <c r="K4050" s="232"/>
      <c r="M4050" s="232"/>
      <c r="P4050" s="232"/>
      <c r="R4050" s="232"/>
      <c r="T4050" s="232"/>
    </row>
    <row r="4051" spans="3:20">
      <c r="C4051" s="232"/>
      <c r="E4051" s="232"/>
      <c r="G4051" s="232"/>
      <c r="I4051" s="232"/>
      <c r="K4051" s="232"/>
      <c r="M4051" s="232"/>
      <c r="P4051" s="232"/>
      <c r="R4051" s="232"/>
      <c r="T4051" s="232"/>
    </row>
    <row r="4052" spans="3:20">
      <c r="C4052" s="232"/>
      <c r="E4052" s="232"/>
      <c r="G4052" s="232"/>
      <c r="I4052" s="232"/>
      <c r="K4052" s="232"/>
      <c r="M4052" s="232"/>
      <c r="P4052" s="232"/>
      <c r="R4052" s="232"/>
      <c r="T4052" s="232"/>
    </row>
    <row r="4053" spans="3:20">
      <c r="C4053" s="232"/>
      <c r="E4053" s="232"/>
      <c r="G4053" s="232"/>
      <c r="I4053" s="232"/>
      <c r="K4053" s="232"/>
      <c r="M4053" s="232"/>
      <c r="P4053" s="232"/>
      <c r="R4053" s="232"/>
      <c r="T4053" s="232"/>
    </row>
    <row r="4054" spans="3:20">
      <c r="C4054" s="232"/>
      <c r="E4054" s="232"/>
      <c r="G4054" s="232"/>
      <c r="I4054" s="232"/>
      <c r="K4054" s="232"/>
      <c r="M4054" s="232"/>
      <c r="P4054" s="232"/>
      <c r="R4054" s="232"/>
      <c r="T4054" s="232"/>
    </row>
    <row r="4055" spans="3:20">
      <c r="C4055" s="232"/>
      <c r="E4055" s="232"/>
      <c r="G4055" s="232"/>
      <c r="I4055" s="232"/>
      <c r="K4055" s="232"/>
      <c r="M4055" s="232"/>
      <c r="P4055" s="232"/>
      <c r="R4055" s="232"/>
      <c r="T4055" s="232"/>
    </row>
    <row r="4056" spans="3:20">
      <c r="C4056" s="232"/>
      <c r="E4056" s="232"/>
      <c r="G4056" s="232"/>
      <c r="I4056" s="232"/>
      <c r="K4056" s="232"/>
      <c r="M4056" s="232"/>
      <c r="P4056" s="232"/>
      <c r="R4056" s="232"/>
      <c r="T4056" s="232"/>
    </row>
    <row r="4057" spans="3:20">
      <c r="C4057" s="232"/>
      <c r="E4057" s="232"/>
      <c r="G4057" s="232"/>
      <c r="I4057" s="232"/>
      <c r="K4057" s="232"/>
      <c r="M4057" s="232"/>
      <c r="P4057" s="232"/>
      <c r="R4057" s="232"/>
      <c r="T4057" s="232"/>
    </row>
    <row r="4058" spans="3:20">
      <c r="C4058" s="232"/>
      <c r="E4058" s="232"/>
      <c r="G4058" s="232"/>
      <c r="I4058" s="232"/>
      <c r="K4058" s="232"/>
      <c r="M4058" s="232"/>
      <c r="P4058" s="232"/>
      <c r="R4058" s="232"/>
      <c r="T4058" s="232"/>
    </row>
    <row r="4059" spans="3:20">
      <c r="C4059" s="232"/>
      <c r="E4059" s="232"/>
      <c r="G4059" s="232"/>
      <c r="I4059" s="232"/>
      <c r="K4059" s="232"/>
      <c r="M4059" s="232"/>
      <c r="P4059" s="232"/>
      <c r="R4059" s="232"/>
      <c r="T4059" s="232"/>
    </row>
    <row r="4060" spans="3:20">
      <c r="C4060" s="232"/>
      <c r="E4060" s="232"/>
      <c r="G4060" s="232"/>
      <c r="I4060" s="232"/>
      <c r="K4060" s="232"/>
      <c r="M4060" s="232"/>
      <c r="P4060" s="232"/>
      <c r="R4060" s="232"/>
      <c r="T4060" s="232"/>
    </row>
    <row r="4061" spans="3:20">
      <c r="C4061" s="232"/>
      <c r="E4061" s="232"/>
      <c r="G4061" s="232"/>
      <c r="I4061" s="232"/>
      <c r="K4061" s="232"/>
      <c r="M4061" s="232"/>
      <c r="P4061" s="232"/>
      <c r="R4061" s="232"/>
      <c r="T4061" s="232"/>
    </row>
    <row r="4062" spans="3:20">
      <c r="C4062" s="232"/>
      <c r="E4062" s="232"/>
      <c r="G4062" s="232"/>
      <c r="I4062" s="232"/>
      <c r="K4062" s="232"/>
      <c r="M4062" s="232"/>
      <c r="P4062" s="232"/>
      <c r="R4062" s="232"/>
      <c r="T4062" s="232"/>
    </row>
    <row r="4063" spans="3:20">
      <c r="C4063" s="232"/>
      <c r="E4063" s="232"/>
      <c r="G4063" s="232"/>
      <c r="I4063" s="232"/>
      <c r="K4063" s="232"/>
      <c r="M4063" s="232"/>
      <c r="P4063" s="232"/>
      <c r="R4063" s="232"/>
      <c r="T4063" s="232"/>
    </row>
    <row r="4064" spans="3:20">
      <c r="C4064" s="232"/>
      <c r="E4064" s="232"/>
      <c r="G4064" s="232"/>
      <c r="I4064" s="232"/>
      <c r="K4064" s="232"/>
      <c r="M4064" s="232"/>
      <c r="P4064" s="232"/>
      <c r="R4064" s="232"/>
      <c r="T4064" s="232"/>
    </row>
    <row r="4065" spans="3:20">
      <c r="C4065" s="232"/>
      <c r="E4065" s="232"/>
      <c r="G4065" s="232"/>
      <c r="I4065" s="232"/>
      <c r="K4065" s="232"/>
      <c r="M4065" s="232"/>
      <c r="P4065" s="232"/>
      <c r="R4065" s="232"/>
      <c r="T4065" s="232"/>
    </row>
    <row r="4066" spans="3:20">
      <c r="C4066" s="232"/>
      <c r="E4066" s="232"/>
      <c r="G4066" s="232"/>
      <c r="I4066" s="232"/>
      <c r="K4066" s="232"/>
      <c r="M4066" s="232"/>
      <c r="P4066" s="232"/>
      <c r="R4066" s="232"/>
      <c r="T4066" s="232"/>
    </row>
    <row r="4067" spans="3:20">
      <c r="C4067" s="232"/>
      <c r="E4067" s="232"/>
      <c r="G4067" s="232"/>
      <c r="I4067" s="232"/>
      <c r="K4067" s="232"/>
      <c r="M4067" s="232"/>
      <c r="P4067" s="232"/>
      <c r="R4067" s="232"/>
      <c r="T4067" s="232"/>
    </row>
    <row r="4068" spans="3:20">
      <c r="C4068" s="232"/>
      <c r="E4068" s="232"/>
      <c r="G4068" s="232"/>
      <c r="I4068" s="232"/>
      <c r="K4068" s="232"/>
      <c r="M4068" s="232"/>
      <c r="P4068" s="232"/>
      <c r="R4068" s="232"/>
      <c r="T4068" s="232"/>
    </row>
    <row r="4069" spans="3:20">
      <c r="C4069" s="232"/>
      <c r="E4069" s="232"/>
      <c r="G4069" s="232"/>
      <c r="I4069" s="232"/>
      <c r="K4069" s="232"/>
      <c r="M4069" s="232"/>
      <c r="P4069" s="232"/>
      <c r="R4069" s="232"/>
      <c r="T4069" s="232"/>
    </row>
    <row r="4070" spans="3:20">
      <c r="C4070" s="232"/>
      <c r="E4070" s="232"/>
      <c r="G4070" s="232"/>
      <c r="I4070" s="232"/>
      <c r="K4070" s="232"/>
      <c r="M4070" s="232"/>
      <c r="P4070" s="232"/>
      <c r="R4070" s="232"/>
      <c r="T4070" s="232"/>
    </row>
    <row r="4071" spans="3:20">
      <c r="C4071" s="232"/>
      <c r="E4071" s="232"/>
      <c r="G4071" s="232"/>
      <c r="I4071" s="232"/>
      <c r="K4071" s="232"/>
      <c r="M4071" s="232"/>
      <c r="P4071" s="232"/>
      <c r="R4071" s="232"/>
      <c r="T4071" s="232"/>
    </row>
    <row r="4072" spans="3:20">
      <c r="C4072" s="232"/>
      <c r="E4072" s="232"/>
      <c r="G4072" s="232"/>
      <c r="I4072" s="232"/>
      <c r="K4072" s="232"/>
      <c r="M4072" s="232"/>
      <c r="P4072" s="232"/>
      <c r="R4072" s="232"/>
      <c r="T4072" s="232"/>
    </row>
    <row r="4073" spans="3:20">
      <c r="C4073" s="232"/>
      <c r="E4073" s="232"/>
      <c r="G4073" s="232"/>
      <c r="I4073" s="232"/>
      <c r="K4073" s="232"/>
      <c r="M4073" s="232"/>
      <c r="P4073" s="232"/>
      <c r="R4073" s="232"/>
      <c r="T4073" s="232"/>
    </row>
    <row r="4074" spans="3:20">
      <c r="C4074" s="232"/>
      <c r="E4074" s="232"/>
      <c r="G4074" s="232"/>
      <c r="I4074" s="232"/>
      <c r="K4074" s="232"/>
      <c r="M4074" s="232"/>
      <c r="P4074" s="232"/>
      <c r="R4074" s="232"/>
      <c r="T4074" s="232"/>
    </row>
    <row r="4075" spans="3:20">
      <c r="C4075" s="232"/>
      <c r="E4075" s="232"/>
      <c r="G4075" s="232"/>
      <c r="I4075" s="232"/>
      <c r="K4075" s="232"/>
      <c r="M4075" s="232"/>
      <c r="P4075" s="232"/>
      <c r="R4075" s="232"/>
      <c r="T4075" s="232"/>
    </row>
    <row r="4076" spans="3:20">
      <c r="C4076" s="232"/>
      <c r="E4076" s="232"/>
      <c r="G4076" s="232"/>
      <c r="I4076" s="232"/>
      <c r="K4076" s="232"/>
      <c r="M4076" s="232"/>
      <c r="P4076" s="232"/>
      <c r="R4076" s="232"/>
      <c r="T4076" s="232"/>
    </row>
    <row r="4077" spans="3:20">
      <c r="C4077" s="232"/>
      <c r="E4077" s="232"/>
      <c r="G4077" s="232"/>
      <c r="I4077" s="232"/>
      <c r="K4077" s="232"/>
      <c r="M4077" s="232"/>
      <c r="P4077" s="232"/>
      <c r="R4077" s="232"/>
      <c r="T4077" s="232"/>
    </row>
    <row r="4078" spans="3:20">
      <c r="C4078" s="232"/>
      <c r="E4078" s="232"/>
      <c r="G4078" s="232"/>
      <c r="I4078" s="232"/>
      <c r="K4078" s="232"/>
      <c r="M4078" s="232"/>
      <c r="P4078" s="232"/>
      <c r="R4078" s="232"/>
      <c r="T4078" s="232"/>
    </row>
    <row r="4079" spans="3:20">
      <c r="C4079" s="232"/>
      <c r="E4079" s="232"/>
      <c r="G4079" s="232"/>
      <c r="I4079" s="232"/>
      <c r="K4079" s="232"/>
      <c r="M4079" s="232"/>
      <c r="P4079" s="232"/>
      <c r="R4079" s="232"/>
      <c r="T4079" s="232"/>
    </row>
    <row r="4080" spans="3:20">
      <c r="C4080" s="232"/>
      <c r="E4080" s="232"/>
      <c r="G4080" s="232"/>
      <c r="I4080" s="232"/>
      <c r="K4080" s="232"/>
      <c r="M4080" s="232"/>
      <c r="P4080" s="232"/>
      <c r="R4080" s="232"/>
      <c r="T4080" s="232"/>
    </row>
    <row r="4081" spans="3:20">
      <c r="C4081" s="232"/>
      <c r="E4081" s="232"/>
      <c r="G4081" s="232"/>
      <c r="I4081" s="232"/>
      <c r="K4081" s="232"/>
      <c r="M4081" s="232"/>
      <c r="P4081" s="232"/>
      <c r="R4081" s="232"/>
      <c r="T4081" s="232"/>
    </row>
    <row r="4082" spans="3:20">
      <c r="C4082" s="232"/>
      <c r="E4082" s="232"/>
      <c r="G4082" s="232"/>
      <c r="I4082" s="232"/>
      <c r="K4082" s="232"/>
      <c r="M4082" s="232"/>
      <c r="P4082" s="232"/>
      <c r="R4082" s="232"/>
      <c r="T4082" s="232"/>
    </row>
    <row r="4083" spans="3:20">
      <c r="C4083" s="232"/>
      <c r="E4083" s="232"/>
      <c r="G4083" s="232"/>
      <c r="I4083" s="232"/>
      <c r="K4083" s="232"/>
      <c r="M4083" s="232"/>
      <c r="P4083" s="232"/>
      <c r="R4083" s="232"/>
      <c r="T4083" s="232"/>
    </row>
    <row r="4084" spans="3:20">
      <c r="C4084" s="232"/>
      <c r="E4084" s="232"/>
      <c r="G4084" s="232"/>
      <c r="I4084" s="232"/>
      <c r="K4084" s="232"/>
      <c r="M4084" s="232"/>
      <c r="P4084" s="232"/>
      <c r="R4084" s="232"/>
      <c r="T4084" s="232"/>
    </row>
    <row r="4085" spans="3:20">
      <c r="C4085" s="232"/>
      <c r="E4085" s="232"/>
      <c r="G4085" s="232"/>
      <c r="I4085" s="232"/>
      <c r="K4085" s="232"/>
      <c r="M4085" s="232"/>
      <c r="P4085" s="232"/>
      <c r="R4085" s="232"/>
      <c r="T4085" s="232"/>
    </row>
    <row r="4086" spans="3:20">
      <c r="C4086" s="232"/>
      <c r="E4086" s="232"/>
      <c r="G4086" s="232"/>
      <c r="I4086" s="232"/>
      <c r="K4086" s="232"/>
      <c r="M4086" s="232"/>
      <c r="P4086" s="232"/>
      <c r="R4086" s="232"/>
      <c r="T4086" s="232"/>
    </row>
    <row r="4087" spans="3:20">
      <c r="C4087" s="232"/>
      <c r="E4087" s="232"/>
      <c r="G4087" s="232"/>
      <c r="I4087" s="232"/>
      <c r="K4087" s="232"/>
      <c r="M4087" s="232"/>
      <c r="P4087" s="232"/>
      <c r="R4087" s="232"/>
      <c r="T4087" s="232"/>
    </row>
    <row r="4088" spans="3:20">
      <c r="C4088" s="232"/>
      <c r="E4088" s="232"/>
      <c r="G4088" s="232"/>
      <c r="I4088" s="232"/>
      <c r="K4088" s="232"/>
      <c r="M4088" s="232"/>
      <c r="P4088" s="232"/>
      <c r="R4088" s="232"/>
      <c r="T4088" s="232"/>
    </row>
    <row r="4089" spans="3:20">
      <c r="C4089" s="232"/>
      <c r="E4089" s="232"/>
      <c r="G4089" s="232"/>
      <c r="I4089" s="232"/>
      <c r="K4089" s="232"/>
      <c r="M4089" s="232"/>
      <c r="P4089" s="232"/>
      <c r="R4089" s="232"/>
      <c r="T4089" s="232"/>
    </row>
    <row r="4090" spans="3:20">
      <c r="C4090" s="232"/>
      <c r="E4090" s="232"/>
      <c r="G4090" s="232"/>
      <c r="I4090" s="232"/>
      <c r="K4090" s="232"/>
      <c r="M4090" s="232"/>
      <c r="P4090" s="232"/>
      <c r="R4090" s="232"/>
      <c r="T4090" s="232"/>
    </row>
    <row r="4091" spans="3:20">
      <c r="C4091" s="232"/>
      <c r="E4091" s="232"/>
      <c r="G4091" s="232"/>
      <c r="I4091" s="232"/>
      <c r="K4091" s="232"/>
      <c r="M4091" s="232"/>
      <c r="P4091" s="232"/>
      <c r="R4091" s="232"/>
      <c r="T4091" s="232"/>
    </row>
    <row r="4092" spans="3:20">
      <c r="C4092" s="232"/>
      <c r="E4092" s="232"/>
      <c r="G4092" s="232"/>
      <c r="I4092" s="232"/>
      <c r="K4092" s="232"/>
      <c r="M4092" s="232"/>
      <c r="P4092" s="232"/>
      <c r="R4092" s="232"/>
      <c r="T4092" s="232"/>
    </row>
    <row r="4093" spans="3:20">
      <c r="C4093" s="232"/>
      <c r="E4093" s="232"/>
      <c r="G4093" s="232"/>
      <c r="I4093" s="232"/>
      <c r="K4093" s="232"/>
      <c r="M4093" s="232"/>
      <c r="P4093" s="232"/>
      <c r="R4093" s="232"/>
      <c r="T4093" s="232"/>
    </row>
    <row r="4094" spans="3:20">
      <c r="C4094" s="232"/>
      <c r="E4094" s="232"/>
      <c r="G4094" s="232"/>
      <c r="I4094" s="232"/>
      <c r="K4094" s="232"/>
      <c r="M4094" s="232"/>
      <c r="P4094" s="232"/>
      <c r="R4094" s="232"/>
      <c r="T4094" s="232"/>
    </row>
    <row r="4095" spans="3:20">
      <c r="C4095" s="232"/>
      <c r="E4095" s="232"/>
      <c r="G4095" s="232"/>
      <c r="I4095" s="232"/>
      <c r="K4095" s="232"/>
      <c r="M4095" s="232"/>
      <c r="P4095" s="232"/>
      <c r="R4095" s="232"/>
      <c r="T4095" s="232"/>
    </row>
    <row r="4096" spans="3:20">
      <c r="C4096" s="232"/>
      <c r="E4096" s="232"/>
      <c r="G4096" s="232"/>
      <c r="I4096" s="232"/>
      <c r="K4096" s="232"/>
      <c r="M4096" s="232"/>
      <c r="P4096" s="232"/>
      <c r="R4096" s="232"/>
      <c r="T4096" s="232"/>
    </row>
    <row r="4097" spans="3:20">
      <c r="C4097" s="232"/>
      <c r="E4097" s="232"/>
      <c r="G4097" s="232"/>
      <c r="I4097" s="232"/>
      <c r="K4097" s="232"/>
      <c r="M4097" s="232"/>
      <c r="P4097" s="232"/>
      <c r="R4097" s="232"/>
      <c r="T4097" s="232"/>
    </row>
    <row r="4098" spans="3:20">
      <c r="C4098" s="232"/>
      <c r="E4098" s="232"/>
      <c r="G4098" s="232"/>
      <c r="I4098" s="232"/>
      <c r="K4098" s="232"/>
      <c r="M4098" s="232"/>
      <c r="P4098" s="232"/>
      <c r="R4098" s="232"/>
      <c r="T4098" s="232"/>
    </row>
    <row r="4099" spans="3:20">
      <c r="C4099" s="232"/>
      <c r="E4099" s="232"/>
      <c r="G4099" s="232"/>
      <c r="I4099" s="232"/>
      <c r="K4099" s="232"/>
      <c r="M4099" s="232"/>
      <c r="P4099" s="232"/>
      <c r="R4099" s="232"/>
      <c r="T4099" s="232"/>
    </row>
    <row r="4100" spans="3:20">
      <c r="C4100" s="232"/>
      <c r="E4100" s="232"/>
      <c r="G4100" s="232"/>
      <c r="I4100" s="232"/>
      <c r="K4100" s="232"/>
      <c r="M4100" s="232"/>
      <c r="P4100" s="232"/>
      <c r="R4100" s="232"/>
      <c r="T4100" s="232"/>
    </row>
    <row r="4101" spans="3:20">
      <c r="C4101" s="232"/>
      <c r="E4101" s="232"/>
      <c r="G4101" s="232"/>
      <c r="I4101" s="232"/>
      <c r="K4101" s="232"/>
      <c r="M4101" s="232"/>
      <c r="P4101" s="232"/>
      <c r="R4101" s="232"/>
      <c r="T4101" s="232"/>
    </row>
    <row r="4102" spans="3:20">
      <c r="C4102" s="232"/>
      <c r="E4102" s="232"/>
      <c r="G4102" s="232"/>
      <c r="I4102" s="232"/>
      <c r="K4102" s="232"/>
      <c r="M4102" s="232"/>
      <c r="P4102" s="232"/>
      <c r="R4102" s="232"/>
      <c r="T4102" s="232"/>
    </row>
    <row r="4103" spans="3:20">
      <c r="C4103" s="232"/>
      <c r="E4103" s="232"/>
      <c r="G4103" s="232"/>
      <c r="I4103" s="232"/>
      <c r="K4103" s="232"/>
      <c r="M4103" s="232"/>
      <c r="P4103" s="232"/>
      <c r="R4103" s="232"/>
      <c r="T4103" s="232"/>
    </row>
    <row r="4104" spans="3:20">
      <c r="C4104" s="232"/>
      <c r="E4104" s="232"/>
      <c r="G4104" s="232"/>
      <c r="I4104" s="232"/>
      <c r="K4104" s="232"/>
      <c r="M4104" s="232"/>
      <c r="P4104" s="232"/>
      <c r="R4104" s="232"/>
      <c r="T4104" s="232"/>
    </row>
    <row r="4105" spans="3:20">
      <c r="C4105" s="232"/>
      <c r="E4105" s="232"/>
      <c r="G4105" s="232"/>
      <c r="I4105" s="232"/>
      <c r="K4105" s="232"/>
      <c r="M4105" s="232"/>
      <c r="P4105" s="232"/>
      <c r="R4105" s="232"/>
      <c r="T4105" s="232"/>
    </row>
    <row r="4106" spans="3:20">
      <c r="C4106" s="232"/>
      <c r="E4106" s="232"/>
      <c r="G4106" s="232"/>
      <c r="I4106" s="232"/>
      <c r="K4106" s="232"/>
      <c r="M4106" s="232"/>
      <c r="P4106" s="232"/>
      <c r="R4106" s="232"/>
      <c r="T4106" s="232"/>
    </row>
    <row r="4107" spans="3:20">
      <c r="C4107" s="232"/>
      <c r="E4107" s="232"/>
      <c r="G4107" s="232"/>
      <c r="I4107" s="232"/>
      <c r="K4107" s="232"/>
      <c r="M4107" s="232"/>
      <c r="P4107" s="232"/>
      <c r="R4107" s="232"/>
      <c r="T4107" s="232"/>
    </row>
    <row r="4108" spans="3:20">
      <c r="C4108" s="232"/>
      <c r="E4108" s="232"/>
      <c r="G4108" s="232"/>
      <c r="I4108" s="232"/>
      <c r="K4108" s="232"/>
      <c r="M4108" s="232"/>
      <c r="P4108" s="232"/>
      <c r="R4108" s="232"/>
      <c r="T4108" s="232"/>
    </row>
    <row r="4109" spans="3:20">
      <c r="C4109" s="232"/>
      <c r="E4109" s="232"/>
      <c r="G4109" s="232"/>
      <c r="I4109" s="232"/>
      <c r="K4109" s="232"/>
      <c r="M4109" s="232"/>
      <c r="P4109" s="232"/>
      <c r="R4109" s="232"/>
      <c r="T4109" s="232"/>
    </row>
    <row r="4110" spans="3:20">
      <c r="C4110" s="232"/>
      <c r="E4110" s="232"/>
      <c r="G4110" s="232"/>
      <c r="I4110" s="232"/>
      <c r="K4110" s="232"/>
      <c r="M4110" s="232"/>
      <c r="P4110" s="232"/>
      <c r="R4110" s="232"/>
      <c r="T4110" s="232"/>
    </row>
    <row r="4111" spans="3:20">
      <c r="C4111" s="232"/>
      <c r="E4111" s="232"/>
      <c r="G4111" s="232"/>
      <c r="I4111" s="232"/>
      <c r="K4111" s="232"/>
      <c r="M4111" s="232"/>
      <c r="P4111" s="232"/>
      <c r="R4111" s="232"/>
      <c r="T4111" s="232"/>
    </row>
    <row r="4112" spans="3:20">
      <c r="C4112" s="232"/>
      <c r="E4112" s="232"/>
      <c r="G4112" s="232"/>
      <c r="I4112" s="232"/>
      <c r="K4112" s="232"/>
      <c r="M4112" s="232"/>
      <c r="P4112" s="232"/>
      <c r="R4112" s="232"/>
      <c r="T4112" s="232"/>
    </row>
    <row r="4113" spans="3:20">
      <c r="C4113" s="232"/>
      <c r="E4113" s="232"/>
      <c r="G4113" s="232"/>
      <c r="I4113" s="232"/>
      <c r="K4113" s="232"/>
      <c r="M4113" s="232"/>
      <c r="P4113" s="232"/>
      <c r="R4113" s="232"/>
      <c r="T4113" s="232"/>
    </row>
    <row r="4114" spans="3:20">
      <c r="C4114" s="232"/>
      <c r="E4114" s="232"/>
      <c r="G4114" s="232"/>
      <c r="I4114" s="232"/>
      <c r="K4114" s="232"/>
      <c r="M4114" s="232"/>
      <c r="P4114" s="232"/>
      <c r="R4114" s="232"/>
      <c r="T4114" s="232"/>
    </row>
    <row r="4115" spans="3:20">
      <c r="C4115" s="232"/>
      <c r="E4115" s="232"/>
      <c r="G4115" s="232"/>
      <c r="I4115" s="232"/>
      <c r="K4115" s="232"/>
      <c r="M4115" s="232"/>
      <c r="P4115" s="232"/>
      <c r="R4115" s="232"/>
      <c r="T4115" s="232"/>
    </row>
    <row r="4116" spans="3:20">
      <c r="C4116" s="232"/>
      <c r="E4116" s="232"/>
      <c r="G4116" s="232"/>
      <c r="I4116" s="232"/>
      <c r="K4116" s="232"/>
      <c r="M4116" s="232"/>
      <c r="P4116" s="232"/>
      <c r="R4116" s="232"/>
      <c r="T4116" s="232"/>
    </row>
    <row r="4117" spans="3:20">
      <c r="C4117" s="232"/>
      <c r="E4117" s="232"/>
      <c r="G4117" s="232"/>
      <c r="I4117" s="232"/>
      <c r="K4117" s="232"/>
      <c r="M4117" s="232"/>
      <c r="P4117" s="232"/>
      <c r="R4117" s="232"/>
      <c r="T4117" s="232"/>
    </row>
    <row r="4118" spans="3:20">
      <c r="C4118" s="232"/>
      <c r="E4118" s="232"/>
      <c r="G4118" s="232"/>
      <c r="I4118" s="232"/>
      <c r="K4118" s="232"/>
      <c r="M4118" s="232"/>
      <c r="P4118" s="232"/>
      <c r="R4118" s="232"/>
      <c r="T4118" s="232"/>
    </row>
    <row r="4119" spans="3:20">
      <c r="C4119" s="232"/>
      <c r="E4119" s="232"/>
      <c r="G4119" s="232"/>
      <c r="I4119" s="232"/>
      <c r="K4119" s="232"/>
      <c r="M4119" s="232"/>
      <c r="P4119" s="232"/>
      <c r="R4119" s="232"/>
      <c r="T4119" s="232"/>
    </row>
    <row r="4120" spans="3:20">
      <c r="C4120" s="232"/>
      <c r="E4120" s="232"/>
      <c r="G4120" s="232"/>
      <c r="I4120" s="232"/>
      <c r="K4120" s="232"/>
      <c r="M4120" s="232"/>
      <c r="P4120" s="232"/>
      <c r="R4120" s="232"/>
      <c r="T4120" s="232"/>
    </row>
    <row r="4121" spans="3:20">
      <c r="C4121" s="232"/>
      <c r="E4121" s="232"/>
      <c r="G4121" s="232"/>
      <c r="I4121" s="232"/>
      <c r="K4121" s="232"/>
      <c r="M4121" s="232"/>
      <c r="P4121" s="232"/>
      <c r="R4121" s="232"/>
      <c r="T4121" s="232"/>
    </row>
    <row r="4122" spans="3:20">
      <c r="C4122" s="232"/>
      <c r="E4122" s="232"/>
      <c r="G4122" s="232"/>
      <c r="I4122" s="232"/>
      <c r="K4122" s="232"/>
      <c r="M4122" s="232"/>
      <c r="P4122" s="232"/>
      <c r="R4122" s="232"/>
      <c r="T4122" s="232"/>
    </row>
    <row r="4123" spans="3:20">
      <c r="C4123" s="232"/>
      <c r="E4123" s="232"/>
      <c r="G4123" s="232"/>
      <c r="I4123" s="232"/>
      <c r="K4123" s="232"/>
      <c r="M4123" s="232"/>
      <c r="P4123" s="232"/>
      <c r="R4123" s="232"/>
      <c r="T4123" s="232"/>
    </row>
    <row r="4124" spans="3:20">
      <c r="C4124" s="232"/>
      <c r="E4124" s="232"/>
      <c r="G4124" s="232"/>
      <c r="I4124" s="232"/>
      <c r="K4124" s="232"/>
      <c r="M4124" s="232"/>
      <c r="P4124" s="232"/>
      <c r="R4124" s="232"/>
      <c r="T4124" s="232"/>
    </row>
    <row r="4125" spans="3:20">
      <c r="C4125" s="232"/>
      <c r="E4125" s="232"/>
      <c r="G4125" s="232"/>
      <c r="I4125" s="232"/>
      <c r="K4125" s="232"/>
      <c r="M4125" s="232"/>
      <c r="P4125" s="232"/>
      <c r="R4125" s="232"/>
      <c r="T4125" s="232"/>
    </row>
    <row r="4126" spans="3:20">
      <c r="C4126" s="232"/>
      <c r="E4126" s="232"/>
      <c r="G4126" s="232"/>
      <c r="I4126" s="232"/>
      <c r="K4126" s="232"/>
      <c r="M4126" s="232"/>
      <c r="P4126" s="232"/>
      <c r="R4126" s="232"/>
      <c r="T4126" s="232"/>
    </row>
    <row r="4127" spans="3:20">
      <c r="C4127" s="232"/>
      <c r="E4127" s="232"/>
      <c r="G4127" s="232"/>
      <c r="I4127" s="232"/>
      <c r="K4127" s="232"/>
      <c r="M4127" s="232"/>
      <c r="P4127" s="232"/>
      <c r="R4127" s="232"/>
      <c r="T4127" s="232"/>
    </row>
    <row r="4128" spans="3:20">
      <c r="C4128" s="232"/>
      <c r="E4128" s="232"/>
      <c r="G4128" s="232"/>
      <c r="I4128" s="232"/>
      <c r="K4128" s="232"/>
      <c r="M4128" s="232"/>
      <c r="P4128" s="232"/>
      <c r="R4128" s="232"/>
      <c r="T4128" s="232"/>
    </row>
    <row r="4129" spans="3:20">
      <c r="C4129" s="232"/>
      <c r="E4129" s="232"/>
      <c r="G4129" s="232"/>
      <c r="I4129" s="232"/>
      <c r="K4129" s="232"/>
      <c r="M4129" s="232"/>
      <c r="P4129" s="232"/>
      <c r="R4129" s="232"/>
      <c r="T4129" s="232"/>
    </row>
    <row r="4130" spans="3:20">
      <c r="C4130" s="232"/>
      <c r="E4130" s="232"/>
      <c r="G4130" s="232"/>
      <c r="I4130" s="232"/>
      <c r="K4130" s="232"/>
      <c r="M4130" s="232"/>
      <c r="P4130" s="232"/>
      <c r="R4130" s="232"/>
      <c r="T4130" s="232"/>
    </row>
    <row r="4131" spans="3:20">
      <c r="C4131" s="232"/>
      <c r="E4131" s="232"/>
      <c r="G4131" s="232"/>
      <c r="I4131" s="232"/>
      <c r="K4131" s="232"/>
      <c r="M4131" s="232"/>
      <c r="P4131" s="232"/>
      <c r="R4131" s="232"/>
      <c r="T4131" s="232"/>
    </row>
    <row r="4132" spans="3:20">
      <c r="C4132" s="232"/>
      <c r="E4132" s="232"/>
      <c r="G4132" s="232"/>
      <c r="I4132" s="232"/>
      <c r="K4132" s="232"/>
      <c r="M4132" s="232"/>
      <c r="P4132" s="232"/>
      <c r="R4132" s="232"/>
      <c r="T4132" s="232"/>
    </row>
    <row r="4133" spans="3:20">
      <c r="C4133" s="232"/>
      <c r="E4133" s="232"/>
      <c r="G4133" s="232"/>
      <c r="I4133" s="232"/>
      <c r="K4133" s="232"/>
      <c r="M4133" s="232"/>
      <c r="P4133" s="232"/>
      <c r="R4133" s="232"/>
      <c r="T4133" s="232"/>
    </row>
    <row r="4134" spans="3:20">
      <c r="C4134" s="232"/>
      <c r="E4134" s="232"/>
      <c r="G4134" s="232"/>
      <c r="I4134" s="232"/>
      <c r="K4134" s="232"/>
      <c r="M4134" s="232"/>
      <c r="P4134" s="232"/>
      <c r="R4134" s="232"/>
      <c r="T4134" s="232"/>
    </row>
    <row r="4135" spans="3:20">
      <c r="C4135" s="232"/>
      <c r="E4135" s="232"/>
      <c r="G4135" s="232"/>
      <c r="I4135" s="232"/>
      <c r="K4135" s="232"/>
      <c r="M4135" s="232"/>
      <c r="P4135" s="232"/>
      <c r="R4135" s="232"/>
      <c r="T4135" s="232"/>
    </row>
    <row r="4136" spans="3:20">
      <c r="C4136" s="232"/>
      <c r="E4136" s="232"/>
      <c r="G4136" s="232"/>
      <c r="I4136" s="232"/>
      <c r="K4136" s="232"/>
      <c r="M4136" s="232"/>
      <c r="P4136" s="232"/>
      <c r="R4136" s="232"/>
      <c r="T4136" s="232"/>
    </row>
    <row r="4137" spans="3:20">
      <c r="C4137" s="232"/>
      <c r="E4137" s="232"/>
      <c r="G4137" s="232"/>
      <c r="I4137" s="232"/>
      <c r="K4137" s="232"/>
      <c r="M4137" s="232"/>
      <c r="P4137" s="232"/>
      <c r="R4137" s="232"/>
      <c r="T4137" s="232"/>
    </row>
    <row r="4138" spans="3:20">
      <c r="C4138" s="232"/>
      <c r="E4138" s="232"/>
      <c r="G4138" s="232"/>
      <c r="I4138" s="232"/>
      <c r="K4138" s="232"/>
      <c r="M4138" s="232"/>
      <c r="P4138" s="232"/>
      <c r="R4138" s="232"/>
      <c r="T4138" s="232"/>
    </row>
    <row r="4139" spans="3:20">
      <c r="C4139" s="232"/>
      <c r="E4139" s="232"/>
      <c r="G4139" s="232"/>
      <c r="I4139" s="232"/>
      <c r="K4139" s="232"/>
      <c r="M4139" s="232"/>
      <c r="P4139" s="232"/>
      <c r="R4139" s="232"/>
      <c r="T4139" s="232"/>
    </row>
    <row r="4140" spans="3:20">
      <c r="C4140" s="232"/>
      <c r="E4140" s="232"/>
      <c r="G4140" s="232"/>
      <c r="I4140" s="232"/>
      <c r="K4140" s="232"/>
      <c r="M4140" s="232"/>
      <c r="P4140" s="232"/>
      <c r="R4140" s="232"/>
      <c r="T4140" s="232"/>
    </row>
    <row r="4141" spans="3:20">
      <c r="C4141" s="232"/>
      <c r="E4141" s="232"/>
      <c r="G4141" s="232"/>
      <c r="I4141" s="232"/>
      <c r="K4141" s="232"/>
      <c r="M4141" s="232"/>
      <c r="P4141" s="232"/>
      <c r="R4141" s="232"/>
      <c r="T4141" s="232"/>
    </row>
    <row r="4142" spans="3:20">
      <c r="C4142" s="232"/>
      <c r="E4142" s="232"/>
      <c r="G4142" s="232"/>
      <c r="I4142" s="232"/>
      <c r="K4142" s="232"/>
      <c r="M4142" s="232"/>
      <c r="P4142" s="232"/>
      <c r="R4142" s="232"/>
      <c r="T4142" s="232"/>
    </row>
    <row r="4143" spans="3:20">
      <c r="C4143" s="232"/>
      <c r="E4143" s="232"/>
      <c r="G4143" s="232"/>
      <c r="I4143" s="232"/>
      <c r="K4143" s="232"/>
      <c r="M4143" s="232"/>
      <c r="P4143" s="232"/>
      <c r="R4143" s="232"/>
      <c r="T4143" s="232"/>
    </row>
    <row r="4144" spans="3:20">
      <c r="C4144" s="232"/>
      <c r="E4144" s="232"/>
      <c r="G4144" s="232"/>
      <c r="I4144" s="232"/>
      <c r="K4144" s="232"/>
      <c r="M4144" s="232"/>
      <c r="P4144" s="232"/>
      <c r="R4144" s="232"/>
      <c r="T4144" s="232"/>
    </row>
    <row r="4145" spans="3:20">
      <c r="C4145" s="232"/>
      <c r="E4145" s="232"/>
      <c r="G4145" s="232"/>
      <c r="I4145" s="232"/>
      <c r="K4145" s="232"/>
      <c r="M4145" s="232"/>
      <c r="P4145" s="232"/>
      <c r="R4145" s="232"/>
      <c r="T4145" s="232"/>
    </row>
    <row r="4146" spans="3:20">
      <c r="C4146" s="232"/>
      <c r="E4146" s="232"/>
      <c r="G4146" s="232"/>
      <c r="I4146" s="232"/>
      <c r="K4146" s="232"/>
      <c r="M4146" s="232"/>
      <c r="P4146" s="232"/>
      <c r="R4146" s="232"/>
      <c r="T4146" s="232"/>
    </row>
    <row r="4147" spans="3:20">
      <c r="C4147" s="232"/>
      <c r="E4147" s="232"/>
      <c r="G4147" s="232"/>
      <c r="I4147" s="232"/>
      <c r="K4147" s="232"/>
      <c r="M4147" s="232"/>
      <c r="P4147" s="232"/>
      <c r="R4147" s="232"/>
      <c r="T4147" s="232"/>
    </row>
    <row r="4148" spans="3:20">
      <c r="C4148" s="232"/>
      <c r="E4148" s="232"/>
      <c r="G4148" s="232"/>
      <c r="I4148" s="232"/>
      <c r="K4148" s="232"/>
      <c r="M4148" s="232"/>
      <c r="P4148" s="232"/>
      <c r="R4148" s="232"/>
      <c r="T4148" s="232"/>
    </row>
    <row r="4149" spans="3:20">
      <c r="C4149" s="232"/>
      <c r="E4149" s="232"/>
      <c r="G4149" s="232"/>
      <c r="I4149" s="232"/>
      <c r="K4149" s="232"/>
      <c r="M4149" s="232"/>
      <c r="P4149" s="232"/>
      <c r="R4149" s="232"/>
      <c r="T4149" s="232"/>
    </row>
    <row r="4150" spans="3:20">
      <c r="C4150" s="232"/>
      <c r="E4150" s="232"/>
      <c r="G4150" s="232"/>
      <c r="I4150" s="232"/>
      <c r="K4150" s="232"/>
      <c r="M4150" s="232"/>
      <c r="P4150" s="232"/>
      <c r="R4150" s="232"/>
      <c r="T4150" s="232"/>
    </row>
    <row r="4151" spans="3:20">
      <c r="C4151" s="232"/>
      <c r="E4151" s="232"/>
      <c r="G4151" s="232"/>
      <c r="I4151" s="232"/>
      <c r="K4151" s="232"/>
      <c r="M4151" s="232"/>
      <c r="P4151" s="232"/>
      <c r="R4151" s="232"/>
      <c r="T4151" s="232"/>
    </row>
    <row r="4152" spans="3:20">
      <c r="C4152" s="232"/>
      <c r="E4152" s="232"/>
      <c r="G4152" s="232"/>
      <c r="I4152" s="232"/>
      <c r="K4152" s="232"/>
      <c r="M4152" s="232"/>
      <c r="P4152" s="232"/>
      <c r="R4152" s="232"/>
      <c r="T4152" s="232"/>
    </row>
    <row r="4153" spans="3:20">
      <c r="C4153" s="232"/>
      <c r="E4153" s="232"/>
      <c r="G4153" s="232"/>
      <c r="I4153" s="232"/>
      <c r="K4153" s="232"/>
      <c r="M4153" s="232"/>
      <c r="P4153" s="232"/>
      <c r="R4153" s="232"/>
      <c r="T4153" s="232"/>
    </row>
    <row r="4154" spans="3:20">
      <c r="C4154" s="232"/>
      <c r="E4154" s="232"/>
      <c r="G4154" s="232"/>
      <c r="I4154" s="232"/>
      <c r="K4154" s="232"/>
      <c r="M4154" s="232"/>
      <c r="P4154" s="232"/>
      <c r="R4154" s="232"/>
      <c r="T4154" s="232"/>
    </row>
    <row r="4155" spans="3:20">
      <c r="C4155" s="232"/>
      <c r="E4155" s="232"/>
      <c r="G4155" s="232"/>
      <c r="I4155" s="232"/>
      <c r="K4155" s="232"/>
      <c r="M4155" s="232"/>
      <c r="P4155" s="232"/>
      <c r="R4155" s="232"/>
      <c r="T4155" s="232"/>
    </row>
    <row r="4156" spans="3:20">
      <c r="C4156" s="232"/>
      <c r="E4156" s="232"/>
      <c r="G4156" s="232"/>
      <c r="I4156" s="232"/>
      <c r="K4156" s="232"/>
      <c r="M4156" s="232"/>
      <c r="P4156" s="232"/>
      <c r="R4156" s="232"/>
      <c r="T4156" s="232"/>
    </row>
    <row r="4157" spans="3:20">
      <c r="C4157" s="232"/>
      <c r="E4157" s="232"/>
      <c r="G4157" s="232"/>
      <c r="I4157" s="232"/>
      <c r="K4157" s="232"/>
      <c r="M4157" s="232"/>
      <c r="P4157" s="232"/>
      <c r="R4157" s="232"/>
      <c r="T4157" s="232"/>
    </row>
    <row r="4158" spans="3:20">
      <c r="C4158" s="232"/>
      <c r="E4158" s="232"/>
      <c r="G4158" s="232"/>
      <c r="I4158" s="232"/>
      <c r="K4158" s="232"/>
      <c r="M4158" s="232"/>
      <c r="P4158" s="232"/>
      <c r="R4158" s="232"/>
      <c r="T4158" s="232"/>
    </row>
    <row r="4159" spans="3:20">
      <c r="C4159" s="232"/>
      <c r="E4159" s="232"/>
      <c r="G4159" s="232"/>
      <c r="I4159" s="232"/>
      <c r="K4159" s="232"/>
      <c r="M4159" s="232"/>
      <c r="P4159" s="232"/>
      <c r="R4159" s="232"/>
      <c r="T4159" s="232"/>
    </row>
    <row r="4160" spans="3:20">
      <c r="C4160" s="232"/>
      <c r="E4160" s="232"/>
      <c r="G4160" s="232"/>
      <c r="I4160" s="232"/>
      <c r="K4160" s="232"/>
      <c r="M4160" s="232"/>
      <c r="P4160" s="232"/>
      <c r="R4160" s="232"/>
      <c r="T4160" s="232"/>
    </row>
    <row r="4161" spans="3:20">
      <c r="C4161" s="232"/>
      <c r="E4161" s="232"/>
      <c r="G4161" s="232"/>
      <c r="I4161" s="232"/>
      <c r="K4161" s="232"/>
      <c r="M4161" s="232"/>
      <c r="P4161" s="232"/>
      <c r="R4161" s="232"/>
      <c r="T4161" s="232"/>
    </row>
    <row r="4162" spans="3:20">
      <c r="C4162" s="232"/>
      <c r="E4162" s="232"/>
      <c r="G4162" s="232"/>
      <c r="I4162" s="232"/>
      <c r="K4162" s="232"/>
      <c r="M4162" s="232"/>
      <c r="P4162" s="232"/>
      <c r="R4162" s="232"/>
      <c r="T4162" s="232"/>
    </row>
    <row r="4163" spans="3:20">
      <c r="C4163" s="232"/>
      <c r="E4163" s="232"/>
      <c r="G4163" s="232"/>
      <c r="I4163" s="232"/>
      <c r="K4163" s="232"/>
      <c r="M4163" s="232"/>
      <c r="P4163" s="232"/>
      <c r="R4163" s="232"/>
      <c r="T4163" s="232"/>
    </row>
    <row r="4164" spans="3:20">
      <c r="C4164" s="232"/>
      <c r="E4164" s="232"/>
      <c r="G4164" s="232"/>
      <c r="I4164" s="232"/>
      <c r="K4164" s="232"/>
      <c r="M4164" s="232"/>
      <c r="P4164" s="232"/>
      <c r="R4164" s="232"/>
      <c r="T4164" s="232"/>
    </row>
    <row r="4165" spans="3:20">
      <c r="C4165" s="232"/>
      <c r="E4165" s="232"/>
      <c r="G4165" s="232"/>
      <c r="I4165" s="232"/>
      <c r="K4165" s="232"/>
      <c r="M4165" s="232"/>
      <c r="P4165" s="232"/>
      <c r="R4165" s="232"/>
      <c r="T4165" s="232"/>
    </row>
    <row r="4166" spans="3:20">
      <c r="C4166" s="232"/>
      <c r="E4166" s="232"/>
      <c r="G4166" s="232"/>
      <c r="I4166" s="232"/>
      <c r="K4166" s="232"/>
      <c r="M4166" s="232"/>
      <c r="P4166" s="232"/>
      <c r="R4166" s="232"/>
      <c r="T4166" s="232"/>
    </row>
    <row r="4167" spans="3:20">
      <c r="C4167" s="232"/>
      <c r="E4167" s="232"/>
      <c r="G4167" s="232"/>
      <c r="I4167" s="232"/>
      <c r="K4167" s="232"/>
      <c r="M4167" s="232"/>
      <c r="P4167" s="232"/>
      <c r="R4167" s="232"/>
      <c r="T4167" s="232"/>
    </row>
    <row r="4168" spans="3:20">
      <c r="C4168" s="232"/>
      <c r="E4168" s="232"/>
      <c r="G4168" s="232"/>
      <c r="I4168" s="232"/>
      <c r="K4168" s="232"/>
      <c r="M4168" s="232"/>
      <c r="P4168" s="232"/>
      <c r="R4168" s="232"/>
      <c r="T4168" s="232"/>
    </row>
    <row r="4169" spans="3:20">
      <c r="C4169" s="232"/>
      <c r="E4169" s="232"/>
      <c r="G4169" s="232"/>
      <c r="I4169" s="232"/>
      <c r="K4169" s="232"/>
      <c r="M4169" s="232"/>
      <c r="P4169" s="232"/>
      <c r="R4169" s="232"/>
      <c r="T4169" s="232"/>
    </row>
    <row r="4170" spans="3:20">
      <c r="C4170" s="232"/>
      <c r="E4170" s="232"/>
      <c r="G4170" s="232"/>
      <c r="I4170" s="232"/>
      <c r="K4170" s="232"/>
      <c r="M4170" s="232"/>
      <c r="P4170" s="232"/>
      <c r="R4170" s="232"/>
      <c r="T4170" s="232"/>
    </row>
    <row r="4171" spans="3:20">
      <c r="C4171" s="232"/>
      <c r="E4171" s="232"/>
      <c r="G4171" s="232"/>
      <c r="I4171" s="232"/>
      <c r="K4171" s="232"/>
      <c r="M4171" s="232"/>
      <c r="P4171" s="232"/>
      <c r="R4171" s="232"/>
      <c r="T4171" s="232"/>
    </row>
    <row r="4172" spans="3:20">
      <c r="C4172" s="232"/>
      <c r="E4172" s="232"/>
      <c r="G4172" s="232"/>
      <c r="I4172" s="232"/>
      <c r="K4172" s="232"/>
      <c r="M4172" s="232"/>
      <c r="P4172" s="232"/>
      <c r="R4172" s="232"/>
      <c r="T4172" s="232"/>
    </row>
    <row r="4173" spans="3:20">
      <c r="C4173" s="232"/>
      <c r="E4173" s="232"/>
      <c r="G4173" s="232"/>
      <c r="I4173" s="232"/>
      <c r="K4173" s="232"/>
      <c r="M4173" s="232"/>
      <c r="P4173" s="232"/>
      <c r="R4173" s="232"/>
      <c r="T4173" s="232"/>
    </row>
    <row r="4174" spans="3:20">
      <c r="C4174" s="232"/>
      <c r="E4174" s="232"/>
      <c r="G4174" s="232"/>
      <c r="I4174" s="232"/>
      <c r="K4174" s="232"/>
      <c r="M4174" s="232"/>
      <c r="P4174" s="232"/>
      <c r="R4174" s="232"/>
      <c r="T4174" s="232"/>
    </row>
    <row r="4175" spans="3:20">
      <c r="C4175" s="232"/>
      <c r="E4175" s="232"/>
      <c r="G4175" s="232"/>
      <c r="I4175" s="232"/>
      <c r="K4175" s="232"/>
      <c r="M4175" s="232"/>
      <c r="P4175" s="232"/>
      <c r="R4175" s="232"/>
      <c r="T4175" s="232"/>
    </row>
    <row r="4176" spans="3:20">
      <c r="C4176" s="232"/>
      <c r="E4176" s="232"/>
      <c r="G4176" s="232"/>
      <c r="I4176" s="232"/>
      <c r="K4176" s="232"/>
      <c r="M4176" s="232"/>
      <c r="P4176" s="232"/>
      <c r="R4176" s="232"/>
      <c r="T4176" s="232"/>
    </row>
    <row r="4177" spans="3:20">
      <c r="C4177" s="232"/>
      <c r="E4177" s="232"/>
      <c r="G4177" s="232"/>
      <c r="I4177" s="232"/>
      <c r="K4177" s="232"/>
      <c r="M4177" s="232"/>
      <c r="P4177" s="232"/>
      <c r="R4177" s="232"/>
      <c r="T4177" s="232"/>
    </row>
    <row r="4178" spans="3:20">
      <c r="C4178" s="232"/>
      <c r="E4178" s="232"/>
      <c r="G4178" s="232"/>
      <c r="I4178" s="232"/>
      <c r="K4178" s="232"/>
      <c r="M4178" s="232"/>
      <c r="P4178" s="232"/>
      <c r="R4178" s="232"/>
      <c r="T4178" s="232"/>
    </row>
    <row r="4179" spans="3:20">
      <c r="C4179" s="232"/>
      <c r="E4179" s="232"/>
      <c r="G4179" s="232"/>
      <c r="I4179" s="232"/>
      <c r="K4179" s="232"/>
      <c r="M4179" s="232"/>
      <c r="P4179" s="232"/>
      <c r="R4179" s="232"/>
      <c r="T4179" s="232"/>
    </row>
    <row r="4180" spans="3:20">
      <c r="C4180" s="232"/>
      <c r="E4180" s="232"/>
      <c r="G4180" s="232"/>
      <c r="I4180" s="232"/>
      <c r="K4180" s="232"/>
      <c r="M4180" s="232"/>
      <c r="P4180" s="232"/>
      <c r="R4180" s="232"/>
      <c r="T4180" s="232"/>
    </row>
    <row r="4181" spans="3:20">
      <c r="C4181" s="232"/>
      <c r="E4181" s="232"/>
      <c r="G4181" s="232"/>
      <c r="I4181" s="232"/>
      <c r="K4181" s="232"/>
      <c r="M4181" s="232"/>
      <c r="P4181" s="232"/>
      <c r="R4181" s="232"/>
      <c r="T4181" s="232"/>
    </row>
    <row r="4182" spans="3:20">
      <c r="C4182" s="232"/>
      <c r="E4182" s="232"/>
      <c r="G4182" s="232"/>
      <c r="I4182" s="232"/>
      <c r="K4182" s="232"/>
      <c r="M4182" s="232"/>
      <c r="P4182" s="232"/>
      <c r="R4182" s="232"/>
      <c r="T4182" s="232"/>
    </row>
    <row r="4183" spans="3:20">
      <c r="C4183" s="232"/>
      <c r="E4183" s="232"/>
      <c r="G4183" s="232"/>
      <c r="I4183" s="232"/>
      <c r="K4183" s="232"/>
      <c r="M4183" s="232"/>
      <c r="P4183" s="232"/>
      <c r="R4183" s="232"/>
      <c r="T4183" s="232"/>
    </row>
    <row r="4184" spans="3:20">
      <c r="C4184" s="232"/>
      <c r="E4184" s="232"/>
      <c r="G4184" s="232"/>
      <c r="I4184" s="232"/>
      <c r="K4184" s="232"/>
      <c r="M4184" s="232"/>
      <c r="P4184" s="232"/>
      <c r="R4184" s="232"/>
      <c r="T4184" s="232"/>
    </row>
    <row r="4185" spans="3:20">
      <c r="C4185" s="232"/>
      <c r="E4185" s="232"/>
      <c r="G4185" s="232"/>
      <c r="I4185" s="232"/>
      <c r="K4185" s="232"/>
      <c r="M4185" s="232"/>
      <c r="P4185" s="232"/>
      <c r="R4185" s="232"/>
      <c r="T4185" s="232"/>
    </row>
    <row r="4186" spans="3:20">
      <c r="C4186" s="232"/>
      <c r="E4186" s="232"/>
      <c r="G4186" s="232"/>
      <c r="I4186" s="232"/>
      <c r="K4186" s="232"/>
      <c r="M4186" s="232"/>
      <c r="P4186" s="232"/>
      <c r="R4186" s="232"/>
      <c r="T4186" s="232"/>
    </row>
    <row r="4187" spans="3:20">
      <c r="C4187" s="232"/>
      <c r="E4187" s="232"/>
      <c r="G4187" s="232"/>
      <c r="I4187" s="232"/>
      <c r="K4187" s="232"/>
      <c r="M4187" s="232"/>
      <c r="P4187" s="232"/>
      <c r="R4187" s="232"/>
      <c r="T4187" s="232"/>
    </row>
    <row r="4188" spans="3:20">
      <c r="C4188" s="232"/>
      <c r="E4188" s="232"/>
      <c r="G4188" s="232"/>
      <c r="I4188" s="232"/>
      <c r="K4188" s="232"/>
      <c r="M4188" s="232"/>
      <c r="P4188" s="232"/>
      <c r="R4188" s="232"/>
      <c r="T4188" s="232"/>
    </row>
    <row r="4189" spans="3:20">
      <c r="C4189" s="232"/>
      <c r="E4189" s="232"/>
      <c r="G4189" s="232"/>
      <c r="I4189" s="232"/>
      <c r="K4189" s="232"/>
      <c r="M4189" s="232"/>
      <c r="P4189" s="232"/>
      <c r="R4189" s="232"/>
      <c r="T4189" s="232"/>
    </row>
    <row r="4190" spans="3:20">
      <c r="C4190" s="232"/>
      <c r="E4190" s="232"/>
      <c r="G4190" s="232"/>
      <c r="I4190" s="232"/>
      <c r="K4190" s="232"/>
      <c r="M4190" s="232"/>
      <c r="P4190" s="232"/>
      <c r="R4190" s="232"/>
      <c r="T4190" s="232"/>
    </row>
    <row r="4191" spans="3:20">
      <c r="C4191" s="232"/>
      <c r="E4191" s="232"/>
      <c r="G4191" s="232"/>
      <c r="I4191" s="232"/>
      <c r="K4191" s="232"/>
      <c r="M4191" s="232"/>
      <c r="P4191" s="232"/>
      <c r="R4191" s="232"/>
      <c r="T4191" s="232"/>
    </row>
    <row r="4192" spans="3:20">
      <c r="C4192" s="232"/>
      <c r="E4192" s="232"/>
      <c r="G4192" s="232"/>
      <c r="I4192" s="232"/>
      <c r="K4192" s="232"/>
      <c r="M4192" s="232"/>
      <c r="P4192" s="232"/>
      <c r="R4192" s="232"/>
      <c r="T4192" s="232"/>
    </row>
    <row r="4193" spans="3:20">
      <c r="C4193" s="232"/>
      <c r="E4193" s="232"/>
      <c r="G4193" s="232"/>
      <c r="I4193" s="232"/>
      <c r="K4193" s="232"/>
      <c r="M4193" s="232"/>
      <c r="P4193" s="232"/>
      <c r="R4193" s="232"/>
      <c r="T4193" s="232"/>
    </row>
    <row r="4194" spans="3:20">
      <c r="C4194" s="232"/>
      <c r="E4194" s="232"/>
      <c r="G4194" s="232"/>
      <c r="I4194" s="232"/>
      <c r="K4194" s="232"/>
      <c r="M4194" s="232"/>
      <c r="P4194" s="232"/>
      <c r="R4194" s="232"/>
      <c r="T4194" s="232"/>
    </row>
    <row r="4195" spans="3:20">
      <c r="C4195" s="232"/>
      <c r="E4195" s="232"/>
      <c r="G4195" s="232"/>
      <c r="I4195" s="232"/>
      <c r="K4195" s="232"/>
      <c r="M4195" s="232"/>
      <c r="P4195" s="232"/>
      <c r="R4195" s="232"/>
      <c r="T4195" s="232"/>
    </row>
    <row r="4196" spans="3:20">
      <c r="C4196" s="232"/>
      <c r="E4196" s="232"/>
      <c r="G4196" s="232"/>
      <c r="I4196" s="232"/>
      <c r="K4196" s="232"/>
      <c r="M4196" s="232"/>
      <c r="P4196" s="232"/>
      <c r="R4196" s="232"/>
      <c r="T4196" s="232"/>
    </row>
    <row r="4197" spans="3:20">
      <c r="C4197" s="232"/>
      <c r="E4197" s="232"/>
      <c r="G4197" s="232"/>
      <c r="I4197" s="232"/>
      <c r="K4197" s="232"/>
      <c r="M4197" s="232"/>
      <c r="P4197" s="232"/>
      <c r="R4197" s="232"/>
      <c r="T4197" s="232"/>
    </row>
    <row r="4198" spans="3:20">
      <c r="C4198" s="232"/>
      <c r="E4198" s="232"/>
      <c r="G4198" s="232"/>
      <c r="I4198" s="232"/>
      <c r="K4198" s="232"/>
      <c r="M4198" s="232"/>
      <c r="P4198" s="232"/>
      <c r="R4198" s="232"/>
      <c r="T4198" s="232"/>
    </row>
    <row r="4199" spans="3:20">
      <c r="C4199" s="232"/>
      <c r="E4199" s="232"/>
      <c r="G4199" s="232"/>
      <c r="I4199" s="232"/>
      <c r="K4199" s="232"/>
      <c r="M4199" s="232"/>
      <c r="P4199" s="232"/>
      <c r="R4199" s="232"/>
      <c r="T4199" s="232"/>
    </row>
    <row r="4200" spans="3:20">
      <c r="C4200" s="232"/>
      <c r="E4200" s="232"/>
      <c r="G4200" s="232"/>
      <c r="I4200" s="232"/>
      <c r="K4200" s="232"/>
      <c r="M4200" s="232"/>
      <c r="P4200" s="232"/>
      <c r="R4200" s="232"/>
      <c r="T4200" s="232"/>
    </row>
    <row r="4201" spans="3:20">
      <c r="C4201" s="232"/>
      <c r="E4201" s="232"/>
      <c r="G4201" s="232"/>
      <c r="I4201" s="232"/>
      <c r="K4201" s="232"/>
      <c r="M4201" s="232"/>
      <c r="P4201" s="232"/>
      <c r="R4201" s="232"/>
      <c r="T4201" s="232"/>
    </row>
    <row r="4202" spans="3:20">
      <c r="C4202" s="232"/>
      <c r="E4202" s="232"/>
      <c r="G4202" s="232"/>
      <c r="I4202" s="232"/>
      <c r="K4202" s="232"/>
      <c r="M4202" s="232"/>
      <c r="P4202" s="232"/>
      <c r="R4202" s="232"/>
      <c r="T4202" s="232"/>
    </row>
    <row r="4203" spans="3:20">
      <c r="C4203" s="232"/>
      <c r="E4203" s="232"/>
      <c r="G4203" s="232"/>
      <c r="I4203" s="232"/>
      <c r="K4203" s="232"/>
      <c r="M4203" s="232"/>
      <c r="P4203" s="232"/>
      <c r="R4203" s="232"/>
      <c r="T4203" s="232"/>
    </row>
    <row r="4204" spans="3:20">
      <c r="C4204" s="232"/>
      <c r="E4204" s="232"/>
      <c r="G4204" s="232"/>
      <c r="I4204" s="232"/>
      <c r="K4204" s="232"/>
      <c r="M4204" s="232"/>
      <c r="P4204" s="232"/>
      <c r="R4204" s="232"/>
      <c r="T4204" s="232"/>
    </row>
    <row r="4205" spans="3:20">
      <c r="C4205" s="232"/>
      <c r="E4205" s="232"/>
      <c r="G4205" s="232"/>
      <c r="I4205" s="232"/>
      <c r="K4205" s="232"/>
      <c r="M4205" s="232"/>
      <c r="P4205" s="232"/>
      <c r="R4205" s="232"/>
      <c r="T4205" s="232"/>
    </row>
    <row r="4206" spans="3:20">
      <c r="C4206" s="232"/>
      <c r="E4206" s="232"/>
      <c r="G4206" s="232"/>
      <c r="I4206" s="232"/>
      <c r="K4206" s="232"/>
      <c r="M4206" s="232"/>
      <c r="P4206" s="232"/>
      <c r="R4206" s="232"/>
      <c r="T4206" s="232"/>
    </row>
    <row r="4207" spans="3:20">
      <c r="C4207" s="232"/>
      <c r="E4207" s="232"/>
      <c r="G4207" s="232"/>
      <c r="I4207" s="232"/>
      <c r="K4207" s="232"/>
      <c r="M4207" s="232"/>
      <c r="P4207" s="232"/>
      <c r="R4207" s="232"/>
      <c r="T4207" s="232"/>
    </row>
    <row r="4208" spans="3:20">
      <c r="C4208" s="232"/>
      <c r="E4208" s="232"/>
      <c r="G4208" s="232"/>
      <c r="I4208" s="232"/>
      <c r="K4208" s="232"/>
      <c r="M4208" s="232"/>
      <c r="P4208" s="232"/>
      <c r="R4208" s="232"/>
      <c r="T4208" s="232"/>
    </row>
    <row r="4209" spans="3:20">
      <c r="C4209" s="232"/>
      <c r="E4209" s="232"/>
      <c r="G4209" s="232"/>
      <c r="I4209" s="232"/>
      <c r="K4209" s="232"/>
      <c r="M4209" s="232"/>
      <c r="P4209" s="232"/>
      <c r="R4209" s="232"/>
      <c r="T4209" s="232"/>
    </row>
    <row r="4210" spans="3:20">
      <c r="C4210" s="232"/>
      <c r="E4210" s="232"/>
      <c r="G4210" s="232"/>
      <c r="I4210" s="232"/>
      <c r="K4210" s="232"/>
      <c r="M4210" s="232"/>
      <c r="P4210" s="232"/>
      <c r="R4210" s="232"/>
      <c r="T4210" s="232"/>
    </row>
    <row r="4211" spans="3:20">
      <c r="C4211" s="232"/>
      <c r="E4211" s="232"/>
      <c r="G4211" s="232"/>
      <c r="I4211" s="232"/>
      <c r="K4211" s="232"/>
      <c r="M4211" s="232"/>
      <c r="P4211" s="232"/>
      <c r="R4211" s="232"/>
      <c r="T4211" s="232"/>
    </row>
    <row r="4212" spans="3:20">
      <c r="C4212" s="232"/>
      <c r="E4212" s="232"/>
      <c r="G4212" s="232"/>
      <c r="I4212" s="232"/>
      <c r="K4212" s="232"/>
      <c r="M4212" s="232"/>
      <c r="P4212" s="232"/>
      <c r="R4212" s="232"/>
      <c r="T4212" s="232"/>
    </row>
    <row r="4213" spans="3:20">
      <c r="C4213" s="232"/>
      <c r="E4213" s="232"/>
      <c r="G4213" s="232"/>
      <c r="I4213" s="232"/>
      <c r="K4213" s="232"/>
      <c r="M4213" s="232"/>
      <c r="P4213" s="232"/>
      <c r="R4213" s="232"/>
      <c r="T4213" s="232"/>
    </row>
    <row r="4214" spans="3:20">
      <c r="C4214" s="232"/>
      <c r="E4214" s="232"/>
      <c r="G4214" s="232"/>
      <c r="I4214" s="232"/>
      <c r="K4214" s="232"/>
      <c r="M4214" s="232"/>
      <c r="P4214" s="232"/>
      <c r="R4214" s="232"/>
      <c r="T4214" s="232"/>
    </row>
    <row r="4215" spans="3:20">
      <c r="C4215" s="232"/>
      <c r="E4215" s="232"/>
      <c r="G4215" s="232"/>
      <c r="I4215" s="232"/>
      <c r="K4215" s="232"/>
      <c r="M4215" s="232"/>
      <c r="P4215" s="232"/>
      <c r="R4215" s="232"/>
      <c r="T4215" s="232"/>
    </row>
    <row r="4216" spans="3:20">
      <c r="C4216" s="232"/>
      <c r="E4216" s="232"/>
      <c r="G4216" s="232"/>
      <c r="I4216" s="232"/>
      <c r="K4216" s="232"/>
      <c r="M4216" s="232"/>
      <c r="P4216" s="232"/>
      <c r="R4216" s="232"/>
      <c r="T4216" s="232"/>
    </row>
    <row r="4217" spans="3:20">
      <c r="C4217" s="232"/>
      <c r="E4217" s="232"/>
      <c r="G4217" s="232"/>
      <c r="I4217" s="232"/>
      <c r="K4217" s="232"/>
      <c r="M4217" s="232"/>
      <c r="P4217" s="232"/>
      <c r="R4217" s="232"/>
      <c r="T4217" s="232"/>
    </row>
    <row r="4218" spans="3:20">
      <c r="C4218" s="232"/>
      <c r="E4218" s="232"/>
      <c r="G4218" s="232"/>
      <c r="I4218" s="232"/>
      <c r="K4218" s="232"/>
      <c r="M4218" s="232"/>
      <c r="P4218" s="232"/>
      <c r="R4218" s="232"/>
      <c r="T4218" s="232"/>
    </row>
    <row r="4219" spans="3:20">
      <c r="C4219" s="232"/>
      <c r="E4219" s="232"/>
      <c r="G4219" s="232"/>
      <c r="I4219" s="232"/>
      <c r="K4219" s="232"/>
      <c r="M4219" s="232"/>
      <c r="P4219" s="232"/>
      <c r="R4219" s="232"/>
      <c r="T4219" s="232"/>
    </row>
    <row r="4220" spans="3:20">
      <c r="C4220" s="232"/>
      <c r="E4220" s="232"/>
      <c r="G4220" s="232"/>
      <c r="I4220" s="232"/>
      <c r="K4220" s="232"/>
      <c r="M4220" s="232"/>
      <c r="P4220" s="232"/>
      <c r="R4220" s="232"/>
      <c r="T4220" s="232"/>
    </row>
    <row r="4221" spans="3:20">
      <c r="C4221" s="232"/>
      <c r="E4221" s="232"/>
      <c r="G4221" s="232"/>
      <c r="I4221" s="232"/>
      <c r="K4221" s="232"/>
      <c r="M4221" s="232"/>
      <c r="P4221" s="232"/>
      <c r="R4221" s="232"/>
      <c r="T4221" s="232"/>
    </row>
    <row r="4222" spans="3:20">
      <c r="C4222" s="232"/>
      <c r="E4222" s="232"/>
      <c r="G4222" s="232"/>
      <c r="I4222" s="232"/>
      <c r="K4222" s="232"/>
      <c r="M4222" s="232"/>
      <c r="P4222" s="232"/>
      <c r="R4222" s="232"/>
      <c r="T4222" s="232"/>
    </row>
    <row r="4223" spans="3:20">
      <c r="C4223" s="232"/>
      <c r="E4223" s="232"/>
      <c r="G4223" s="232"/>
      <c r="I4223" s="232"/>
      <c r="K4223" s="232"/>
      <c r="M4223" s="232"/>
      <c r="P4223" s="232"/>
      <c r="R4223" s="232"/>
      <c r="T4223" s="232"/>
    </row>
    <row r="4224" spans="3:20">
      <c r="C4224" s="232"/>
      <c r="E4224" s="232"/>
      <c r="G4224" s="232"/>
      <c r="I4224" s="232"/>
      <c r="K4224" s="232"/>
      <c r="M4224" s="232"/>
      <c r="P4224" s="232"/>
      <c r="R4224" s="232"/>
      <c r="T4224" s="232"/>
    </row>
    <row r="4225" spans="3:20">
      <c r="C4225" s="232"/>
      <c r="E4225" s="232"/>
      <c r="G4225" s="232"/>
      <c r="I4225" s="232"/>
      <c r="K4225" s="232"/>
      <c r="M4225" s="232"/>
      <c r="P4225" s="232"/>
      <c r="R4225" s="232"/>
      <c r="T4225" s="232"/>
    </row>
    <row r="4226" spans="3:20">
      <c r="C4226" s="232"/>
      <c r="E4226" s="232"/>
      <c r="G4226" s="232"/>
      <c r="I4226" s="232"/>
      <c r="K4226" s="232"/>
      <c r="M4226" s="232"/>
      <c r="P4226" s="232"/>
      <c r="R4226" s="232"/>
      <c r="T4226" s="232"/>
    </row>
    <row r="4227" spans="3:20">
      <c r="C4227" s="232"/>
      <c r="E4227" s="232"/>
      <c r="G4227" s="232"/>
      <c r="I4227" s="232"/>
      <c r="K4227" s="232"/>
      <c r="M4227" s="232"/>
      <c r="P4227" s="232"/>
      <c r="R4227" s="232"/>
      <c r="T4227" s="232"/>
    </row>
    <row r="4228" spans="3:20">
      <c r="C4228" s="232"/>
      <c r="E4228" s="232"/>
      <c r="G4228" s="232"/>
      <c r="I4228" s="232"/>
      <c r="K4228" s="232"/>
      <c r="M4228" s="232"/>
      <c r="P4228" s="232"/>
      <c r="R4228" s="232"/>
      <c r="T4228" s="232"/>
    </row>
    <row r="4229" spans="3:20">
      <c r="C4229" s="232"/>
      <c r="E4229" s="232"/>
      <c r="G4229" s="232"/>
      <c r="I4229" s="232"/>
      <c r="K4229" s="232"/>
      <c r="M4229" s="232"/>
      <c r="P4229" s="232"/>
      <c r="R4229" s="232"/>
      <c r="T4229" s="232"/>
    </row>
    <row r="4230" spans="3:20">
      <c r="C4230" s="232"/>
      <c r="E4230" s="232"/>
      <c r="G4230" s="232"/>
      <c r="I4230" s="232"/>
      <c r="K4230" s="232"/>
      <c r="M4230" s="232"/>
      <c r="P4230" s="232"/>
      <c r="R4230" s="232"/>
      <c r="T4230" s="232"/>
    </row>
    <row r="4231" spans="3:20">
      <c r="C4231" s="232"/>
      <c r="E4231" s="232"/>
      <c r="G4231" s="232"/>
      <c r="I4231" s="232"/>
      <c r="K4231" s="232"/>
      <c r="M4231" s="232"/>
      <c r="P4231" s="232"/>
      <c r="R4231" s="232"/>
      <c r="T4231" s="232"/>
    </row>
    <row r="4232" spans="3:20">
      <c r="C4232" s="232"/>
      <c r="E4232" s="232"/>
      <c r="G4232" s="232"/>
      <c r="I4232" s="232"/>
      <c r="K4232" s="232"/>
      <c r="M4232" s="232"/>
      <c r="P4232" s="232"/>
      <c r="R4232" s="232"/>
      <c r="T4232" s="232"/>
    </row>
    <row r="4233" spans="3:20">
      <c r="C4233" s="232"/>
      <c r="E4233" s="232"/>
      <c r="G4233" s="232"/>
      <c r="I4233" s="232"/>
      <c r="K4233" s="232"/>
      <c r="M4233" s="232"/>
      <c r="P4233" s="232"/>
      <c r="R4233" s="232"/>
      <c r="T4233" s="232"/>
    </row>
    <row r="4234" spans="3:20">
      <c r="C4234" s="232"/>
      <c r="E4234" s="232"/>
      <c r="G4234" s="232"/>
      <c r="I4234" s="232"/>
      <c r="K4234" s="232"/>
      <c r="M4234" s="232"/>
      <c r="P4234" s="232"/>
      <c r="R4234" s="232"/>
      <c r="T4234" s="232"/>
    </row>
    <row r="4235" spans="3:20">
      <c r="C4235" s="232"/>
      <c r="E4235" s="232"/>
      <c r="G4235" s="232"/>
      <c r="I4235" s="232"/>
      <c r="K4235" s="232"/>
      <c r="M4235" s="232"/>
      <c r="P4235" s="232"/>
      <c r="R4235" s="232"/>
      <c r="T4235" s="232"/>
    </row>
    <row r="4236" spans="3:20">
      <c r="C4236" s="232"/>
      <c r="E4236" s="232"/>
      <c r="G4236" s="232"/>
      <c r="I4236" s="232"/>
      <c r="K4236" s="232"/>
      <c r="M4236" s="232"/>
      <c r="P4236" s="232"/>
      <c r="R4236" s="232"/>
      <c r="T4236" s="232"/>
    </row>
    <row r="4237" spans="3:20">
      <c r="C4237" s="232"/>
      <c r="E4237" s="232"/>
      <c r="G4237" s="232"/>
      <c r="I4237" s="232"/>
      <c r="K4237" s="232"/>
      <c r="M4237" s="232"/>
      <c r="P4237" s="232"/>
      <c r="R4237" s="232"/>
      <c r="T4237" s="232"/>
    </row>
    <row r="4238" spans="3:20">
      <c r="C4238" s="232"/>
      <c r="E4238" s="232"/>
      <c r="G4238" s="232"/>
      <c r="I4238" s="232"/>
      <c r="K4238" s="232"/>
      <c r="M4238" s="232"/>
      <c r="P4238" s="232"/>
      <c r="R4238" s="232"/>
      <c r="T4238" s="232"/>
    </row>
    <row r="4239" spans="3:20">
      <c r="C4239" s="232"/>
      <c r="E4239" s="232"/>
      <c r="G4239" s="232"/>
      <c r="I4239" s="232"/>
      <c r="K4239" s="232"/>
      <c r="M4239" s="232"/>
      <c r="P4239" s="232"/>
      <c r="R4239" s="232"/>
      <c r="T4239" s="232"/>
    </row>
    <row r="4240" spans="3:20">
      <c r="C4240" s="232"/>
      <c r="E4240" s="232"/>
      <c r="G4240" s="232"/>
      <c r="I4240" s="232"/>
      <c r="K4240" s="232"/>
      <c r="M4240" s="232"/>
      <c r="P4240" s="232"/>
      <c r="R4240" s="232"/>
      <c r="T4240" s="232"/>
    </row>
    <row r="4241" spans="3:20">
      <c r="C4241" s="232"/>
      <c r="E4241" s="232"/>
      <c r="G4241" s="232"/>
      <c r="I4241" s="232"/>
      <c r="K4241" s="232"/>
      <c r="M4241" s="232"/>
      <c r="P4241" s="232"/>
      <c r="R4241" s="232"/>
      <c r="T4241" s="232"/>
    </row>
    <row r="4242" spans="3:20">
      <c r="C4242" s="232"/>
      <c r="E4242" s="232"/>
      <c r="G4242" s="232"/>
      <c r="I4242" s="232"/>
      <c r="K4242" s="232"/>
      <c r="M4242" s="232"/>
      <c r="P4242" s="232"/>
      <c r="R4242" s="232"/>
      <c r="T4242" s="232"/>
    </row>
    <row r="4243" spans="3:20">
      <c r="C4243" s="232"/>
      <c r="E4243" s="232"/>
      <c r="G4243" s="232"/>
      <c r="I4243" s="232"/>
      <c r="K4243" s="232"/>
      <c r="M4243" s="232"/>
      <c r="P4243" s="232"/>
      <c r="R4243" s="232"/>
      <c r="T4243" s="232"/>
    </row>
    <row r="4244" spans="3:20">
      <c r="C4244" s="232"/>
      <c r="E4244" s="232"/>
      <c r="G4244" s="232"/>
      <c r="I4244" s="232"/>
      <c r="K4244" s="232"/>
      <c r="M4244" s="232"/>
      <c r="P4244" s="232"/>
      <c r="R4244" s="232"/>
      <c r="T4244" s="232"/>
    </row>
    <row r="4245" spans="3:20">
      <c r="C4245" s="232"/>
      <c r="E4245" s="232"/>
      <c r="G4245" s="232"/>
      <c r="I4245" s="232"/>
      <c r="K4245" s="232"/>
      <c r="M4245" s="232"/>
      <c r="P4245" s="232"/>
      <c r="R4245" s="232"/>
      <c r="T4245" s="232"/>
    </row>
    <row r="4246" spans="3:20">
      <c r="C4246" s="232"/>
      <c r="E4246" s="232"/>
      <c r="G4246" s="232"/>
      <c r="I4246" s="232"/>
      <c r="K4246" s="232"/>
      <c r="M4246" s="232"/>
      <c r="P4246" s="232"/>
      <c r="R4246" s="232"/>
      <c r="T4246" s="232"/>
    </row>
    <row r="4247" spans="3:20">
      <c r="C4247" s="232"/>
      <c r="E4247" s="232"/>
      <c r="G4247" s="232"/>
      <c r="I4247" s="232"/>
      <c r="K4247" s="232"/>
      <c r="M4247" s="232"/>
      <c r="P4247" s="232"/>
      <c r="R4247" s="232"/>
      <c r="T4247" s="232"/>
    </row>
    <row r="4248" spans="3:20">
      <c r="C4248" s="232"/>
      <c r="E4248" s="232"/>
      <c r="G4248" s="232"/>
      <c r="I4248" s="232"/>
      <c r="K4248" s="232"/>
      <c r="M4248" s="232"/>
      <c r="P4248" s="232"/>
      <c r="R4248" s="232"/>
      <c r="T4248" s="232"/>
    </row>
    <row r="4249" spans="3:20">
      <c r="C4249" s="232"/>
      <c r="E4249" s="232"/>
      <c r="G4249" s="232"/>
      <c r="I4249" s="232"/>
      <c r="K4249" s="232"/>
      <c r="M4249" s="232"/>
      <c r="P4249" s="232"/>
      <c r="R4249" s="232"/>
      <c r="T4249" s="232"/>
    </row>
    <row r="4250" spans="3:20">
      <c r="C4250" s="232"/>
      <c r="E4250" s="232"/>
      <c r="G4250" s="232"/>
      <c r="I4250" s="232"/>
      <c r="K4250" s="232"/>
      <c r="M4250" s="232"/>
      <c r="P4250" s="232"/>
      <c r="R4250" s="232"/>
      <c r="T4250" s="232"/>
    </row>
    <row r="4251" spans="3:20">
      <c r="C4251" s="232"/>
      <c r="E4251" s="232"/>
      <c r="G4251" s="232"/>
      <c r="I4251" s="232"/>
      <c r="K4251" s="232"/>
      <c r="M4251" s="232"/>
      <c r="P4251" s="232"/>
      <c r="R4251" s="232"/>
      <c r="T4251" s="232"/>
    </row>
    <row r="4252" spans="3:20">
      <c r="C4252" s="232"/>
      <c r="E4252" s="232"/>
      <c r="G4252" s="232"/>
      <c r="I4252" s="232"/>
      <c r="K4252" s="232"/>
      <c r="M4252" s="232"/>
      <c r="P4252" s="232"/>
      <c r="R4252" s="232"/>
      <c r="T4252" s="232"/>
    </row>
    <row r="4253" spans="3:20">
      <c r="C4253" s="232"/>
      <c r="E4253" s="232"/>
      <c r="G4253" s="232"/>
      <c r="I4253" s="232"/>
      <c r="K4253" s="232"/>
      <c r="M4253" s="232"/>
      <c r="P4253" s="232"/>
      <c r="R4253" s="232"/>
      <c r="T4253" s="232"/>
    </row>
    <row r="4254" spans="3:20">
      <c r="C4254" s="232"/>
      <c r="E4254" s="232"/>
      <c r="G4254" s="232"/>
      <c r="I4254" s="232"/>
      <c r="K4254" s="232"/>
      <c r="M4254" s="232"/>
      <c r="P4254" s="232"/>
      <c r="R4254" s="232"/>
      <c r="T4254" s="232"/>
    </row>
    <row r="4255" spans="3:20">
      <c r="C4255" s="232"/>
      <c r="E4255" s="232"/>
      <c r="G4255" s="232"/>
      <c r="I4255" s="232"/>
      <c r="K4255" s="232"/>
      <c r="M4255" s="232"/>
      <c r="P4255" s="232"/>
      <c r="R4255" s="232"/>
      <c r="T4255" s="232"/>
    </row>
    <row r="4256" spans="3:20">
      <c r="C4256" s="232"/>
      <c r="E4256" s="232"/>
      <c r="G4256" s="232"/>
      <c r="I4256" s="232"/>
      <c r="K4256" s="232"/>
      <c r="M4256" s="232"/>
      <c r="P4256" s="232"/>
      <c r="R4256" s="232"/>
      <c r="T4256" s="232"/>
    </row>
    <row r="4257" spans="3:20">
      <c r="C4257" s="232"/>
      <c r="E4257" s="232"/>
      <c r="G4257" s="232"/>
      <c r="I4257" s="232"/>
      <c r="K4257" s="232"/>
      <c r="M4257" s="232"/>
      <c r="P4257" s="232"/>
      <c r="R4257" s="232"/>
      <c r="T4257" s="232"/>
    </row>
    <row r="4258" spans="3:20">
      <c r="C4258" s="232"/>
      <c r="E4258" s="232"/>
      <c r="G4258" s="232"/>
      <c r="I4258" s="232"/>
      <c r="K4258" s="232"/>
      <c r="M4258" s="232"/>
      <c r="P4258" s="232"/>
      <c r="R4258" s="232"/>
      <c r="T4258" s="232"/>
    </row>
    <row r="4259" spans="3:20">
      <c r="C4259" s="232"/>
      <c r="E4259" s="232"/>
      <c r="G4259" s="232"/>
      <c r="I4259" s="232"/>
      <c r="K4259" s="232"/>
      <c r="M4259" s="232"/>
      <c r="P4259" s="232"/>
      <c r="R4259" s="232"/>
      <c r="T4259" s="232"/>
    </row>
    <row r="4260" spans="3:20">
      <c r="C4260" s="232"/>
      <c r="E4260" s="232"/>
      <c r="G4260" s="232"/>
      <c r="I4260" s="232"/>
      <c r="K4260" s="232"/>
      <c r="M4260" s="232"/>
      <c r="P4260" s="232"/>
      <c r="R4260" s="232"/>
      <c r="T4260" s="232"/>
    </row>
    <row r="4261" spans="3:20">
      <c r="C4261" s="232"/>
      <c r="E4261" s="232"/>
      <c r="G4261" s="232"/>
      <c r="I4261" s="232"/>
      <c r="K4261" s="232"/>
      <c r="M4261" s="232"/>
      <c r="P4261" s="232"/>
      <c r="R4261" s="232"/>
      <c r="T4261" s="232"/>
    </row>
    <row r="4262" spans="3:20">
      <c r="C4262" s="232"/>
      <c r="E4262" s="232"/>
      <c r="G4262" s="232"/>
      <c r="I4262" s="232"/>
      <c r="K4262" s="232"/>
      <c r="M4262" s="232"/>
      <c r="P4262" s="232"/>
      <c r="R4262" s="232"/>
      <c r="T4262" s="232"/>
    </row>
    <row r="4263" spans="3:20">
      <c r="C4263" s="232"/>
      <c r="E4263" s="232"/>
      <c r="G4263" s="232"/>
      <c r="I4263" s="232"/>
      <c r="K4263" s="232"/>
      <c r="M4263" s="232"/>
      <c r="P4263" s="232"/>
      <c r="R4263" s="232"/>
      <c r="T4263" s="232"/>
    </row>
    <row r="4264" spans="3:20">
      <c r="C4264" s="232"/>
      <c r="E4264" s="232"/>
      <c r="G4264" s="232"/>
      <c r="I4264" s="232"/>
      <c r="K4264" s="232"/>
      <c r="M4264" s="232"/>
      <c r="P4264" s="232"/>
      <c r="R4264" s="232"/>
      <c r="T4264" s="232"/>
    </row>
    <row r="4265" spans="3:20">
      <c r="C4265" s="232"/>
      <c r="E4265" s="232"/>
      <c r="G4265" s="232"/>
      <c r="I4265" s="232"/>
      <c r="K4265" s="232"/>
      <c r="M4265" s="232"/>
      <c r="P4265" s="232"/>
      <c r="R4265" s="232"/>
      <c r="T4265" s="232"/>
    </row>
    <row r="4266" spans="3:20">
      <c r="C4266" s="232"/>
      <c r="E4266" s="232"/>
      <c r="G4266" s="232"/>
      <c r="I4266" s="232"/>
      <c r="K4266" s="232"/>
      <c r="M4266" s="232"/>
      <c r="P4266" s="232"/>
      <c r="R4266" s="232"/>
      <c r="T4266" s="232"/>
    </row>
    <row r="4267" spans="3:20">
      <c r="C4267" s="232"/>
      <c r="E4267" s="232"/>
      <c r="G4267" s="232"/>
      <c r="I4267" s="232"/>
      <c r="K4267" s="232"/>
      <c r="M4267" s="232"/>
      <c r="P4267" s="232"/>
      <c r="R4267" s="232"/>
      <c r="T4267" s="232"/>
    </row>
    <row r="4268" spans="3:20">
      <c r="C4268" s="232"/>
      <c r="E4268" s="232"/>
      <c r="G4268" s="232"/>
      <c r="I4268" s="232"/>
      <c r="K4268" s="232"/>
      <c r="M4268" s="232"/>
      <c r="P4268" s="232"/>
      <c r="R4268" s="232"/>
      <c r="T4268" s="232"/>
    </row>
    <row r="4269" spans="3:20">
      <c r="C4269" s="232"/>
      <c r="E4269" s="232"/>
      <c r="G4269" s="232"/>
      <c r="I4269" s="232"/>
      <c r="K4269" s="232"/>
      <c r="M4269" s="232"/>
      <c r="P4269" s="232"/>
      <c r="R4269" s="232"/>
      <c r="T4269" s="232"/>
    </row>
    <row r="4270" spans="3:20">
      <c r="C4270" s="232"/>
      <c r="E4270" s="232"/>
      <c r="G4270" s="232"/>
      <c r="I4270" s="232"/>
      <c r="K4270" s="232"/>
      <c r="M4270" s="232"/>
      <c r="P4270" s="232"/>
      <c r="R4270" s="232"/>
      <c r="T4270" s="232"/>
    </row>
    <row r="4271" spans="3:20">
      <c r="C4271" s="232"/>
      <c r="E4271" s="232"/>
      <c r="G4271" s="232"/>
      <c r="I4271" s="232"/>
      <c r="K4271" s="232"/>
      <c r="M4271" s="232"/>
      <c r="P4271" s="232"/>
      <c r="R4271" s="232"/>
      <c r="T4271" s="232"/>
    </row>
    <row r="4272" spans="3:20">
      <c r="C4272" s="232"/>
      <c r="E4272" s="232"/>
      <c r="G4272" s="232"/>
      <c r="I4272" s="232"/>
      <c r="K4272" s="232"/>
      <c r="M4272" s="232"/>
      <c r="P4272" s="232"/>
      <c r="R4272" s="232"/>
      <c r="T4272" s="232"/>
    </row>
    <row r="4273" spans="3:20">
      <c r="C4273" s="232"/>
      <c r="E4273" s="232"/>
      <c r="G4273" s="232"/>
      <c r="I4273" s="232"/>
      <c r="K4273" s="232"/>
      <c r="M4273" s="232"/>
      <c r="P4273" s="232"/>
      <c r="R4273" s="232"/>
      <c r="T4273" s="232"/>
    </row>
    <row r="4274" spans="3:20">
      <c r="C4274" s="232"/>
      <c r="E4274" s="232"/>
      <c r="G4274" s="232"/>
      <c r="I4274" s="232"/>
      <c r="K4274" s="232"/>
      <c r="M4274" s="232"/>
      <c r="P4274" s="232"/>
      <c r="R4274" s="232"/>
      <c r="T4274" s="232"/>
    </row>
    <row r="4275" spans="3:20">
      <c r="C4275" s="232"/>
      <c r="E4275" s="232"/>
      <c r="G4275" s="232"/>
      <c r="I4275" s="232"/>
      <c r="K4275" s="232"/>
      <c r="M4275" s="232"/>
      <c r="P4275" s="232"/>
      <c r="R4275" s="232"/>
      <c r="T4275" s="232"/>
    </row>
    <row r="4276" spans="3:20">
      <c r="C4276" s="232"/>
      <c r="E4276" s="232"/>
      <c r="G4276" s="232"/>
      <c r="I4276" s="232"/>
      <c r="K4276" s="232"/>
      <c r="M4276" s="232"/>
      <c r="P4276" s="232"/>
      <c r="R4276" s="232"/>
      <c r="T4276" s="232"/>
    </row>
    <row r="4277" spans="3:20">
      <c r="C4277" s="232"/>
      <c r="E4277" s="232"/>
      <c r="G4277" s="232"/>
      <c r="I4277" s="232"/>
      <c r="K4277" s="232"/>
      <c r="M4277" s="232"/>
      <c r="P4277" s="232"/>
      <c r="R4277" s="232"/>
      <c r="T4277" s="232"/>
    </row>
    <row r="4278" spans="3:20">
      <c r="C4278" s="232"/>
      <c r="E4278" s="232"/>
      <c r="G4278" s="232"/>
      <c r="I4278" s="232"/>
      <c r="K4278" s="232"/>
      <c r="M4278" s="232"/>
      <c r="P4278" s="232"/>
      <c r="R4278" s="232"/>
      <c r="T4278" s="232"/>
    </row>
    <row r="4279" spans="3:20">
      <c r="C4279" s="232"/>
      <c r="E4279" s="232"/>
      <c r="G4279" s="232"/>
      <c r="I4279" s="232"/>
      <c r="K4279" s="232"/>
      <c r="M4279" s="232"/>
      <c r="P4279" s="232"/>
      <c r="R4279" s="232"/>
      <c r="T4279" s="232"/>
    </row>
    <row r="4280" spans="3:20">
      <c r="C4280" s="232"/>
      <c r="E4280" s="232"/>
      <c r="G4280" s="232"/>
      <c r="I4280" s="232"/>
      <c r="K4280" s="232"/>
      <c r="M4280" s="232"/>
      <c r="P4280" s="232"/>
      <c r="R4280" s="232"/>
      <c r="T4280" s="232"/>
    </row>
    <row r="4281" spans="3:20">
      <c r="C4281" s="232"/>
      <c r="E4281" s="232"/>
      <c r="G4281" s="232"/>
      <c r="I4281" s="232"/>
      <c r="K4281" s="232"/>
      <c r="M4281" s="232"/>
      <c r="P4281" s="232"/>
      <c r="R4281" s="232"/>
      <c r="T4281" s="232"/>
    </row>
    <row r="4282" spans="3:20">
      <c r="C4282" s="232"/>
      <c r="E4282" s="232"/>
      <c r="G4282" s="232"/>
      <c r="I4282" s="232"/>
      <c r="K4282" s="232"/>
      <c r="M4282" s="232"/>
      <c r="P4282" s="232"/>
      <c r="R4282" s="232"/>
      <c r="T4282" s="232"/>
    </row>
    <row r="4283" spans="3:20">
      <c r="C4283" s="232"/>
      <c r="E4283" s="232"/>
      <c r="G4283" s="232"/>
      <c r="I4283" s="232"/>
      <c r="K4283" s="232"/>
      <c r="M4283" s="232"/>
      <c r="P4283" s="232"/>
      <c r="R4283" s="232"/>
      <c r="T4283" s="232"/>
    </row>
    <row r="4284" spans="3:20">
      <c r="C4284" s="232"/>
      <c r="E4284" s="232"/>
      <c r="G4284" s="232"/>
      <c r="I4284" s="232"/>
      <c r="K4284" s="232"/>
      <c r="M4284" s="232"/>
      <c r="P4284" s="232"/>
      <c r="R4284" s="232"/>
      <c r="T4284" s="232"/>
    </row>
    <row r="4285" spans="3:20">
      <c r="C4285" s="232"/>
      <c r="E4285" s="232"/>
      <c r="G4285" s="232"/>
      <c r="I4285" s="232"/>
      <c r="K4285" s="232"/>
      <c r="M4285" s="232"/>
      <c r="P4285" s="232"/>
      <c r="R4285" s="232"/>
      <c r="T4285" s="232"/>
    </row>
    <row r="4286" spans="3:20">
      <c r="C4286" s="232"/>
      <c r="E4286" s="232"/>
      <c r="G4286" s="232"/>
      <c r="I4286" s="232"/>
      <c r="K4286" s="232"/>
      <c r="M4286" s="232"/>
      <c r="P4286" s="232"/>
      <c r="R4286" s="232"/>
      <c r="T4286" s="232"/>
    </row>
    <row r="4287" spans="3:20">
      <c r="C4287" s="232"/>
      <c r="E4287" s="232"/>
      <c r="G4287" s="232"/>
      <c r="I4287" s="232"/>
      <c r="K4287" s="232"/>
      <c r="M4287" s="232"/>
      <c r="P4287" s="232"/>
      <c r="R4287" s="232"/>
      <c r="T4287" s="232"/>
    </row>
    <row r="4288" spans="3:20">
      <c r="C4288" s="232"/>
      <c r="E4288" s="232"/>
      <c r="G4288" s="232"/>
      <c r="I4288" s="232"/>
      <c r="K4288" s="232"/>
      <c r="M4288" s="232"/>
      <c r="P4288" s="232"/>
      <c r="R4288" s="232"/>
      <c r="T4288" s="232"/>
    </row>
    <row r="4289" spans="3:20">
      <c r="C4289" s="232"/>
      <c r="E4289" s="232"/>
      <c r="G4289" s="232"/>
      <c r="I4289" s="232"/>
      <c r="K4289" s="232"/>
      <c r="M4289" s="232"/>
      <c r="P4289" s="232"/>
      <c r="R4289" s="232"/>
      <c r="T4289" s="232"/>
    </row>
    <row r="4290" spans="3:20">
      <c r="C4290" s="232"/>
      <c r="E4290" s="232"/>
      <c r="G4290" s="232"/>
      <c r="I4290" s="232"/>
      <c r="K4290" s="232"/>
      <c r="M4290" s="232"/>
      <c r="P4290" s="232"/>
      <c r="R4290" s="232"/>
      <c r="T4290" s="232"/>
    </row>
    <row r="4291" spans="3:20">
      <c r="C4291" s="232"/>
      <c r="E4291" s="232"/>
      <c r="G4291" s="232"/>
      <c r="I4291" s="232"/>
      <c r="K4291" s="232"/>
      <c r="M4291" s="232"/>
      <c r="P4291" s="232"/>
      <c r="R4291" s="232"/>
      <c r="T4291" s="232"/>
    </row>
    <row r="4292" spans="3:20">
      <c r="C4292" s="232"/>
      <c r="E4292" s="232"/>
      <c r="G4292" s="232"/>
      <c r="I4292" s="232"/>
      <c r="K4292" s="232"/>
      <c r="M4292" s="232"/>
      <c r="P4292" s="232"/>
      <c r="R4292" s="232"/>
      <c r="T4292" s="232"/>
    </row>
    <row r="4293" spans="3:20">
      <c r="C4293" s="232"/>
      <c r="E4293" s="232"/>
      <c r="G4293" s="232"/>
      <c r="I4293" s="232"/>
      <c r="K4293" s="232"/>
      <c r="M4293" s="232"/>
      <c r="P4293" s="232"/>
      <c r="R4293" s="232"/>
      <c r="T4293" s="232"/>
    </row>
    <row r="4294" spans="3:20">
      <c r="C4294" s="232"/>
      <c r="E4294" s="232"/>
      <c r="G4294" s="232"/>
      <c r="I4294" s="232"/>
      <c r="K4294" s="232"/>
      <c r="M4294" s="232"/>
      <c r="P4294" s="232"/>
      <c r="R4294" s="232"/>
      <c r="T4294" s="232"/>
    </row>
    <row r="4295" spans="3:20">
      <c r="C4295" s="232"/>
      <c r="E4295" s="232"/>
      <c r="G4295" s="232"/>
      <c r="I4295" s="232"/>
      <c r="K4295" s="232"/>
      <c r="M4295" s="232"/>
      <c r="P4295" s="232"/>
      <c r="R4295" s="232"/>
      <c r="T4295" s="232"/>
    </row>
    <row r="4296" spans="3:20">
      <c r="C4296" s="232"/>
      <c r="E4296" s="232"/>
      <c r="G4296" s="232"/>
      <c r="I4296" s="232"/>
      <c r="K4296" s="232"/>
      <c r="M4296" s="232"/>
      <c r="P4296" s="232"/>
      <c r="R4296" s="232"/>
      <c r="T4296" s="232"/>
    </row>
    <row r="4297" spans="3:20">
      <c r="C4297" s="232"/>
      <c r="E4297" s="232"/>
      <c r="G4297" s="232"/>
      <c r="I4297" s="232"/>
      <c r="K4297" s="232"/>
      <c r="M4297" s="232"/>
      <c r="P4297" s="232"/>
      <c r="R4297" s="232"/>
      <c r="T4297" s="232"/>
    </row>
    <row r="4298" spans="3:20">
      <c r="C4298" s="232"/>
      <c r="E4298" s="232"/>
      <c r="G4298" s="232"/>
      <c r="I4298" s="232"/>
      <c r="K4298" s="232"/>
      <c r="M4298" s="232"/>
      <c r="P4298" s="232"/>
      <c r="R4298" s="232"/>
      <c r="T4298" s="232"/>
    </row>
    <row r="4299" spans="3:20">
      <c r="C4299" s="232"/>
      <c r="E4299" s="232"/>
      <c r="G4299" s="232"/>
      <c r="I4299" s="232"/>
      <c r="K4299" s="232"/>
      <c r="M4299" s="232"/>
      <c r="P4299" s="232"/>
      <c r="R4299" s="232"/>
      <c r="T4299" s="232"/>
    </row>
    <row r="4300" spans="3:20">
      <c r="C4300" s="232"/>
      <c r="E4300" s="232"/>
      <c r="G4300" s="232"/>
      <c r="I4300" s="232"/>
      <c r="K4300" s="232"/>
      <c r="M4300" s="232"/>
      <c r="P4300" s="232"/>
      <c r="R4300" s="232"/>
      <c r="T4300" s="232"/>
    </row>
    <row r="4301" spans="3:20">
      <c r="C4301" s="232"/>
      <c r="E4301" s="232"/>
      <c r="G4301" s="232"/>
      <c r="I4301" s="232"/>
      <c r="K4301" s="232"/>
      <c r="M4301" s="232"/>
      <c r="P4301" s="232"/>
      <c r="R4301" s="232"/>
      <c r="T4301" s="232"/>
    </row>
    <row r="4302" spans="3:20">
      <c r="C4302" s="232"/>
      <c r="E4302" s="232"/>
      <c r="G4302" s="232"/>
      <c r="I4302" s="232"/>
      <c r="K4302" s="232"/>
      <c r="M4302" s="232"/>
      <c r="P4302" s="232"/>
      <c r="R4302" s="232"/>
      <c r="T4302" s="232"/>
    </row>
    <row r="4303" spans="3:20">
      <c r="C4303" s="232"/>
      <c r="E4303" s="232"/>
      <c r="G4303" s="232"/>
      <c r="I4303" s="232"/>
      <c r="K4303" s="232"/>
      <c r="M4303" s="232"/>
      <c r="P4303" s="232"/>
      <c r="R4303" s="232"/>
      <c r="T4303" s="232"/>
    </row>
    <row r="4304" spans="3:20">
      <c r="C4304" s="232"/>
      <c r="E4304" s="232"/>
      <c r="G4304" s="232"/>
      <c r="I4304" s="232"/>
      <c r="K4304" s="232"/>
      <c r="M4304" s="232"/>
      <c r="P4304" s="232"/>
      <c r="R4304" s="232"/>
      <c r="T4304" s="232"/>
    </row>
    <row r="4305" spans="3:20">
      <c r="C4305" s="232"/>
      <c r="E4305" s="232"/>
      <c r="G4305" s="232"/>
      <c r="I4305" s="232"/>
      <c r="K4305" s="232"/>
      <c r="M4305" s="232"/>
      <c r="P4305" s="232"/>
      <c r="R4305" s="232"/>
      <c r="T4305" s="232"/>
    </row>
    <row r="4306" spans="3:20">
      <c r="C4306" s="232"/>
      <c r="E4306" s="232"/>
      <c r="G4306" s="232"/>
      <c r="I4306" s="232"/>
      <c r="K4306" s="232"/>
      <c r="M4306" s="232"/>
      <c r="P4306" s="232"/>
      <c r="R4306" s="232"/>
      <c r="T4306" s="232"/>
    </row>
    <row r="4307" spans="3:20">
      <c r="C4307" s="232"/>
      <c r="E4307" s="232"/>
      <c r="G4307" s="232"/>
      <c r="I4307" s="232"/>
      <c r="K4307" s="232"/>
      <c r="M4307" s="232"/>
      <c r="P4307" s="232"/>
      <c r="R4307" s="232"/>
      <c r="T4307" s="232"/>
    </row>
    <row r="4308" spans="3:20">
      <c r="C4308" s="232"/>
      <c r="E4308" s="232"/>
      <c r="G4308" s="232"/>
      <c r="I4308" s="232"/>
      <c r="K4308" s="232"/>
      <c r="M4308" s="232"/>
      <c r="P4308" s="232"/>
      <c r="R4308" s="232"/>
      <c r="T4308" s="232"/>
    </row>
    <row r="4309" spans="3:20">
      <c r="C4309" s="232"/>
      <c r="E4309" s="232"/>
      <c r="G4309" s="232"/>
      <c r="I4309" s="232"/>
      <c r="K4309" s="232"/>
      <c r="M4309" s="232"/>
      <c r="P4309" s="232"/>
      <c r="R4309" s="232"/>
      <c r="T4309" s="232"/>
    </row>
    <row r="4310" spans="3:20">
      <c r="C4310" s="232"/>
      <c r="E4310" s="232"/>
      <c r="G4310" s="232"/>
      <c r="I4310" s="232"/>
      <c r="K4310" s="232"/>
      <c r="M4310" s="232"/>
      <c r="P4310" s="232"/>
      <c r="R4310" s="232"/>
      <c r="T4310" s="232"/>
    </row>
    <row r="4311" spans="3:20">
      <c r="C4311" s="232"/>
      <c r="E4311" s="232"/>
      <c r="G4311" s="232"/>
      <c r="I4311" s="232"/>
      <c r="K4311" s="232"/>
      <c r="M4311" s="232"/>
      <c r="P4311" s="232"/>
      <c r="R4311" s="232"/>
      <c r="T4311" s="232"/>
    </row>
    <row r="4312" spans="3:20">
      <c r="C4312" s="232"/>
      <c r="E4312" s="232"/>
      <c r="G4312" s="232"/>
      <c r="I4312" s="232"/>
      <c r="K4312" s="232"/>
      <c r="M4312" s="232"/>
      <c r="P4312" s="232"/>
      <c r="R4312" s="232"/>
      <c r="T4312" s="232"/>
    </row>
    <row r="4313" spans="3:20">
      <c r="C4313" s="232"/>
      <c r="E4313" s="232"/>
      <c r="G4313" s="232"/>
      <c r="I4313" s="232"/>
      <c r="K4313" s="232"/>
      <c r="M4313" s="232"/>
      <c r="P4313" s="232"/>
      <c r="R4313" s="232"/>
      <c r="T4313" s="232"/>
    </row>
    <row r="4314" spans="3:20">
      <c r="C4314" s="232"/>
      <c r="E4314" s="232"/>
      <c r="G4314" s="232"/>
      <c r="I4314" s="232"/>
      <c r="K4314" s="232"/>
      <c r="M4314" s="232"/>
      <c r="P4314" s="232"/>
      <c r="R4314" s="232"/>
      <c r="T4314" s="232"/>
    </row>
    <row r="4315" spans="3:20">
      <c r="C4315" s="232"/>
      <c r="E4315" s="232"/>
      <c r="G4315" s="232"/>
      <c r="I4315" s="232"/>
      <c r="K4315" s="232"/>
      <c r="M4315" s="232"/>
      <c r="P4315" s="232"/>
      <c r="R4315" s="232"/>
      <c r="T4315" s="232"/>
    </row>
    <row r="4316" spans="3:20">
      <c r="C4316" s="232"/>
      <c r="E4316" s="232"/>
      <c r="G4316" s="232"/>
      <c r="I4316" s="232"/>
      <c r="K4316" s="232"/>
      <c r="M4316" s="232"/>
      <c r="P4316" s="232"/>
      <c r="R4316" s="232"/>
      <c r="T4316" s="232"/>
    </row>
    <row r="4317" spans="3:20">
      <c r="C4317" s="232"/>
      <c r="E4317" s="232"/>
      <c r="G4317" s="232"/>
      <c r="I4317" s="232"/>
      <c r="K4317" s="232"/>
      <c r="M4317" s="232"/>
      <c r="P4317" s="232"/>
      <c r="R4317" s="232"/>
      <c r="T4317" s="232"/>
    </row>
    <row r="4318" spans="3:20">
      <c r="C4318" s="232"/>
      <c r="E4318" s="232"/>
      <c r="G4318" s="232"/>
      <c r="I4318" s="232"/>
      <c r="K4318" s="232"/>
      <c r="M4318" s="232"/>
      <c r="P4318" s="232"/>
      <c r="R4318" s="232"/>
      <c r="T4318" s="232"/>
    </row>
    <row r="4319" spans="3:20">
      <c r="C4319" s="232"/>
      <c r="E4319" s="232"/>
      <c r="G4319" s="232"/>
      <c r="I4319" s="232"/>
      <c r="K4319" s="232"/>
      <c r="M4319" s="232"/>
      <c r="P4319" s="232"/>
      <c r="R4319" s="232"/>
      <c r="T4319" s="232"/>
    </row>
    <row r="4320" spans="3:20">
      <c r="C4320" s="232"/>
      <c r="E4320" s="232"/>
      <c r="G4320" s="232"/>
      <c r="I4320" s="232"/>
      <c r="K4320" s="232"/>
      <c r="M4320" s="232"/>
      <c r="P4320" s="232"/>
      <c r="R4320" s="232"/>
      <c r="T4320" s="232"/>
    </row>
    <row r="4321" spans="3:20">
      <c r="C4321" s="232"/>
      <c r="E4321" s="232"/>
      <c r="G4321" s="232"/>
      <c r="I4321" s="232"/>
      <c r="K4321" s="232"/>
      <c r="M4321" s="232"/>
      <c r="P4321" s="232"/>
      <c r="R4321" s="232"/>
      <c r="T4321" s="232"/>
    </row>
    <row r="4322" spans="3:20">
      <c r="C4322" s="232"/>
      <c r="E4322" s="232"/>
      <c r="G4322" s="232"/>
      <c r="I4322" s="232"/>
      <c r="K4322" s="232"/>
      <c r="M4322" s="232"/>
      <c r="P4322" s="232"/>
      <c r="R4322" s="232"/>
      <c r="T4322" s="232"/>
    </row>
    <row r="4323" spans="3:20">
      <c r="C4323" s="232"/>
      <c r="E4323" s="232"/>
      <c r="G4323" s="232"/>
      <c r="I4323" s="232"/>
      <c r="K4323" s="232"/>
      <c r="M4323" s="232"/>
      <c r="P4323" s="232"/>
      <c r="R4323" s="232"/>
      <c r="T4323" s="232"/>
    </row>
    <row r="4324" spans="3:20">
      <c r="C4324" s="232"/>
      <c r="E4324" s="232"/>
      <c r="G4324" s="232"/>
      <c r="I4324" s="232"/>
      <c r="K4324" s="232"/>
      <c r="M4324" s="232"/>
      <c r="P4324" s="232"/>
      <c r="R4324" s="232"/>
      <c r="T4324" s="232"/>
    </row>
    <row r="4325" spans="3:20">
      <c r="C4325" s="232"/>
      <c r="E4325" s="232"/>
      <c r="G4325" s="232"/>
      <c r="I4325" s="232"/>
      <c r="K4325" s="232"/>
      <c r="M4325" s="232"/>
      <c r="P4325" s="232"/>
      <c r="R4325" s="232"/>
      <c r="T4325" s="232"/>
    </row>
    <row r="4326" spans="3:20">
      <c r="C4326" s="232"/>
      <c r="E4326" s="232"/>
      <c r="G4326" s="232"/>
      <c r="I4326" s="232"/>
      <c r="K4326" s="232"/>
      <c r="M4326" s="232"/>
      <c r="P4326" s="232"/>
      <c r="R4326" s="232"/>
      <c r="T4326" s="232"/>
    </row>
    <row r="4327" spans="3:20">
      <c r="C4327" s="232"/>
      <c r="E4327" s="232"/>
      <c r="G4327" s="232"/>
      <c r="I4327" s="232"/>
      <c r="K4327" s="232"/>
      <c r="M4327" s="232"/>
      <c r="P4327" s="232"/>
      <c r="R4327" s="232"/>
      <c r="T4327" s="232"/>
    </row>
    <row r="4328" spans="3:20">
      <c r="C4328" s="232"/>
      <c r="E4328" s="232"/>
      <c r="G4328" s="232"/>
      <c r="I4328" s="232"/>
      <c r="K4328" s="232"/>
      <c r="M4328" s="232"/>
      <c r="P4328" s="232"/>
      <c r="R4328" s="232"/>
      <c r="T4328" s="232"/>
    </row>
    <row r="4329" spans="3:20">
      <c r="C4329" s="232"/>
      <c r="E4329" s="232"/>
      <c r="G4329" s="232"/>
      <c r="I4329" s="232"/>
      <c r="K4329" s="232"/>
      <c r="M4329" s="232"/>
      <c r="P4329" s="232"/>
      <c r="R4329" s="232"/>
      <c r="T4329" s="232"/>
    </row>
    <row r="4330" spans="3:20">
      <c r="C4330" s="232"/>
      <c r="E4330" s="232"/>
      <c r="G4330" s="232"/>
      <c r="I4330" s="232"/>
      <c r="K4330" s="232"/>
      <c r="M4330" s="232"/>
      <c r="P4330" s="232"/>
      <c r="R4330" s="232"/>
      <c r="T4330" s="232"/>
    </row>
    <row r="4331" spans="3:20">
      <c r="C4331" s="232"/>
      <c r="E4331" s="232"/>
      <c r="G4331" s="232"/>
      <c r="I4331" s="232"/>
      <c r="K4331" s="232"/>
      <c r="M4331" s="232"/>
      <c r="P4331" s="232"/>
      <c r="R4331" s="232"/>
      <c r="T4331" s="232"/>
    </row>
    <row r="4332" spans="3:20">
      <c r="C4332" s="232"/>
      <c r="E4332" s="232"/>
      <c r="G4332" s="232"/>
      <c r="I4332" s="232"/>
      <c r="K4332" s="232"/>
      <c r="M4332" s="232"/>
      <c r="P4332" s="232"/>
      <c r="R4332" s="232"/>
      <c r="T4332" s="232"/>
    </row>
    <row r="4333" spans="3:20">
      <c r="C4333" s="232"/>
      <c r="E4333" s="232"/>
      <c r="G4333" s="232"/>
      <c r="I4333" s="232"/>
      <c r="K4333" s="232"/>
      <c r="M4333" s="232"/>
      <c r="P4333" s="232"/>
      <c r="R4333" s="232"/>
      <c r="T4333" s="232"/>
    </row>
    <row r="4334" spans="3:20">
      <c r="C4334" s="232"/>
      <c r="E4334" s="232"/>
      <c r="G4334" s="232"/>
      <c r="I4334" s="232"/>
      <c r="K4334" s="232"/>
      <c r="M4334" s="232"/>
      <c r="P4334" s="232"/>
      <c r="R4334" s="232"/>
      <c r="T4334" s="232"/>
    </row>
    <row r="4335" spans="3:20">
      <c r="C4335" s="232"/>
      <c r="E4335" s="232"/>
      <c r="G4335" s="232"/>
      <c r="I4335" s="232"/>
      <c r="K4335" s="232"/>
      <c r="M4335" s="232"/>
      <c r="P4335" s="232"/>
      <c r="R4335" s="232"/>
      <c r="T4335" s="232"/>
    </row>
    <row r="4336" spans="3:20">
      <c r="C4336" s="232"/>
      <c r="E4336" s="232"/>
      <c r="G4336" s="232"/>
      <c r="I4336" s="232"/>
      <c r="K4336" s="232"/>
      <c r="M4336" s="232"/>
      <c r="P4336" s="232"/>
      <c r="R4336" s="232"/>
      <c r="T4336" s="232"/>
    </row>
    <row r="4337" spans="3:20">
      <c r="C4337" s="232"/>
      <c r="E4337" s="232"/>
      <c r="G4337" s="232"/>
      <c r="I4337" s="232"/>
      <c r="K4337" s="232"/>
      <c r="M4337" s="232"/>
      <c r="P4337" s="232"/>
      <c r="R4337" s="232"/>
      <c r="T4337" s="232"/>
    </row>
    <row r="4338" spans="3:20">
      <c r="C4338" s="232"/>
      <c r="E4338" s="232"/>
      <c r="G4338" s="232"/>
      <c r="I4338" s="232"/>
      <c r="K4338" s="232"/>
      <c r="M4338" s="232"/>
      <c r="P4338" s="232"/>
      <c r="R4338" s="232"/>
      <c r="T4338" s="232"/>
    </row>
    <row r="4339" spans="3:20">
      <c r="C4339" s="232"/>
      <c r="E4339" s="232"/>
      <c r="G4339" s="232"/>
      <c r="I4339" s="232"/>
      <c r="K4339" s="232"/>
      <c r="M4339" s="232"/>
      <c r="P4339" s="232"/>
      <c r="R4339" s="232"/>
      <c r="T4339" s="232"/>
    </row>
    <row r="4340" spans="3:20">
      <c r="C4340" s="232"/>
      <c r="E4340" s="232"/>
      <c r="G4340" s="232"/>
      <c r="I4340" s="232"/>
      <c r="K4340" s="232"/>
      <c r="M4340" s="232"/>
      <c r="P4340" s="232"/>
      <c r="R4340" s="232"/>
      <c r="T4340" s="232"/>
    </row>
    <row r="4341" spans="3:20">
      <c r="C4341" s="232"/>
      <c r="E4341" s="232"/>
      <c r="G4341" s="232"/>
      <c r="I4341" s="232"/>
      <c r="K4341" s="232"/>
      <c r="M4341" s="232"/>
      <c r="P4341" s="232"/>
      <c r="R4341" s="232"/>
      <c r="T4341" s="232"/>
    </row>
    <row r="4342" spans="3:20">
      <c r="C4342" s="232"/>
      <c r="E4342" s="232"/>
      <c r="G4342" s="232"/>
      <c r="I4342" s="232"/>
      <c r="K4342" s="232"/>
      <c r="M4342" s="232"/>
      <c r="P4342" s="232"/>
      <c r="R4342" s="232"/>
      <c r="T4342" s="232"/>
    </row>
    <row r="4343" spans="3:20">
      <c r="C4343" s="232"/>
      <c r="E4343" s="232"/>
      <c r="G4343" s="232"/>
      <c r="I4343" s="232"/>
      <c r="K4343" s="232"/>
      <c r="M4343" s="232"/>
      <c r="P4343" s="232"/>
      <c r="R4343" s="232"/>
      <c r="T4343" s="232"/>
    </row>
    <row r="4344" spans="3:20">
      <c r="C4344" s="232"/>
      <c r="E4344" s="232"/>
      <c r="G4344" s="232"/>
      <c r="I4344" s="232"/>
      <c r="K4344" s="232"/>
      <c r="M4344" s="232"/>
      <c r="P4344" s="232"/>
      <c r="R4344" s="232"/>
      <c r="T4344" s="232"/>
    </row>
    <row r="4345" spans="3:20">
      <c r="C4345" s="232"/>
      <c r="E4345" s="232"/>
      <c r="G4345" s="232"/>
      <c r="I4345" s="232"/>
      <c r="K4345" s="232"/>
      <c r="M4345" s="232"/>
      <c r="P4345" s="232"/>
      <c r="R4345" s="232"/>
      <c r="T4345" s="232"/>
    </row>
    <row r="4346" spans="3:20">
      <c r="C4346" s="232"/>
      <c r="E4346" s="232"/>
      <c r="G4346" s="232"/>
      <c r="I4346" s="232"/>
      <c r="K4346" s="232"/>
      <c r="M4346" s="232"/>
      <c r="P4346" s="232"/>
      <c r="R4346" s="232"/>
      <c r="T4346" s="232"/>
    </row>
    <row r="4347" spans="3:20">
      <c r="C4347" s="232"/>
      <c r="E4347" s="232"/>
      <c r="G4347" s="232"/>
      <c r="I4347" s="232"/>
      <c r="K4347" s="232"/>
      <c r="M4347" s="232"/>
      <c r="P4347" s="232"/>
      <c r="R4347" s="232"/>
      <c r="T4347" s="232"/>
    </row>
    <row r="4348" spans="3:20">
      <c r="C4348" s="232"/>
      <c r="E4348" s="232"/>
      <c r="G4348" s="232"/>
      <c r="I4348" s="232"/>
      <c r="K4348" s="232"/>
      <c r="M4348" s="232"/>
      <c r="P4348" s="232"/>
      <c r="R4348" s="232"/>
      <c r="T4348" s="232"/>
    </row>
    <row r="4349" spans="3:20">
      <c r="C4349" s="232"/>
      <c r="E4349" s="232"/>
      <c r="G4349" s="232"/>
      <c r="I4349" s="232"/>
      <c r="K4349" s="232"/>
      <c r="M4349" s="232"/>
      <c r="P4349" s="232"/>
      <c r="R4349" s="232"/>
      <c r="T4349" s="232"/>
    </row>
    <row r="4350" spans="3:20">
      <c r="C4350" s="232"/>
      <c r="E4350" s="232"/>
      <c r="G4350" s="232"/>
      <c r="I4350" s="232"/>
      <c r="K4350" s="232"/>
      <c r="M4350" s="232"/>
      <c r="P4350" s="232"/>
      <c r="R4350" s="232"/>
      <c r="T4350" s="232"/>
    </row>
    <row r="4351" spans="3:20">
      <c r="C4351" s="232"/>
      <c r="E4351" s="232"/>
      <c r="G4351" s="232"/>
      <c r="I4351" s="232"/>
      <c r="K4351" s="232"/>
      <c r="M4351" s="232"/>
      <c r="P4351" s="232"/>
      <c r="R4351" s="232"/>
      <c r="T4351" s="232"/>
    </row>
    <row r="4352" spans="3:20">
      <c r="C4352" s="232"/>
      <c r="E4352" s="232"/>
      <c r="G4352" s="232"/>
      <c r="I4352" s="232"/>
      <c r="K4352" s="232"/>
      <c r="M4352" s="232"/>
      <c r="P4352" s="232"/>
      <c r="R4352" s="232"/>
      <c r="T4352" s="232"/>
    </row>
    <row r="4353" spans="3:20">
      <c r="C4353" s="232"/>
      <c r="E4353" s="232"/>
      <c r="G4353" s="232"/>
      <c r="I4353" s="232"/>
      <c r="K4353" s="232"/>
      <c r="M4353" s="232"/>
      <c r="P4353" s="232"/>
      <c r="R4353" s="232"/>
      <c r="T4353" s="232"/>
    </row>
    <row r="4354" spans="3:20">
      <c r="C4354" s="232"/>
      <c r="E4354" s="232"/>
      <c r="G4354" s="232"/>
      <c r="I4354" s="232"/>
      <c r="K4354" s="232"/>
      <c r="M4354" s="232"/>
      <c r="P4354" s="232"/>
      <c r="R4354" s="232"/>
      <c r="T4354" s="232"/>
    </row>
    <row r="4355" spans="3:20">
      <c r="C4355" s="232"/>
      <c r="E4355" s="232"/>
      <c r="G4355" s="232"/>
      <c r="I4355" s="232"/>
      <c r="K4355" s="232"/>
      <c r="M4355" s="232"/>
      <c r="P4355" s="232"/>
      <c r="R4355" s="232"/>
      <c r="T4355" s="232"/>
    </row>
    <row r="4356" spans="3:20">
      <c r="C4356" s="232"/>
      <c r="E4356" s="232"/>
      <c r="G4356" s="232"/>
      <c r="I4356" s="232"/>
      <c r="K4356" s="232"/>
      <c r="M4356" s="232"/>
      <c r="P4356" s="232"/>
      <c r="R4356" s="232"/>
      <c r="T4356" s="232"/>
    </row>
    <row r="4357" spans="3:20">
      <c r="C4357" s="232"/>
      <c r="E4357" s="232"/>
      <c r="G4357" s="232"/>
      <c r="I4357" s="232"/>
      <c r="K4357" s="232"/>
      <c r="M4357" s="232"/>
      <c r="P4357" s="232"/>
      <c r="R4357" s="232"/>
      <c r="T4357" s="232"/>
    </row>
    <row r="4358" spans="3:20">
      <c r="C4358" s="232"/>
      <c r="E4358" s="232"/>
      <c r="G4358" s="232"/>
      <c r="I4358" s="232"/>
      <c r="K4358" s="232"/>
      <c r="M4358" s="232"/>
      <c r="P4358" s="232"/>
      <c r="R4358" s="232"/>
      <c r="T4358" s="232"/>
    </row>
    <row r="4359" spans="3:20">
      <c r="C4359" s="232"/>
      <c r="E4359" s="232"/>
      <c r="G4359" s="232"/>
      <c r="I4359" s="232"/>
      <c r="K4359" s="232"/>
      <c r="M4359" s="232"/>
      <c r="P4359" s="232"/>
      <c r="R4359" s="232"/>
      <c r="T4359" s="232"/>
    </row>
    <row r="4360" spans="3:20">
      <c r="C4360" s="232"/>
      <c r="E4360" s="232"/>
      <c r="G4360" s="232"/>
      <c r="I4360" s="232"/>
      <c r="K4360" s="232"/>
      <c r="M4360" s="232"/>
      <c r="P4360" s="232"/>
      <c r="R4360" s="232"/>
      <c r="T4360" s="232"/>
    </row>
    <row r="4361" spans="3:20">
      <c r="C4361" s="232"/>
      <c r="E4361" s="232"/>
      <c r="G4361" s="232"/>
      <c r="I4361" s="232"/>
      <c r="K4361" s="232"/>
      <c r="M4361" s="232"/>
      <c r="P4361" s="232"/>
      <c r="R4361" s="232"/>
      <c r="T4361" s="232"/>
    </row>
    <row r="4362" spans="3:20">
      <c r="C4362" s="232"/>
      <c r="E4362" s="232"/>
      <c r="G4362" s="232"/>
      <c r="I4362" s="232"/>
      <c r="K4362" s="232"/>
      <c r="M4362" s="232"/>
      <c r="P4362" s="232"/>
      <c r="R4362" s="232"/>
      <c r="T4362" s="232"/>
    </row>
    <row r="4363" spans="3:20">
      <c r="C4363" s="232"/>
      <c r="E4363" s="232"/>
      <c r="G4363" s="232"/>
      <c r="I4363" s="232"/>
      <c r="K4363" s="232"/>
      <c r="M4363" s="232"/>
      <c r="P4363" s="232"/>
      <c r="R4363" s="232"/>
      <c r="T4363" s="232"/>
    </row>
    <row r="4364" spans="3:20">
      <c r="C4364" s="232"/>
      <c r="E4364" s="232"/>
      <c r="G4364" s="232"/>
      <c r="I4364" s="232"/>
      <c r="K4364" s="232"/>
      <c r="M4364" s="232"/>
      <c r="P4364" s="232"/>
      <c r="R4364" s="232"/>
      <c r="T4364" s="232"/>
    </row>
    <row r="4365" spans="3:20">
      <c r="C4365" s="232"/>
      <c r="E4365" s="232"/>
      <c r="G4365" s="232"/>
      <c r="I4365" s="232"/>
      <c r="K4365" s="232"/>
      <c r="M4365" s="232"/>
      <c r="P4365" s="232"/>
      <c r="R4365" s="232"/>
      <c r="T4365" s="232"/>
    </row>
    <row r="4366" spans="3:20">
      <c r="C4366" s="232"/>
      <c r="E4366" s="232"/>
      <c r="G4366" s="232"/>
      <c r="I4366" s="232"/>
      <c r="K4366" s="232"/>
      <c r="M4366" s="232"/>
      <c r="P4366" s="232"/>
      <c r="R4366" s="232"/>
      <c r="T4366" s="232"/>
    </row>
    <row r="4367" spans="3:20">
      <c r="C4367" s="232"/>
      <c r="E4367" s="232"/>
      <c r="G4367" s="232"/>
      <c r="I4367" s="232"/>
      <c r="K4367" s="232"/>
      <c r="M4367" s="232"/>
      <c r="P4367" s="232"/>
      <c r="R4367" s="232"/>
      <c r="T4367" s="232"/>
    </row>
    <row r="4368" spans="3:20">
      <c r="C4368" s="232"/>
      <c r="E4368" s="232"/>
      <c r="G4368" s="232"/>
      <c r="I4368" s="232"/>
      <c r="K4368" s="232"/>
      <c r="M4368" s="232"/>
      <c r="P4368" s="232"/>
      <c r="R4368" s="232"/>
      <c r="T4368" s="232"/>
    </row>
    <row r="4369" spans="3:20">
      <c r="C4369" s="232"/>
      <c r="E4369" s="232"/>
      <c r="G4369" s="232"/>
      <c r="I4369" s="232"/>
      <c r="K4369" s="232"/>
      <c r="M4369" s="232"/>
      <c r="P4369" s="232"/>
      <c r="R4369" s="232"/>
      <c r="T4369" s="232"/>
    </row>
    <row r="4370" spans="3:20">
      <c r="C4370" s="232"/>
      <c r="E4370" s="232"/>
      <c r="G4370" s="232"/>
      <c r="I4370" s="232"/>
      <c r="K4370" s="232"/>
      <c r="M4370" s="232"/>
      <c r="P4370" s="232"/>
      <c r="R4370" s="232"/>
      <c r="T4370" s="232"/>
    </row>
    <row r="4371" spans="3:20">
      <c r="C4371" s="232"/>
      <c r="E4371" s="232"/>
      <c r="G4371" s="232"/>
      <c r="I4371" s="232"/>
      <c r="K4371" s="232"/>
      <c r="M4371" s="232"/>
      <c r="P4371" s="232"/>
      <c r="R4371" s="232"/>
      <c r="T4371" s="232"/>
    </row>
    <row r="4372" spans="3:20">
      <c r="C4372" s="232"/>
      <c r="E4372" s="232"/>
      <c r="G4372" s="232"/>
      <c r="I4372" s="232"/>
      <c r="K4372" s="232"/>
      <c r="M4372" s="232"/>
      <c r="P4372" s="232"/>
      <c r="R4372" s="232"/>
      <c r="T4372" s="232"/>
    </row>
    <row r="4373" spans="3:20">
      <c r="C4373" s="232"/>
      <c r="E4373" s="232"/>
      <c r="G4373" s="232"/>
      <c r="I4373" s="232"/>
      <c r="K4373" s="232"/>
      <c r="M4373" s="232"/>
      <c r="P4373" s="232"/>
      <c r="R4373" s="232"/>
      <c r="T4373" s="232"/>
    </row>
    <row r="4374" spans="3:20">
      <c r="C4374" s="232"/>
      <c r="E4374" s="232"/>
      <c r="G4374" s="232"/>
      <c r="I4374" s="232"/>
      <c r="K4374" s="232"/>
      <c r="M4374" s="232"/>
      <c r="P4374" s="232"/>
      <c r="R4374" s="232"/>
      <c r="T4374" s="232"/>
    </row>
    <row r="4375" spans="3:20">
      <c r="C4375" s="232"/>
      <c r="E4375" s="232"/>
      <c r="G4375" s="232"/>
      <c r="I4375" s="232"/>
      <c r="K4375" s="232"/>
      <c r="M4375" s="232"/>
      <c r="P4375" s="232"/>
      <c r="R4375" s="232"/>
      <c r="T4375" s="232"/>
    </row>
    <row r="4376" spans="3:20">
      <c r="C4376" s="232"/>
      <c r="E4376" s="232"/>
      <c r="G4376" s="232"/>
      <c r="I4376" s="232"/>
      <c r="K4376" s="232"/>
      <c r="M4376" s="232"/>
      <c r="P4376" s="232"/>
      <c r="R4376" s="232"/>
      <c r="T4376" s="232"/>
    </row>
    <row r="4377" spans="3:20">
      <c r="C4377" s="232"/>
      <c r="E4377" s="232"/>
      <c r="G4377" s="232"/>
      <c r="I4377" s="232"/>
      <c r="K4377" s="232"/>
      <c r="M4377" s="232"/>
      <c r="P4377" s="232"/>
      <c r="R4377" s="232"/>
      <c r="T4377" s="232"/>
    </row>
    <row r="4378" spans="3:20">
      <c r="C4378" s="232"/>
      <c r="E4378" s="232"/>
      <c r="G4378" s="232"/>
      <c r="I4378" s="232"/>
      <c r="K4378" s="232"/>
      <c r="M4378" s="232"/>
      <c r="P4378" s="232"/>
      <c r="R4378" s="232"/>
      <c r="T4378" s="232"/>
    </row>
    <row r="4379" spans="3:20">
      <c r="C4379" s="232"/>
      <c r="E4379" s="232"/>
      <c r="G4379" s="232"/>
      <c r="I4379" s="232"/>
      <c r="K4379" s="232"/>
      <c r="M4379" s="232"/>
      <c r="P4379" s="232"/>
      <c r="R4379" s="232"/>
      <c r="T4379" s="232"/>
    </row>
    <row r="4380" spans="3:20">
      <c r="C4380" s="232"/>
      <c r="E4380" s="232"/>
      <c r="G4380" s="232"/>
      <c r="I4380" s="232"/>
      <c r="K4380" s="232"/>
      <c r="M4380" s="232"/>
      <c r="P4380" s="232"/>
      <c r="R4380" s="232"/>
      <c r="T4380" s="232"/>
    </row>
    <row r="4381" spans="3:20">
      <c r="C4381" s="232"/>
      <c r="E4381" s="232"/>
      <c r="G4381" s="232"/>
      <c r="I4381" s="232"/>
      <c r="K4381" s="232"/>
      <c r="M4381" s="232"/>
      <c r="P4381" s="232"/>
      <c r="R4381" s="232"/>
      <c r="T4381" s="232"/>
    </row>
    <row r="4382" spans="3:20">
      <c r="C4382" s="232"/>
      <c r="E4382" s="232"/>
      <c r="G4382" s="232"/>
      <c r="I4382" s="232"/>
      <c r="K4382" s="232"/>
      <c r="M4382" s="232"/>
      <c r="P4382" s="232"/>
      <c r="R4382" s="232"/>
      <c r="T4382" s="232"/>
    </row>
    <row r="4383" spans="3:20">
      <c r="C4383" s="232"/>
      <c r="E4383" s="232"/>
      <c r="G4383" s="232"/>
      <c r="I4383" s="232"/>
      <c r="K4383" s="232"/>
      <c r="M4383" s="232"/>
      <c r="P4383" s="232"/>
      <c r="R4383" s="232"/>
      <c r="T4383" s="232"/>
    </row>
    <row r="4384" spans="3:20">
      <c r="C4384" s="232"/>
      <c r="E4384" s="232"/>
      <c r="G4384" s="232"/>
      <c r="I4384" s="232"/>
      <c r="K4384" s="232"/>
      <c r="M4384" s="232"/>
      <c r="P4384" s="232"/>
      <c r="R4384" s="232"/>
      <c r="T4384" s="232"/>
    </row>
    <row r="4385" spans="3:20">
      <c r="C4385" s="232"/>
      <c r="E4385" s="232"/>
      <c r="G4385" s="232"/>
      <c r="I4385" s="232"/>
      <c r="K4385" s="232"/>
      <c r="M4385" s="232"/>
      <c r="P4385" s="232"/>
      <c r="R4385" s="232"/>
      <c r="T4385" s="232"/>
    </row>
    <row r="4386" spans="3:20">
      <c r="C4386" s="232"/>
      <c r="E4386" s="232"/>
      <c r="G4386" s="232"/>
      <c r="I4386" s="232"/>
      <c r="K4386" s="232"/>
      <c r="M4386" s="232"/>
      <c r="P4386" s="232"/>
      <c r="R4386" s="232"/>
      <c r="T4386" s="232"/>
    </row>
    <row r="4387" spans="3:20">
      <c r="C4387" s="232"/>
      <c r="E4387" s="232"/>
      <c r="G4387" s="232"/>
      <c r="I4387" s="232"/>
      <c r="K4387" s="232"/>
      <c r="M4387" s="232"/>
      <c r="P4387" s="232"/>
      <c r="R4387" s="232"/>
      <c r="T4387" s="232"/>
    </row>
    <row r="4388" spans="3:20">
      <c r="C4388" s="232"/>
      <c r="E4388" s="232"/>
      <c r="G4388" s="232"/>
      <c r="I4388" s="232"/>
      <c r="K4388" s="232"/>
      <c r="M4388" s="232"/>
      <c r="P4388" s="232"/>
      <c r="R4388" s="232"/>
      <c r="T4388" s="232"/>
    </row>
    <row r="4389" spans="3:20">
      <c r="C4389" s="232"/>
      <c r="E4389" s="232"/>
      <c r="G4389" s="232"/>
      <c r="I4389" s="232"/>
      <c r="K4389" s="232"/>
      <c r="M4389" s="232"/>
      <c r="P4389" s="232"/>
      <c r="R4389" s="232"/>
      <c r="T4389" s="232"/>
    </row>
    <row r="4390" spans="3:20">
      <c r="C4390" s="232"/>
      <c r="E4390" s="232"/>
      <c r="G4390" s="232"/>
      <c r="I4390" s="232"/>
      <c r="K4390" s="232"/>
      <c r="M4390" s="232"/>
      <c r="P4390" s="232"/>
      <c r="R4390" s="232"/>
      <c r="T4390" s="232"/>
    </row>
    <row r="4391" spans="3:20">
      <c r="C4391" s="232"/>
      <c r="E4391" s="232"/>
      <c r="G4391" s="232"/>
      <c r="I4391" s="232"/>
      <c r="K4391" s="232"/>
      <c r="M4391" s="232"/>
      <c r="P4391" s="232"/>
      <c r="R4391" s="232"/>
      <c r="T4391" s="232"/>
    </row>
    <row r="4392" spans="3:20">
      <c r="C4392" s="232"/>
      <c r="E4392" s="232"/>
      <c r="G4392" s="232"/>
      <c r="I4392" s="232"/>
      <c r="K4392" s="232"/>
      <c r="M4392" s="232"/>
      <c r="P4392" s="232"/>
      <c r="R4392" s="232"/>
      <c r="T4392" s="232"/>
    </row>
    <row r="4393" spans="3:20">
      <c r="C4393" s="232"/>
      <c r="E4393" s="232"/>
      <c r="G4393" s="232"/>
      <c r="I4393" s="232"/>
      <c r="K4393" s="232"/>
      <c r="M4393" s="232"/>
      <c r="P4393" s="232"/>
      <c r="R4393" s="232"/>
      <c r="T4393" s="232"/>
    </row>
    <row r="4394" spans="3:20">
      <c r="C4394" s="232"/>
      <c r="E4394" s="232"/>
      <c r="G4394" s="232"/>
      <c r="I4394" s="232"/>
      <c r="K4394" s="232"/>
      <c r="M4394" s="232"/>
      <c r="P4394" s="232"/>
      <c r="R4394" s="232"/>
      <c r="T4394" s="232"/>
    </row>
    <row r="4395" spans="3:20">
      <c r="C4395" s="232"/>
      <c r="E4395" s="232"/>
      <c r="G4395" s="232"/>
      <c r="I4395" s="232"/>
      <c r="K4395" s="232"/>
      <c r="M4395" s="232"/>
      <c r="P4395" s="232"/>
      <c r="R4395" s="232"/>
      <c r="T4395" s="232"/>
    </row>
    <row r="4396" spans="3:20">
      <c r="C4396" s="232"/>
      <c r="E4396" s="232"/>
      <c r="G4396" s="232"/>
      <c r="I4396" s="232"/>
      <c r="K4396" s="232"/>
      <c r="M4396" s="232"/>
      <c r="P4396" s="232"/>
      <c r="R4396" s="232"/>
      <c r="T4396" s="232"/>
    </row>
    <row r="4397" spans="3:20">
      <c r="C4397" s="232"/>
      <c r="E4397" s="232"/>
      <c r="G4397" s="232"/>
      <c r="I4397" s="232"/>
      <c r="K4397" s="232"/>
      <c r="M4397" s="232"/>
      <c r="P4397" s="232"/>
      <c r="R4397" s="232"/>
      <c r="T4397" s="232"/>
    </row>
    <row r="4398" spans="3:20">
      <c r="C4398" s="232"/>
      <c r="E4398" s="232"/>
      <c r="G4398" s="232"/>
      <c r="I4398" s="232"/>
      <c r="K4398" s="232"/>
      <c r="M4398" s="232"/>
      <c r="P4398" s="232"/>
      <c r="R4398" s="232"/>
      <c r="T4398" s="232"/>
    </row>
    <row r="4399" spans="3:20">
      <c r="C4399" s="232"/>
      <c r="E4399" s="232"/>
      <c r="G4399" s="232"/>
      <c r="I4399" s="232"/>
      <c r="K4399" s="232"/>
      <c r="M4399" s="232"/>
      <c r="P4399" s="232"/>
      <c r="R4399" s="232"/>
      <c r="T4399" s="232"/>
    </row>
    <row r="4400" spans="3:20">
      <c r="C4400" s="232"/>
      <c r="E4400" s="232"/>
      <c r="G4400" s="232"/>
      <c r="I4400" s="232"/>
      <c r="K4400" s="232"/>
      <c r="M4400" s="232"/>
      <c r="P4400" s="232"/>
      <c r="R4400" s="232"/>
      <c r="T4400" s="232"/>
    </row>
    <row r="4401" spans="3:20">
      <c r="C4401" s="232"/>
      <c r="E4401" s="232"/>
      <c r="G4401" s="232"/>
      <c r="I4401" s="232"/>
      <c r="K4401" s="232"/>
      <c r="M4401" s="232"/>
      <c r="P4401" s="232"/>
      <c r="R4401" s="232"/>
      <c r="T4401" s="232"/>
    </row>
    <row r="4402" spans="3:20">
      <c r="C4402" s="232"/>
      <c r="E4402" s="232"/>
      <c r="G4402" s="232"/>
      <c r="I4402" s="232"/>
      <c r="K4402" s="232"/>
      <c r="M4402" s="232"/>
      <c r="P4402" s="232"/>
      <c r="R4402" s="232"/>
      <c r="T4402" s="232"/>
    </row>
    <row r="4403" spans="3:20">
      <c r="C4403" s="232"/>
      <c r="E4403" s="232"/>
      <c r="G4403" s="232"/>
      <c r="I4403" s="232"/>
      <c r="K4403" s="232"/>
      <c r="M4403" s="232"/>
      <c r="P4403" s="232"/>
      <c r="R4403" s="232"/>
      <c r="T4403" s="232"/>
    </row>
    <row r="4404" spans="3:20">
      <c r="C4404" s="232"/>
      <c r="E4404" s="232"/>
      <c r="G4404" s="232"/>
      <c r="I4404" s="232"/>
      <c r="K4404" s="232"/>
      <c r="M4404" s="232"/>
      <c r="P4404" s="232"/>
      <c r="R4404" s="232"/>
      <c r="T4404" s="232"/>
    </row>
    <row r="4405" spans="3:20">
      <c r="C4405" s="232"/>
      <c r="E4405" s="232"/>
      <c r="G4405" s="232"/>
      <c r="I4405" s="232"/>
      <c r="K4405" s="232"/>
      <c r="M4405" s="232"/>
      <c r="P4405" s="232"/>
      <c r="R4405" s="232"/>
      <c r="T4405" s="232"/>
    </row>
    <row r="4406" spans="3:20">
      <c r="C4406" s="232"/>
      <c r="E4406" s="232"/>
      <c r="G4406" s="232"/>
      <c r="I4406" s="232"/>
      <c r="K4406" s="232"/>
      <c r="M4406" s="232"/>
      <c r="P4406" s="232"/>
      <c r="R4406" s="232"/>
      <c r="T4406" s="232"/>
    </row>
    <row r="4407" spans="3:20">
      <c r="C4407" s="232"/>
      <c r="E4407" s="232"/>
      <c r="G4407" s="232"/>
      <c r="I4407" s="232"/>
      <c r="K4407" s="232"/>
      <c r="M4407" s="232"/>
      <c r="P4407" s="232"/>
      <c r="R4407" s="232"/>
      <c r="T4407" s="232"/>
    </row>
    <row r="4408" spans="3:20">
      <c r="C4408" s="232"/>
      <c r="E4408" s="232"/>
      <c r="G4408" s="232"/>
      <c r="I4408" s="232"/>
      <c r="K4408" s="232"/>
      <c r="M4408" s="232"/>
      <c r="P4408" s="232"/>
      <c r="R4408" s="232"/>
      <c r="T4408" s="232"/>
    </row>
    <row r="4409" spans="3:20">
      <c r="C4409" s="232"/>
      <c r="E4409" s="232"/>
      <c r="G4409" s="232"/>
      <c r="I4409" s="232"/>
      <c r="K4409" s="232"/>
      <c r="M4409" s="232"/>
      <c r="P4409" s="232"/>
      <c r="R4409" s="232"/>
      <c r="T4409" s="232"/>
    </row>
    <row r="4410" spans="3:20">
      <c r="C4410" s="232"/>
      <c r="E4410" s="232"/>
      <c r="G4410" s="232"/>
      <c r="I4410" s="232"/>
      <c r="K4410" s="232"/>
      <c r="M4410" s="232"/>
      <c r="P4410" s="232"/>
      <c r="R4410" s="232"/>
      <c r="T4410" s="232"/>
    </row>
    <row r="4411" spans="3:20">
      <c r="C4411" s="232"/>
      <c r="E4411" s="232"/>
      <c r="G4411" s="232"/>
      <c r="I4411" s="232"/>
      <c r="K4411" s="232"/>
      <c r="M4411" s="232"/>
      <c r="P4411" s="232"/>
      <c r="R4411" s="232"/>
      <c r="T4411" s="232"/>
    </row>
    <row r="4412" spans="3:20">
      <c r="C4412" s="232"/>
      <c r="E4412" s="232"/>
      <c r="G4412" s="232"/>
      <c r="I4412" s="232"/>
      <c r="K4412" s="232"/>
      <c r="M4412" s="232"/>
      <c r="P4412" s="232"/>
      <c r="R4412" s="232"/>
      <c r="T4412" s="232"/>
    </row>
    <row r="4413" spans="3:20">
      <c r="C4413" s="232"/>
      <c r="E4413" s="232"/>
      <c r="G4413" s="232"/>
      <c r="I4413" s="232"/>
      <c r="K4413" s="232"/>
      <c r="M4413" s="232"/>
      <c r="P4413" s="232"/>
      <c r="R4413" s="232"/>
      <c r="T4413" s="232"/>
    </row>
    <row r="4414" spans="3:20">
      <c r="C4414" s="232"/>
      <c r="E4414" s="232"/>
      <c r="G4414" s="232"/>
      <c r="I4414" s="232"/>
      <c r="K4414" s="232"/>
      <c r="M4414" s="232"/>
      <c r="P4414" s="232"/>
      <c r="R4414" s="232"/>
      <c r="T4414" s="232"/>
    </row>
    <row r="4415" spans="3:20">
      <c r="C4415" s="232"/>
      <c r="E4415" s="232"/>
      <c r="G4415" s="232"/>
      <c r="I4415" s="232"/>
      <c r="K4415" s="232"/>
      <c r="M4415" s="232"/>
      <c r="P4415" s="232"/>
      <c r="R4415" s="232"/>
      <c r="T4415" s="232"/>
    </row>
    <row r="4416" spans="3:20">
      <c r="C4416" s="232"/>
      <c r="E4416" s="232"/>
      <c r="G4416" s="232"/>
      <c r="I4416" s="232"/>
      <c r="K4416" s="232"/>
      <c r="M4416" s="232"/>
      <c r="P4416" s="232"/>
      <c r="R4416" s="232"/>
      <c r="T4416" s="232"/>
    </row>
    <row r="4417" spans="3:20">
      <c r="C4417" s="232"/>
      <c r="E4417" s="232"/>
      <c r="G4417" s="232"/>
      <c r="I4417" s="232"/>
      <c r="K4417" s="232"/>
      <c r="M4417" s="232"/>
      <c r="P4417" s="232"/>
      <c r="R4417" s="232"/>
      <c r="T4417" s="232"/>
    </row>
    <row r="4418" spans="3:20">
      <c r="C4418" s="232"/>
      <c r="E4418" s="232"/>
      <c r="G4418" s="232"/>
      <c r="I4418" s="232"/>
      <c r="K4418" s="232"/>
      <c r="M4418" s="232"/>
      <c r="P4418" s="232"/>
      <c r="R4418" s="232"/>
      <c r="T4418" s="232"/>
    </row>
    <row r="4419" spans="3:20">
      <c r="C4419" s="232"/>
      <c r="E4419" s="232"/>
      <c r="G4419" s="232"/>
      <c r="I4419" s="232"/>
      <c r="K4419" s="232"/>
      <c r="M4419" s="232"/>
      <c r="P4419" s="232"/>
      <c r="R4419" s="232"/>
      <c r="T4419" s="232"/>
    </row>
    <row r="4420" spans="3:20">
      <c r="C4420" s="232"/>
      <c r="E4420" s="232"/>
      <c r="G4420" s="232"/>
      <c r="I4420" s="232"/>
      <c r="K4420" s="232"/>
      <c r="M4420" s="232"/>
      <c r="P4420" s="232"/>
      <c r="R4420" s="232"/>
      <c r="T4420" s="232"/>
    </row>
    <row r="4421" spans="3:20">
      <c r="C4421" s="232"/>
      <c r="E4421" s="232"/>
      <c r="G4421" s="232"/>
      <c r="I4421" s="232"/>
      <c r="K4421" s="232"/>
      <c r="M4421" s="232"/>
      <c r="P4421" s="232"/>
      <c r="R4421" s="232"/>
      <c r="T4421" s="232"/>
    </row>
    <row r="4422" spans="3:20">
      <c r="C4422" s="232"/>
      <c r="E4422" s="232"/>
      <c r="G4422" s="232"/>
      <c r="I4422" s="232"/>
      <c r="K4422" s="232"/>
      <c r="M4422" s="232"/>
      <c r="P4422" s="232"/>
      <c r="R4422" s="232"/>
      <c r="T4422" s="232"/>
    </row>
    <row r="4423" spans="3:20">
      <c r="C4423" s="232"/>
      <c r="E4423" s="232"/>
      <c r="G4423" s="232"/>
      <c r="I4423" s="232"/>
      <c r="K4423" s="232"/>
      <c r="M4423" s="232"/>
      <c r="P4423" s="232"/>
      <c r="R4423" s="232"/>
      <c r="T4423" s="232"/>
    </row>
    <row r="4424" spans="3:20">
      <c r="C4424" s="232"/>
      <c r="E4424" s="232"/>
      <c r="G4424" s="232"/>
      <c r="I4424" s="232"/>
      <c r="K4424" s="232"/>
      <c r="M4424" s="232"/>
      <c r="P4424" s="232"/>
      <c r="R4424" s="232"/>
      <c r="T4424" s="232"/>
    </row>
    <row r="4425" spans="3:20">
      <c r="C4425" s="232"/>
      <c r="E4425" s="232"/>
      <c r="G4425" s="232"/>
      <c r="I4425" s="232"/>
      <c r="K4425" s="232"/>
      <c r="M4425" s="232"/>
      <c r="P4425" s="232"/>
      <c r="R4425" s="232"/>
      <c r="T4425" s="232"/>
    </row>
    <row r="4426" spans="3:20">
      <c r="C4426" s="232"/>
      <c r="E4426" s="232"/>
      <c r="G4426" s="232"/>
      <c r="I4426" s="232"/>
      <c r="K4426" s="232"/>
      <c r="M4426" s="232"/>
      <c r="P4426" s="232"/>
      <c r="R4426" s="232"/>
      <c r="T4426" s="232"/>
    </row>
    <row r="4427" spans="3:20">
      <c r="C4427" s="232"/>
      <c r="E4427" s="232"/>
      <c r="G4427" s="232"/>
      <c r="I4427" s="232"/>
      <c r="K4427" s="232"/>
      <c r="M4427" s="232"/>
      <c r="P4427" s="232"/>
      <c r="R4427" s="232"/>
      <c r="T4427" s="232"/>
    </row>
    <row r="4428" spans="3:20">
      <c r="C4428" s="232"/>
      <c r="E4428" s="232"/>
      <c r="G4428" s="232"/>
      <c r="I4428" s="232"/>
      <c r="K4428" s="232"/>
      <c r="M4428" s="232"/>
      <c r="P4428" s="232"/>
      <c r="R4428" s="232"/>
      <c r="T4428" s="232"/>
    </row>
    <row r="4429" spans="3:20">
      <c r="C4429" s="232"/>
      <c r="E4429" s="232"/>
      <c r="G4429" s="232"/>
      <c r="I4429" s="232"/>
      <c r="K4429" s="232"/>
      <c r="M4429" s="232"/>
      <c r="P4429" s="232"/>
      <c r="R4429" s="232"/>
      <c r="T4429" s="232"/>
    </row>
    <row r="4430" spans="3:20">
      <c r="C4430" s="232"/>
      <c r="E4430" s="232"/>
      <c r="G4430" s="232"/>
      <c r="I4430" s="232"/>
      <c r="K4430" s="232"/>
      <c r="M4430" s="232"/>
      <c r="P4430" s="232"/>
      <c r="R4430" s="232"/>
      <c r="T4430" s="232"/>
    </row>
    <row r="4431" spans="3:20">
      <c r="C4431" s="232"/>
      <c r="E4431" s="232"/>
      <c r="G4431" s="232"/>
      <c r="I4431" s="232"/>
      <c r="K4431" s="232"/>
      <c r="M4431" s="232"/>
      <c r="P4431" s="232"/>
      <c r="R4431" s="232"/>
      <c r="T4431" s="232"/>
    </row>
    <row r="4432" spans="3:20">
      <c r="C4432" s="232"/>
      <c r="E4432" s="232"/>
      <c r="G4432" s="232"/>
      <c r="I4432" s="232"/>
      <c r="K4432" s="232"/>
      <c r="M4432" s="232"/>
      <c r="P4432" s="232"/>
      <c r="R4432" s="232"/>
      <c r="T4432" s="232"/>
    </row>
    <row r="4433" spans="3:20">
      <c r="C4433" s="232"/>
      <c r="E4433" s="232"/>
      <c r="G4433" s="232"/>
      <c r="I4433" s="232"/>
      <c r="K4433" s="232"/>
      <c r="M4433" s="232"/>
      <c r="P4433" s="232"/>
      <c r="R4433" s="232"/>
      <c r="T4433" s="232"/>
    </row>
    <row r="4434" spans="3:20">
      <c r="C4434" s="232"/>
      <c r="E4434" s="232"/>
      <c r="G4434" s="232"/>
      <c r="I4434" s="232"/>
      <c r="K4434" s="232"/>
      <c r="M4434" s="232"/>
      <c r="P4434" s="232"/>
      <c r="R4434" s="232"/>
      <c r="T4434" s="232"/>
    </row>
    <row r="4435" spans="3:20">
      <c r="C4435" s="232"/>
      <c r="E4435" s="232"/>
      <c r="G4435" s="232"/>
      <c r="I4435" s="232"/>
      <c r="K4435" s="232"/>
      <c r="M4435" s="232"/>
      <c r="P4435" s="232"/>
      <c r="R4435" s="232"/>
      <c r="T4435" s="232"/>
    </row>
    <row r="4436" spans="3:20">
      <c r="C4436" s="232"/>
      <c r="E4436" s="232"/>
      <c r="G4436" s="232"/>
      <c r="I4436" s="232"/>
      <c r="K4436" s="232"/>
      <c r="M4436" s="232"/>
      <c r="P4436" s="232"/>
      <c r="R4436" s="232"/>
      <c r="T4436" s="232"/>
    </row>
    <row r="4437" spans="3:20">
      <c r="C4437" s="232"/>
      <c r="E4437" s="232"/>
      <c r="G4437" s="232"/>
      <c r="I4437" s="232"/>
      <c r="K4437" s="232"/>
      <c r="M4437" s="232"/>
      <c r="P4437" s="232"/>
      <c r="R4437" s="232"/>
      <c r="T4437" s="232"/>
    </row>
    <row r="4438" spans="3:20">
      <c r="C4438" s="232"/>
      <c r="E4438" s="232"/>
      <c r="G4438" s="232"/>
      <c r="I4438" s="232"/>
      <c r="K4438" s="232"/>
      <c r="M4438" s="232"/>
      <c r="P4438" s="232"/>
      <c r="R4438" s="232"/>
      <c r="T4438" s="232"/>
    </row>
    <row r="4439" spans="3:20">
      <c r="C4439" s="232"/>
      <c r="E4439" s="232"/>
      <c r="G4439" s="232"/>
      <c r="I4439" s="232"/>
      <c r="K4439" s="232"/>
      <c r="M4439" s="232"/>
      <c r="P4439" s="232"/>
      <c r="R4439" s="232"/>
      <c r="T4439" s="232"/>
    </row>
    <row r="4440" spans="3:20">
      <c r="C4440" s="232"/>
      <c r="E4440" s="232"/>
      <c r="G4440" s="232"/>
      <c r="I4440" s="232"/>
      <c r="K4440" s="232"/>
      <c r="M4440" s="232"/>
      <c r="P4440" s="232"/>
      <c r="R4440" s="232"/>
      <c r="T4440" s="232"/>
    </row>
    <row r="4441" spans="3:20">
      <c r="C4441" s="232"/>
      <c r="E4441" s="232"/>
      <c r="G4441" s="232"/>
      <c r="I4441" s="232"/>
      <c r="K4441" s="232"/>
      <c r="M4441" s="232"/>
      <c r="P4441" s="232"/>
      <c r="R4441" s="232"/>
      <c r="T4441" s="232"/>
    </row>
    <row r="4442" spans="3:20">
      <c r="C4442" s="232"/>
      <c r="E4442" s="232"/>
      <c r="G4442" s="232"/>
      <c r="I4442" s="232"/>
      <c r="K4442" s="232"/>
      <c r="M4442" s="232"/>
      <c r="P4442" s="232"/>
      <c r="R4442" s="232"/>
      <c r="T4442" s="232"/>
    </row>
    <row r="4443" spans="3:20">
      <c r="C4443" s="232"/>
      <c r="E4443" s="232"/>
      <c r="G4443" s="232"/>
      <c r="I4443" s="232"/>
      <c r="K4443" s="232"/>
      <c r="M4443" s="232"/>
      <c r="P4443" s="232"/>
      <c r="R4443" s="232"/>
      <c r="T4443" s="232"/>
    </row>
    <row r="4444" spans="3:20">
      <c r="C4444" s="232"/>
      <c r="E4444" s="232"/>
      <c r="G4444" s="232"/>
      <c r="I4444" s="232"/>
      <c r="K4444" s="232"/>
      <c r="M4444" s="232"/>
      <c r="P4444" s="232"/>
      <c r="R4444" s="232"/>
      <c r="T4444" s="232"/>
    </row>
    <row r="4445" spans="3:20">
      <c r="C4445" s="232"/>
      <c r="E4445" s="232"/>
      <c r="G4445" s="232"/>
      <c r="I4445" s="232"/>
      <c r="K4445" s="232"/>
      <c r="M4445" s="232"/>
      <c r="P4445" s="232"/>
      <c r="R4445" s="232"/>
      <c r="T4445" s="232"/>
    </row>
    <row r="4446" spans="3:20">
      <c r="C4446" s="232"/>
      <c r="E4446" s="232"/>
      <c r="G4446" s="232"/>
      <c r="I4446" s="232"/>
      <c r="K4446" s="232"/>
      <c r="M4446" s="232"/>
      <c r="P4446" s="232"/>
      <c r="R4446" s="232"/>
      <c r="T4446" s="232"/>
    </row>
    <row r="4447" spans="3:20">
      <c r="C4447" s="232"/>
      <c r="E4447" s="232"/>
      <c r="G4447" s="232"/>
      <c r="I4447" s="232"/>
      <c r="K4447" s="232"/>
      <c r="M4447" s="232"/>
      <c r="P4447" s="232"/>
      <c r="R4447" s="232"/>
      <c r="T4447" s="232"/>
    </row>
    <row r="4448" spans="3:20">
      <c r="C4448" s="232"/>
      <c r="E4448" s="232"/>
      <c r="G4448" s="232"/>
      <c r="I4448" s="232"/>
      <c r="K4448" s="232"/>
      <c r="M4448" s="232"/>
      <c r="P4448" s="232"/>
      <c r="R4448" s="232"/>
      <c r="T4448" s="232"/>
    </row>
    <row r="4449" spans="3:20">
      <c r="C4449" s="232"/>
      <c r="E4449" s="232"/>
      <c r="G4449" s="232"/>
      <c r="I4449" s="232"/>
      <c r="K4449" s="232"/>
      <c r="M4449" s="232"/>
      <c r="P4449" s="232"/>
      <c r="R4449" s="232"/>
      <c r="T4449" s="232"/>
    </row>
    <row r="4450" spans="3:20">
      <c r="C4450" s="232"/>
      <c r="E4450" s="232"/>
      <c r="G4450" s="232"/>
      <c r="I4450" s="232"/>
      <c r="K4450" s="232"/>
      <c r="M4450" s="232"/>
      <c r="P4450" s="232"/>
      <c r="R4450" s="232"/>
      <c r="T4450" s="232"/>
    </row>
    <row r="4451" spans="3:20">
      <c r="C4451" s="232"/>
      <c r="E4451" s="232"/>
      <c r="G4451" s="232"/>
      <c r="I4451" s="232"/>
      <c r="K4451" s="232"/>
      <c r="M4451" s="232"/>
      <c r="P4451" s="232"/>
      <c r="R4451" s="232"/>
      <c r="T4451" s="232"/>
    </row>
    <row r="4452" spans="3:20">
      <c r="C4452" s="232"/>
      <c r="E4452" s="232"/>
      <c r="G4452" s="232"/>
      <c r="I4452" s="232"/>
      <c r="K4452" s="232"/>
      <c r="M4452" s="232"/>
      <c r="P4452" s="232"/>
      <c r="R4452" s="232"/>
      <c r="T4452" s="232"/>
    </row>
    <row r="4453" spans="3:20">
      <c r="C4453" s="232"/>
      <c r="E4453" s="232"/>
      <c r="G4453" s="232"/>
      <c r="I4453" s="232"/>
      <c r="K4453" s="232"/>
      <c r="M4453" s="232"/>
      <c r="P4453" s="232"/>
      <c r="R4453" s="232"/>
      <c r="T4453" s="232"/>
    </row>
    <row r="4454" spans="3:20">
      <c r="C4454" s="232"/>
      <c r="E4454" s="232"/>
      <c r="G4454" s="232"/>
      <c r="I4454" s="232"/>
      <c r="K4454" s="232"/>
      <c r="M4454" s="232"/>
      <c r="P4454" s="232"/>
      <c r="R4454" s="232"/>
      <c r="T4454" s="232"/>
    </row>
    <row r="4455" spans="3:20">
      <c r="C4455" s="232"/>
      <c r="E4455" s="232"/>
      <c r="G4455" s="232"/>
      <c r="I4455" s="232"/>
      <c r="K4455" s="232"/>
      <c r="M4455" s="232"/>
      <c r="P4455" s="232"/>
      <c r="R4455" s="232"/>
      <c r="T4455" s="232"/>
    </row>
    <row r="4456" spans="3:20">
      <c r="C4456" s="232"/>
      <c r="E4456" s="232"/>
      <c r="G4456" s="232"/>
      <c r="I4456" s="232"/>
      <c r="K4456" s="232"/>
      <c r="M4456" s="232"/>
      <c r="P4456" s="232"/>
      <c r="R4456" s="232"/>
      <c r="T4456" s="232"/>
    </row>
    <row r="4457" spans="3:20">
      <c r="C4457" s="232"/>
      <c r="E4457" s="232"/>
      <c r="G4457" s="232"/>
      <c r="I4457" s="232"/>
      <c r="K4457" s="232"/>
      <c r="M4457" s="232"/>
      <c r="P4457" s="232"/>
      <c r="R4457" s="232"/>
      <c r="T4457" s="232"/>
    </row>
    <row r="4458" spans="3:20">
      <c r="C4458" s="232"/>
      <c r="E4458" s="232"/>
      <c r="G4458" s="232"/>
      <c r="I4458" s="232"/>
      <c r="K4458" s="232"/>
      <c r="M4458" s="232"/>
      <c r="P4458" s="232"/>
      <c r="R4458" s="232"/>
      <c r="T4458" s="232"/>
    </row>
    <row r="4459" spans="3:20">
      <c r="C4459" s="232"/>
      <c r="E4459" s="232"/>
      <c r="G4459" s="232"/>
      <c r="I4459" s="232"/>
      <c r="K4459" s="232"/>
      <c r="M4459" s="232"/>
      <c r="P4459" s="232"/>
      <c r="R4459" s="232"/>
      <c r="T4459" s="232"/>
    </row>
    <row r="4460" spans="3:20">
      <c r="C4460" s="232"/>
      <c r="E4460" s="232"/>
      <c r="G4460" s="232"/>
      <c r="I4460" s="232"/>
      <c r="K4460" s="232"/>
      <c r="M4460" s="232"/>
      <c r="P4460" s="232"/>
      <c r="R4460" s="232"/>
      <c r="T4460" s="232"/>
    </row>
    <row r="4461" spans="3:20">
      <c r="C4461" s="232"/>
      <c r="E4461" s="232"/>
      <c r="G4461" s="232"/>
      <c r="I4461" s="232"/>
      <c r="K4461" s="232"/>
      <c r="M4461" s="232"/>
      <c r="P4461" s="232"/>
      <c r="R4461" s="232"/>
      <c r="T4461" s="232"/>
    </row>
    <row r="4462" spans="3:20">
      <c r="C4462" s="232"/>
      <c r="E4462" s="232"/>
      <c r="G4462" s="232"/>
      <c r="I4462" s="232"/>
      <c r="K4462" s="232"/>
      <c r="M4462" s="232"/>
      <c r="P4462" s="232"/>
      <c r="R4462" s="232"/>
      <c r="T4462" s="232"/>
    </row>
    <row r="4463" spans="3:20">
      <c r="C4463" s="232"/>
      <c r="E4463" s="232"/>
      <c r="G4463" s="232"/>
      <c r="I4463" s="232"/>
      <c r="K4463" s="232"/>
      <c r="M4463" s="232"/>
      <c r="P4463" s="232"/>
      <c r="R4463" s="232"/>
      <c r="T4463" s="232"/>
    </row>
    <row r="4464" spans="3:20">
      <c r="C4464" s="232"/>
      <c r="E4464" s="232"/>
      <c r="G4464" s="232"/>
      <c r="I4464" s="232"/>
      <c r="K4464" s="232"/>
      <c r="M4464" s="232"/>
      <c r="P4464" s="232"/>
      <c r="R4464" s="232"/>
      <c r="T4464" s="232"/>
    </row>
    <row r="4465" spans="3:20">
      <c r="C4465" s="232"/>
      <c r="E4465" s="232"/>
      <c r="G4465" s="232"/>
      <c r="I4465" s="232"/>
      <c r="K4465" s="232"/>
      <c r="M4465" s="232"/>
      <c r="P4465" s="232"/>
      <c r="R4465" s="232"/>
      <c r="T4465" s="232"/>
    </row>
    <row r="4466" spans="3:20">
      <c r="C4466" s="232"/>
      <c r="E4466" s="232"/>
      <c r="G4466" s="232"/>
      <c r="I4466" s="232"/>
      <c r="K4466" s="232"/>
      <c r="M4466" s="232"/>
      <c r="P4466" s="232"/>
      <c r="R4466" s="232"/>
      <c r="T4466" s="232"/>
    </row>
    <row r="4467" spans="3:20">
      <c r="C4467" s="232"/>
      <c r="E4467" s="232"/>
      <c r="G4467" s="232"/>
      <c r="I4467" s="232"/>
      <c r="K4467" s="232"/>
      <c r="M4467" s="232"/>
      <c r="P4467" s="232"/>
      <c r="R4467" s="232"/>
      <c r="T4467" s="232"/>
    </row>
    <row r="4468" spans="3:20">
      <c r="C4468" s="232"/>
      <c r="E4468" s="232"/>
      <c r="G4468" s="232"/>
      <c r="I4468" s="232"/>
      <c r="K4468" s="232"/>
      <c r="M4468" s="232"/>
      <c r="P4468" s="232"/>
      <c r="R4468" s="232"/>
      <c r="T4468" s="232"/>
    </row>
    <row r="4469" spans="3:20">
      <c r="C4469" s="232"/>
      <c r="E4469" s="232"/>
      <c r="G4469" s="232"/>
      <c r="I4469" s="232"/>
      <c r="K4469" s="232"/>
      <c r="M4469" s="232"/>
      <c r="P4469" s="232"/>
      <c r="R4469" s="232"/>
      <c r="T4469" s="232"/>
    </row>
    <row r="4470" spans="3:20">
      <c r="C4470" s="232"/>
      <c r="E4470" s="232"/>
      <c r="G4470" s="232"/>
      <c r="I4470" s="232"/>
      <c r="K4470" s="232"/>
      <c r="M4470" s="232"/>
      <c r="P4470" s="232"/>
      <c r="R4470" s="232"/>
      <c r="T4470" s="232"/>
    </row>
    <row r="4471" spans="3:20">
      <c r="C4471" s="232"/>
      <c r="E4471" s="232"/>
      <c r="G4471" s="232"/>
      <c r="I4471" s="232"/>
      <c r="K4471" s="232"/>
      <c r="M4471" s="232"/>
      <c r="P4471" s="232"/>
      <c r="R4471" s="232"/>
      <c r="T4471" s="232"/>
    </row>
    <row r="4472" spans="3:20">
      <c r="C4472" s="232"/>
      <c r="E4472" s="232"/>
      <c r="G4472" s="232"/>
      <c r="I4472" s="232"/>
      <c r="K4472" s="232"/>
      <c r="M4472" s="232"/>
      <c r="P4472" s="232"/>
      <c r="R4472" s="232"/>
      <c r="T4472" s="232"/>
    </row>
    <row r="4473" spans="3:20">
      <c r="C4473" s="232"/>
      <c r="E4473" s="232"/>
      <c r="G4473" s="232"/>
      <c r="I4473" s="232"/>
      <c r="K4473" s="232"/>
      <c r="M4473" s="232"/>
      <c r="P4473" s="232"/>
      <c r="R4473" s="232"/>
      <c r="T4473" s="232"/>
    </row>
    <row r="4474" spans="3:20">
      <c r="C4474" s="232"/>
      <c r="E4474" s="232"/>
      <c r="G4474" s="232"/>
      <c r="I4474" s="232"/>
      <c r="K4474" s="232"/>
      <c r="M4474" s="232"/>
      <c r="P4474" s="232"/>
      <c r="R4474" s="232"/>
      <c r="T4474" s="232"/>
    </row>
    <row r="4475" spans="3:20">
      <c r="C4475" s="232"/>
      <c r="E4475" s="232"/>
      <c r="G4475" s="232"/>
      <c r="I4475" s="232"/>
      <c r="K4475" s="232"/>
      <c r="M4475" s="232"/>
      <c r="P4475" s="232"/>
      <c r="R4475" s="232"/>
      <c r="T4475" s="232"/>
    </row>
    <row r="4476" spans="3:20">
      <c r="C4476" s="232"/>
      <c r="E4476" s="232"/>
      <c r="G4476" s="232"/>
      <c r="I4476" s="232"/>
      <c r="K4476" s="232"/>
      <c r="M4476" s="232"/>
      <c r="P4476" s="232"/>
      <c r="R4476" s="232"/>
      <c r="T4476" s="232"/>
    </row>
    <row r="4477" spans="3:20">
      <c r="C4477" s="232"/>
      <c r="E4477" s="232"/>
      <c r="G4477" s="232"/>
      <c r="I4477" s="232"/>
      <c r="K4477" s="232"/>
      <c r="M4477" s="232"/>
      <c r="P4477" s="232"/>
      <c r="R4477" s="232"/>
      <c r="T4477" s="232"/>
    </row>
    <row r="4478" spans="3:20">
      <c r="C4478" s="232"/>
      <c r="E4478" s="232"/>
      <c r="G4478" s="232"/>
      <c r="I4478" s="232"/>
      <c r="K4478" s="232"/>
      <c r="M4478" s="232"/>
      <c r="P4478" s="232"/>
      <c r="R4478" s="232"/>
      <c r="T4478" s="232"/>
    </row>
    <row r="4479" spans="3:20">
      <c r="C4479" s="232"/>
      <c r="E4479" s="232"/>
      <c r="G4479" s="232"/>
      <c r="I4479" s="232"/>
      <c r="K4479" s="232"/>
      <c r="M4479" s="232"/>
      <c r="P4479" s="232"/>
      <c r="R4479" s="232"/>
      <c r="T4479" s="232"/>
    </row>
    <row r="4480" spans="3:20">
      <c r="C4480" s="232"/>
      <c r="E4480" s="232"/>
      <c r="G4480" s="232"/>
      <c r="I4480" s="232"/>
      <c r="K4480" s="232"/>
      <c r="M4480" s="232"/>
      <c r="P4480" s="232"/>
      <c r="R4480" s="232"/>
      <c r="T4480" s="232"/>
    </row>
    <row r="4481" spans="3:20">
      <c r="C4481" s="232"/>
      <c r="E4481" s="232"/>
      <c r="G4481" s="232"/>
      <c r="I4481" s="232"/>
      <c r="K4481" s="232"/>
      <c r="M4481" s="232"/>
      <c r="P4481" s="232"/>
      <c r="R4481" s="232"/>
      <c r="T4481" s="232"/>
    </row>
    <row r="4482" spans="3:20">
      <c r="C4482" s="232"/>
      <c r="E4482" s="232"/>
      <c r="G4482" s="232"/>
      <c r="I4482" s="232"/>
      <c r="K4482" s="232"/>
      <c r="M4482" s="232"/>
      <c r="P4482" s="232"/>
      <c r="R4482" s="232"/>
      <c r="T4482" s="232"/>
    </row>
    <row r="4483" spans="3:20">
      <c r="C4483" s="232"/>
      <c r="E4483" s="232"/>
      <c r="G4483" s="232"/>
      <c r="I4483" s="232"/>
      <c r="K4483" s="232"/>
      <c r="M4483" s="232"/>
      <c r="P4483" s="232"/>
      <c r="R4483" s="232"/>
      <c r="T4483" s="232"/>
    </row>
    <row r="4484" spans="3:20">
      <c r="C4484" s="232"/>
      <c r="E4484" s="232"/>
      <c r="G4484" s="232"/>
      <c r="I4484" s="232"/>
      <c r="K4484" s="232"/>
      <c r="M4484" s="232"/>
      <c r="P4484" s="232"/>
      <c r="R4484" s="232"/>
      <c r="T4484" s="232"/>
    </row>
    <row r="4485" spans="3:20">
      <c r="C4485" s="232"/>
      <c r="E4485" s="232"/>
      <c r="G4485" s="232"/>
      <c r="I4485" s="232"/>
      <c r="K4485" s="232"/>
      <c r="M4485" s="232"/>
      <c r="P4485" s="232"/>
      <c r="R4485" s="232"/>
      <c r="T4485" s="232"/>
    </row>
    <row r="4486" spans="3:20">
      <c r="C4486" s="232"/>
      <c r="E4486" s="232"/>
      <c r="G4486" s="232"/>
      <c r="I4486" s="232"/>
      <c r="K4486" s="232"/>
      <c r="M4486" s="232"/>
      <c r="P4486" s="232"/>
      <c r="R4486" s="232"/>
      <c r="T4486" s="232"/>
    </row>
    <row r="4487" spans="3:20">
      <c r="C4487" s="232"/>
      <c r="E4487" s="232"/>
      <c r="G4487" s="232"/>
      <c r="I4487" s="232"/>
      <c r="K4487" s="232"/>
      <c r="M4487" s="232"/>
      <c r="P4487" s="232"/>
      <c r="R4487" s="232"/>
      <c r="T4487" s="232"/>
    </row>
    <row r="4488" spans="3:20">
      <c r="C4488" s="232"/>
      <c r="E4488" s="232"/>
      <c r="G4488" s="232"/>
      <c r="I4488" s="232"/>
      <c r="K4488" s="232"/>
      <c r="M4488" s="232"/>
      <c r="P4488" s="232"/>
      <c r="R4488" s="232"/>
      <c r="T4488" s="232"/>
    </row>
    <row r="4489" spans="3:20">
      <c r="C4489" s="232"/>
      <c r="E4489" s="232"/>
      <c r="G4489" s="232"/>
      <c r="I4489" s="232"/>
      <c r="K4489" s="232"/>
      <c r="M4489" s="232"/>
      <c r="P4489" s="232"/>
      <c r="R4489" s="232"/>
      <c r="T4489" s="232"/>
    </row>
    <row r="4490" spans="3:20">
      <c r="C4490" s="232"/>
      <c r="E4490" s="232"/>
      <c r="G4490" s="232"/>
      <c r="I4490" s="232"/>
      <c r="K4490" s="232"/>
      <c r="M4490" s="232"/>
      <c r="P4490" s="232"/>
      <c r="R4490" s="232"/>
      <c r="T4490" s="232"/>
    </row>
    <row r="4491" spans="3:20">
      <c r="C4491" s="232"/>
      <c r="E4491" s="232"/>
      <c r="G4491" s="232"/>
      <c r="I4491" s="232"/>
      <c r="K4491" s="232"/>
      <c r="M4491" s="232"/>
      <c r="P4491" s="232"/>
      <c r="R4491" s="232"/>
      <c r="T4491" s="232"/>
    </row>
    <row r="4492" spans="3:20">
      <c r="C4492" s="232"/>
      <c r="E4492" s="232"/>
      <c r="G4492" s="232"/>
      <c r="I4492" s="232"/>
      <c r="K4492" s="232"/>
      <c r="M4492" s="232"/>
      <c r="P4492" s="232"/>
      <c r="R4492" s="232"/>
      <c r="T4492" s="232"/>
    </row>
    <row r="4493" spans="3:20">
      <c r="C4493" s="232"/>
      <c r="E4493" s="232"/>
      <c r="G4493" s="232"/>
      <c r="I4493" s="232"/>
      <c r="K4493" s="232"/>
      <c r="M4493" s="232"/>
      <c r="P4493" s="232"/>
      <c r="R4493" s="232"/>
      <c r="T4493" s="232"/>
    </row>
    <row r="4494" spans="3:20">
      <c r="C4494" s="232"/>
      <c r="E4494" s="232"/>
      <c r="G4494" s="232"/>
      <c r="I4494" s="232"/>
      <c r="K4494" s="232"/>
      <c r="M4494" s="232"/>
      <c r="P4494" s="232"/>
      <c r="R4494" s="232"/>
      <c r="T4494" s="232"/>
    </row>
    <row r="4495" spans="3:20">
      <c r="C4495" s="232"/>
      <c r="E4495" s="232"/>
      <c r="G4495" s="232"/>
      <c r="I4495" s="232"/>
      <c r="K4495" s="232"/>
      <c r="M4495" s="232"/>
      <c r="P4495" s="232"/>
      <c r="R4495" s="232"/>
      <c r="T4495" s="232"/>
    </row>
    <row r="4496" spans="3:20">
      <c r="C4496" s="232"/>
      <c r="E4496" s="232"/>
      <c r="G4496" s="232"/>
      <c r="I4496" s="232"/>
      <c r="K4496" s="232"/>
      <c r="M4496" s="232"/>
      <c r="P4496" s="232"/>
      <c r="R4496" s="232"/>
      <c r="T4496" s="232"/>
    </row>
    <row r="4497" spans="3:20">
      <c r="C4497" s="232"/>
      <c r="E4497" s="232"/>
      <c r="G4497" s="232"/>
      <c r="I4497" s="232"/>
      <c r="K4497" s="232"/>
      <c r="M4497" s="232"/>
      <c r="P4497" s="232"/>
      <c r="R4497" s="232"/>
      <c r="T4497" s="232"/>
    </row>
    <row r="4498" spans="3:20">
      <c r="C4498" s="232"/>
      <c r="E4498" s="232"/>
      <c r="G4498" s="232"/>
      <c r="I4498" s="232"/>
      <c r="K4498" s="232"/>
      <c r="M4498" s="232"/>
      <c r="P4498" s="232"/>
      <c r="R4498" s="232"/>
      <c r="T4498" s="232"/>
    </row>
    <row r="4499" spans="3:20">
      <c r="C4499" s="232"/>
      <c r="E4499" s="232"/>
      <c r="G4499" s="232"/>
      <c r="I4499" s="232"/>
      <c r="K4499" s="232"/>
      <c r="M4499" s="232"/>
      <c r="P4499" s="232"/>
      <c r="R4499" s="232"/>
      <c r="T4499" s="232"/>
    </row>
    <row r="4500" spans="3:20">
      <c r="C4500" s="232"/>
      <c r="E4500" s="232"/>
      <c r="G4500" s="232"/>
      <c r="I4500" s="232"/>
      <c r="K4500" s="232"/>
      <c r="M4500" s="232"/>
      <c r="P4500" s="232"/>
      <c r="R4500" s="232"/>
      <c r="T4500" s="232"/>
    </row>
    <row r="4501" spans="3:20">
      <c r="C4501" s="232"/>
      <c r="E4501" s="232"/>
      <c r="G4501" s="232"/>
      <c r="I4501" s="232"/>
      <c r="K4501" s="232"/>
      <c r="M4501" s="232"/>
      <c r="P4501" s="232"/>
      <c r="R4501" s="232"/>
      <c r="T4501" s="232"/>
    </row>
    <row r="4502" spans="3:20">
      <c r="C4502" s="232"/>
      <c r="E4502" s="232"/>
      <c r="G4502" s="232"/>
      <c r="I4502" s="232"/>
      <c r="K4502" s="232"/>
      <c r="M4502" s="232"/>
      <c r="P4502" s="232"/>
      <c r="R4502" s="232"/>
      <c r="T4502" s="232"/>
    </row>
    <row r="4503" spans="3:20">
      <c r="C4503" s="232"/>
      <c r="E4503" s="232"/>
      <c r="G4503" s="232"/>
      <c r="I4503" s="232"/>
      <c r="K4503" s="232"/>
      <c r="M4503" s="232"/>
      <c r="P4503" s="232"/>
      <c r="R4503" s="232"/>
      <c r="T4503" s="232"/>
    </row>
    <row r="4504" spans="3:20">
      <c r="C4504" s="232"/>
      <c r="E4504" s="232"/>
      <c r="G4504" s="232"/>
      <c r="I4504" s="232"/>
      <c r="K4504" s="232"/>
      <c r="M4504" s="232"/>
      <c r="P4504" s="232"/>
      <c r="R4504" s="232"/>
      <c r="T4504" s="232"/>
    </row>
    <row r="4505" spans="3:20">
      <c r="C4505" s="232"/>
      <c r="E4505" s="232"/>
      <c r="G4505" s="232"/>
      <c r="I4505" s="232"/>
      <c r="K4505" s="232"/>
      <c r="M4505" s="232"/>
      <c r="P4505" s="232"/>
      <c r="R4505" s="232"/>
      <c r="T4505" s="232"/>
    </row>
    <row r="4506" spans="3:20">
      <c r="C4506" s="232"/>
      <c r="E4506" s="232"/>
      <c r="G4506" s="232"/>
      <c r="I4506" s="232"/>
      <c r="K4506" s="232"/>
      <c r="M4506" s="232"/>
      <c r="P4506" s="232"/>
      <c r="R4506" s="232"/>
      <c r="T4506" s="232"/>
    </row>
    <row r="4507" spans="3:20">
      <c r="C4507" s="232"/>
      <c r="E4507" s="232"/>
      <c r="G4507" s="232"/>
      <c r="I4507" s="232"/>
      <c r="K4507" s="232"/>
      <c r="M4507" s="232"/>
      <c r="P4507" s="232"/>
      <c r="R4507" s="232"/>
      <c r="T4507" s="232"/>
    </row>
    <row r="4508" spans="3:20">
      <c r="C4508" s="232"/>
      <c r="E4508" s="232"/>
      <c r="G4508" s="232"/>
      <c r="I4508" s="232"/>
      <c r="K4508" s="232"/>
      <c r="M4508" s="232"/>
      <c r="P4508" s="232"/>
      <c r="R4508" s="232"/>
      <c r="T4508" s="232"/>
    </row>
    <row r="4509" spans="3:20">
      <c r="C4509" s="232"/>
      <c r="E4509" s="232"/>
      <c r="G4509" s="232"/>
      <c r="I4509" s="232"/>
      <c r="K4509" s="232"/>
      <c r="M4509" s="232"/>
      <c r="P4509" s="232"/>
      <c r="R4509" s="232"/>
      <c r="T4509" s="232"/>
    </row>
    <row r="4510" spans="3:20">
      <c r="C4510" s="232"/>
      <c r="E4510" s="232"/>
      <c r="G4510" s="232"/>
      <c r="I4510" s="232"/>
      <c r="K4510" s="232"/>
      <c r="M4510" s="232"/>
      <c r="P4510" s="232"/>
      <c r="R4510" s="232"/>
      <c r="T4510" s="232"/>
    </row>
    <row r="4511" spans="3:20">
      <c r="C4511" s="232"/>
      <c r="E4511" s="232"/>
      <c r="G4511" s="232"/>
      <c r="I4511" s="232"/>
      <c r="K4511" s="232"/>
      <c r="M4511" s="232"/>
      <c r="P4511" s="232"/>
      <c r="R4511" s="232"/>
      <c r="T4511" s="232"/>
    </row>
    <row r="4512" spans="3:20">
      <c r="C4512" s="232"/>
      <c r="E4512" s="232"/>
      <c r="G4512" s="232"/>
      <c r="I4512" s="232"/>
      <c r="K4512" s="232"/>
      <c r="M4512" s="232"/>
      <c r="P4512" s="232"/>
      <c r="R4512" s="232"/>
      <c r="T4512" s="232"/>
    </row>
    <row r="4513" spans="3:20">
      <c r="C4513" s="232"/>
      <c r="E4513" s="232"/>
      <c r="G4513" s="232"/>
      <c r="I4513" s="232"/>
      <c r="K4513" s="232"/>
      <c r="M4513" s="232"/>
      <c r="P4513" s="232"/>
      <c r="R4513" s="232"/>
      <c r="T4513" s="232"/>
    </row>
    <row r="4514" spans="3:20">
      <c r="C4514" s="232"/>
      <c r="E4514" s="232"/>
      <c r="G4514" s="232"/>
      <c r="I4514" s="232"/>
      <c r="K4514" s="232"/>
      <c r="M4514" s="232"/>
      <c r="P4514" s="232"/>
      <c r="R4514" s="232"/>
      <c r="T4514" s="232"/>
    </row>
    <row r="4515" spans="3:20">
      <c r="C4515" s="232"/>
      <c r="E4515" s="232"/>
      <c r="G4515" s="232"/>
      <c r="I4515" s="232"/>
      <c r="K4515" s="232"/>
      <c r="M4515" s="232"/>
      <c r="P4515" s="232"/>
      <c r="R4515" s="232"/>
      <c r="T4515" s="232"/>
    </row>
    <row r="4516" spans="3:20">
      <c r="C4516" s="232"/>
      <c r="E4516" s="232"/>
      <c r="G4516" s="232"/>
      <c r="I4516" s="232"/>
      <c r="K4516" s="232"/>
      <c r="M4516" s="232"/>
      <c r="P4516" s="232"/>
      <c r="R4516" s="232"/>
      <c r="T4516" s="232"/>
    </row>
    <row r="4517" spans="3:20">
      <c r="C4517" s="232"/>
      <c r="E4517" s="232"/>
      <c r="G4517" s="232"/>
      <c r="I4517" s="232"/>
      <c r="K4517" s="232"/>
      <c r="M4517" s="232"/>
      <c r="P4517" s="232"/>
      <c r="R4517" s="232"/>
      <c r="T4517" s="232"/>
    </row>
    <row r="4518" spans="3:20">
      <c r="C4518" s="232"/>
      <c r="E4518" s="232"/>
      <c r="G4518" s="232"/>
      <c r="I4518" s="232"/>
      <c r="K4518" s="232"/>
      <c r="M4518" s="232"/>
      <c r="P4518" s="232"/>
      <c r="R4518" s="232"/>
      <c r="T4518" s="232"/>
    </row>
    <row r="4519" spans="3:20">
      <c r="C4519" s="232"/>
      <c r="E4519" s="232"/>
      <c r="G4519" s="232"/>
      <c r="I4519" s="232"/>
      <c r="K4519" s="232"/>
      <c r="M4519" s="232"/>
      <c r="P4519" s="232"/>
      <c r="R4519" s="232"/>
      <c r="T4519" s="232"/>
    </row>
    <row r="4520" spans="3:20">
      <c r="C4520" s="232"/>
      <c r="E4520" s="232"/>
      <c r="G4520" s="232"/>
      <c r="I4520" s="232"/>
      <c r="K4520" s="232"/>
      <c r="M4520" s="232"/>
      <c r="P4520" s="232"/>
      <c r="R4520" s="232"/>
      <c r="T4520" s="232"/>
    </row>
    <row r="4521" spans="3:20">
      <c r="C4521" s="232"/>
      <c r="E4521" s="232"/>
      <c r="G4521" s="232"/>
      <c r="I4521" s="232"/>
      <c r="K4521" s="232"/>
      <c r="M4521" s="232"/>
      <c r="P4521" s="232"/>
      <c r="R4521" s="232"/>
      <c r="T4521" s="232"/>
    </row>
    <row r="4522" spans="3:20">
      <c r="C4522" s="232"/>
      <c r="E4522" s="232"/>
      <c r="G4522" s="232"/>
      <c r="I4522" s="232"/>
      <c r="K4522" s="232"/>
      <c r="M4522" s="232"/>
      <c r="P4522" s="232"/>
      <c r="R4522" s="232"/>
      <c r="T4522" s="232"/>
    </row>
    <row r="4523" spans="3:20">
      <c r="C4523" s="232"/>
      <c r="E4523" s="232"/>
      <c r="G4523" s="232"/>
      <c r="I4523" s="232"/>
      <c r="K4523" s="232"/>
      <c r="M4523" s="232"/>
      <c r="P4523" s="232"/>
      <c r="R4523" s="232"/>
      <c r="T4523" s="232"/>
    </row>
    <row r="4524" spans="3:20">
      <c r="C4524" s="232"/>
      <c r="E4524" s="232"/>
      <c r="G4524" s="232"/>
      <c r="I4524" s="232"/>
      <c r="K4524" s="232"/>
      <c r="M4524" s="232"/>
      <c r="P4524" s="232"/>
      <c r="R4524" s="232"/>
      <c r="T4524" s="232"/>
    </row>
    <row r="4525" spans="3:20">
      <c r="C4525" s="232"/>
      <c r="E4525" s="232"/>
      <c r="G4525" s="232"/>
      <c r="I4525" s="232"/>
      <c r="K4525" s="232"/>
      <c r="M4525" s="232"/>
      <c r="P4525" s="232"/>
      <c r="R4525" s="232"/>
      <c r="T4525" s="232"/>
    </row>
    <row r="4526" spans="3:20">
      <c r="C4526" s="232"/>
      <c r="E4526" s="232"/>
      <c r="G4526" s="232"/>
      <c r="I4526" s="232"/>
      <c r="K4526" s="232"/>
      <c r="M4526" s="232"/>
      <c r="P4526" s="232"/>
      <c r="R4526" s="232"/>
      <c r="T4526" s="232"/>
    </row>
    <row r="4527" spans="3:20">
      <c r="C4527" s="232"/>
      <c r="E4527" s="232"/>
      <c r="G4527" s="232"/>
      <c r="I4527" s="232"/>
      <c r="K4527" s="232"/>
      <c r="M4527" s="232"/>
      <c r="P4527" s="232"/>
      <c r="R4527" s="232"/>
      <c r="T4527" s="232"/>
    </row>
    <row r="4528" spans="3:20">
      <c r="C4528" s="232"/>
      <c r="E4528" s="232"/>
      <c r="G4528" s="232"/>
      <c r="I4528" s="232"/>
      <c r="K4528" s="232"/>
      <c r="M4528" s="232"/>
      <c r="P4528" s="232"/>
      <c r="R4528" s="232"/>
      <c r="T4528" s="232"/>
    </row>
    <row r="4529" spans="3:20">
      <c r="C4529" s="232"/>
      <c r="E4529" s="232"/>
      <c r="G4529" s="232"/>
      <c r="I4529" s="232"/>
      <c r="K4529" s="232"/>
      <c r="M4529" s="232"/>
      <c r="P4529" s="232"/>
      <c r="R4529" s="232"/>
      <c r="T4529" s="232"/>
    </row>
    <row r="4530" spans="3:20">
      <c r="C4530" s="232"/>
      <c r="E4530" s="232"/>
      <c r="G4530" s="232"/>
      <c r="I4530" s="232"/>
      <c r="K4530" s="232"/>
      <c r="M4530" s="232"/>
      <c r="P4530" s="232"/>
      <c r="R4530" s="232"/>
      <c r="T4530" s="232"/>
    </row>
    <row r="4531" spans="3:20">
      <c r="C4531" s="232"/>
      <c r="E4531" s="232"/>
      <c r="G4531" s="232"/>
      <c r="I4531" s="232"/>
      <c r="K4531" s="232"/>
      <c r="M4531" s="232"/>
      <c r="P4531" s="232"/>
      <c r="R4531" s="232"/>
      <c r="T4531" s="232"/>
    </row>
    <row r="4532" spans="3:20">
      <c r="C4532" s="232"/>
      <c r="E4532" s="232"/>
      <c r="G4532" s="232"/>
      <c r="I4532" s="232"/>
      <c r="K4532" s="232"/>
      <c r="M4532" s="232"/>
      <c r="P4532" s="232"/>
      <c r="R4532" s="232"/>
      <c r="T4532" s="232"/>
    </row>
    <row r="4533" spans="3:20">
      <c r="C4533" s="232"/>
      <c r="E4533" s="232"/>
      <c r="G4533" s="232"/>
      <c r="I4533" s="232"/>
      <c r="K4533" s="232"/>
      <c r="M4533" s="232"/>
      <c r="P4533" s="232"/>
      <c r="R4533" s="232"/>
      <c r="T4533" s="232"/>
    </row>
    <row r="4534" spans="3:20">
      <c r="C4534" s="232"/>
      <c r="E4534" s="232"/>
      <c r="G4534" s="232"/>
      <c r="I4534" s="232"/>
      <c r="K4534" s="232"/>
      <c r="M4534" s="232"/>
      <c r="P4534" s="232"/>
      <c r="R4534" s="232"/>
      <c r="T4534" s="232"/>
    </row>
    <row r="4535" spans="3:20">
      <c r="C4535" s="232"/>
      <c r="E4535" s="232"/>
      <c r="G4535" s="232"/>
      <c r="I4535" s="232"/>
      <c r="K4535" s="232"/>
      <c r="M4535" s="232"/>
      <c r="P4535" s="232"/>
      <c r="R4535" s="232"/>
      <c r="T4535" s="232"/>
    </row>
    <row r="4536" spans="3:20">
      <c r="C4536" s="232"/>
      <c r="E4536" s="232"/>
      <c r="G4536" s="232"/>
      <c r="I4536" s="232"/>
      <c r="K4536" s="232"/>
      <c r="M4536" s="232"/>
      <c r="P4536" s="232"/>
      <c r="R4536" s="232"/>
      <c r="T4536" s="232"/>
    </row>
    <row r="4537" spans="3:20">
      <c r="C4537" s="232"/>
      <c r="E4537" s="232"/>
      <c r="G4537" s="232"/>
      <c r="I4537" s="232"/>
      <c r="K4537" s="232"/>
      <c r="M4537" s="232"/>
      <c r="P4537" s="232"/>
      <c r="R4537" s="232"/>
      <c r="T4537" s="232"/>
    </row>
    <row r="4538" spans="3:20">
      <c r="C4538" s="232"/>
      <c r="E4538" s="232"/>
      <c r="G4538" s="232"/>
      <c r="I4538" s="232"/>
      <c r="K4538" s="232"/>
      <c r="M4538" s="232"/>
      <c r="P4538" s="232"/>
      <c r="R4538" s="232"/>
      <c r="T4538" s="232"/>
    </row>
    <row r="4539" spans="3:20">
      <c r="C4539" s="232"/>
      <c r="E4539" s="232"/>
      <c r="G4539" s="232"/>
      <c r="I4539" s="232"/>
      <c r="K4539" s="232"/>
      <c r="M4539" s="232"/>
      <c r="P4539" s="232"/>
      <c r="R4539" s="232"/>
      <c r="T4539" s="232"/>
    </row>
    <row r="4540" spans="3:20">
      <c r="C4540" s="232"/>
      <c r="E4540" s="232"/>
      <c r="G4540" s="232"/>
      <c r="I4540" s="232"/>
      <c r="K4540" s="232"/>
      <c r="M4540" s="232"/>
      <c r="P4540" s="232"/>
      <c r="R4540" s="232"/>
      <c r="T4540" s="232"/>
    </row>
    <row r="4541" spans="3:20">
      <c r="C4541" s="232"/>
      <c r="E4541" s="232"/>
      <c r="G4541" s="232"/>
      <c r="I4541" s="232"/>
      <c r="K4541" s="232"/>
      <c r="M4541" s="232"/>
      <c r="P4541" s="232"/>
      <c r="R4541" s="232"/>
      <c r="T4541" s="232"/>
    </row>
    <row r="4542" spans="3:20">
      <c r="C4542" s="232"/>
      <c r="E4542" s="232"/>
      <c r="G4542" s="232"/>
      <c r="I4542" s="232"/>
      <c r="K4542" s="232"/>
      <c r="M4542" s="232"/>
      <c r="P4542" s="232"/>
      <c r="R4542" s="232"/>
      <c r="T4542" s="232"/>
    </row>
    <row r="4543" spans="3:20">
      <c r="C4543" s="232"/>
      <c r="E4543" s="232"/>
      <c r="G4543" s="232"/>
      <c r="I4543" s="232"/>
      <c r="K4543" s="232"/>
      <c r="M4543" s="232"/>
      <c r="P4543" s="232"/>
      <c r="R4543" s="232"/>
      <c r="T4543" s="232"/>
    </row>
    <row r="4544" spans="3:20">
      <c r="C4544" s="232"/>
      <c r="E4544" s="232"/>
      <c r="G4544" s="232"/>
      <c r="I4544" s="232"/>
      <c r="K4544" s="232"/>
      <c r="M4544" s="232"/>
      <c r="P4544" s="232"/>
      <c r="R4544" s="232"/>
      <c r="T4544" s="232"/>
    </row>
    <row r="4545" spans="3:20">
      <c r="C4545" s="232"/>
      <c r="E4545" s="232"/>
      <c r="G4545" s="232"/>
      <c r="I4545" s="232"/>
      <c r="K4545" s="232"/>
      <c r="M4545" s="232"/>
      <c r="P4545" s="232"/>
      <c r="R4545" s="232"/>
      <c r="T4545" s="232"/>
    </row>
    <row r="4546" spans="3:20">
      <c r="C4546" s="232"/>
      <c r="E4546" s="232"/>
      <c r="G4546" s="232"/>
      <c r="I4546" s="232"/>
      <c r="K4546" s="232"/>
      <c r="M4546" s="232"/>
      <c r="P4546" s="232"/>
      <c r="R4546" s="232"/>
      <c r="T4546" s="232"/>
    </row>
    <row r="4547" spans="3:20">
      <c r="C4547" s="232"/>
      <c r="E4547" s="232"/>
      <c r="G4547" s="232"/>
      <c r="I4547" s="232"/>
      <c r="K4547" s="232"/>
      <c r="M4547" s="232"/>
      <c r="P4547" s="232"/>
      <c r="R4547" s="232"/>
      <c r="T4547" s="232"/>
    </row>
    <row r="4548" spans="3:20">
      <c r="C4548" s="232"/>
      <c r="E4548" s="232"/>
      <c r="G4548" s="232"/>
      <c r="I4548" s="232"/>
      <c r="K4548" s="232"/>
      <c r="M4548" s="232"/>
      <c r="P4548" s="232"/>
      <c r="R4548" s="232"/>
      <c r="T4548" s="232"/>
    </row>
    <row r="4549" spans="3:20">
      <c r="C4549" s="232"/>
      <c r="E4549" s="232"/>
      <c r="G4549" s="232"/>
      <c r="I4549" s="232"/>
      <c r="K4549" s="232"/>
      <c r="M4549" s="232"/>
      <c r="P4549" s="232"/>
      <c r="R4549" s="232"/>
      <c r="T4549" s="232"/>
    </row>
    <row r="4550" spans="3:20">
      <c r="C4550" s="232"/>
      <c r="E4550" s="232"/>
      <c r="G4550" s="232"/>
      <c r="I4550" s="232"/>
      <c r="K4550" s="232"/>
      <c r="M4550" s="232"/>
      <c r="P4550" s="232"/>
      <c r="R4550" s="232"/>
      <c r="T4550" s="232"/>
    </row>
    <row r="4551" spans="3:20">
      <c r="C4551" s="232"/>
      <c r="E4551" s="232"/>
      <c r="G4551" s="232"/>
      <c r="I4551" s="232"/>
      <c r="K4551" s="232"/>
      <c r="M4551" s="232"/>
      <c r="P4551" s="232"/>
      <c r="R4551" s="232"/>
      <c r="T4551" s="232"/>
    </row>
    <row r="4552" spans="3:20">
      <c r="C4552" s="232"/>
      <c r="E4552" s="232"/>
      <c r="G4552" s="232"/>
      <c r="I4552" s="232"/>
      <c r="K4552" s="232"/>
      <c r="M4552" s="232"/>
      <c r="P4552" s="232"/>
      <c r="R4552" s="232"/>
      <c r="T4552" s="232"/>
    </row>
    <row r="4553" spans="3:20">
      <c r="C4553" s="232"/>
      <c r="E4553" s="232"/>
      <c r="G4553" s="232"/>
      <c r="I4553" s="232"/>
      <c r="K4553" s="232"/>
      <c r="M4553" s="232"/>
      <c r="P4553" s="232"/>
      <c r="R4553" s="232"/>
      <c r="T4553" s="232"/>
    </row>
    <row r="4554" spans="3:20">
      <c r="C4554" s="232"/>
      <c r="E4554" s="232"/>
      <c r="G4554" s="232"/>
      <c r="I4554" s="232"/>
      <c r="K4554" s="232"/>
      <c r="M4554" s="232"/>
      <c r="P4554" s="232"/>
      <c r="R4554" s="232"/>
      <c r="T4554" s="232"/>
    </row>
    <row r="4555" spans="3:20">
      <c r="C4555" s="232"/>
      <c r="E4555" s="232"/>
      <c r="G4555" s="232"/>
      <c r="I4555" s="232"/>
      <c r="K4555" s="232"/>
      <c r="M4555" s="232"/>
      <c r="P4555" s="232"/>
      <c r="R4555" s="232"/>
      <c r="T4555" s="232"/>
    </row>
    <row r="4556" spans="3:20">
      <c r="C4556" s="232"/>
      <c r="E4556" s="232"/>
      <c r="G4556" s="232"/>
      <c r="I4556" s="232"/>
      <c r="K4556" s="232"/>
      <c r="M4556" s="232"/>
      <c r="P4556" s="232"/>
      <c r="R4556" s="232"/>
      <c r="T4556" s="232"/>
    </row>
    <row r="4557" spans="3:20">
      <c r="C4557" s="232"/>
      <c r="E4557" s="232"/>
      <c r="G4557" s="232"/>
      <c r="I4557" s="232"/>
      <c r="K4557" s="232"/>
      <c r="M4557" s="232"/>
      <c r="P4557" s="232"/>
      <c r="R4557" s="232"/>
      <c r="T4557" s="232"/>
    </row>
    <row r="4558" spans="3:20">
      <c r="C4558" s="232"/>
      <c r="E4558" s="232"/>
      <c r="G4558" s="232"/>
      <c r="I4558" s="232"/>
      <c r="K4558" s="232"/>
      <c r="M4558" s="232"/>
      <c r="P4558" s="232"/>
      <c r="R4558" s="232"/>
      <c r="T4558" s="232"/>
    </row>
    <row r="4559" spans="3:20">
      <c r="C4559" s="232"/>
      <c r="E4559" s="232"/>
      <c r="G4559" s="232"/>
      <c r="I4559" s="232"/>
      <c r="K4559" s="232"/>
      <c r="M4559" s="232"/>
      <c r="P4559" s="232"/>
      <c r="R4559" s="232"/>
      <c r="T4559" s="232"/>
    </row>
    <row r="4560" spans="3:20">
      <c r="C4560" s="232"/>
      <c r="E4560" s="232"/>
      <c r="G4560" s="232"/>
      <c r="I4560" s="232"/>
      <c r="K4560" s="232"/>
      <c r="M4560" s="232"/>
      <c r="P4560" s="232"/>
      <c r="R4560" s="232"/>
      <c r="T4560" s="232"/>
    </row>
    <row r="4561" spans="3:20">
      <c r="C4561" s="232"/>
      <c r="E4561" s="232"/>
      <c r="G4561" s="232"/>
      <c r="I4561" s="232"/>
      <c r="K4561" s="232"/>
      <c r="M4561" s="232"/>
      <c r="P4561" s="232"/>
      <c r="R4561" s="232"/>
      <c r="T4561" s="232"/>
    </row>
    <row r="4562" spans="3:20">
      <c r="C4562" s="232"/>
      <c r="E4562" s="232"/>
      <c r="G4562" s="232"/>
      <c r="I4562" s="232"/>
      <c r="K4562" s="232"/>
      <c r="M4562" s="232"/>
      <c r="P4562" s="232"/>
      <c r="R4562" s="232"/>
      <c r="T4562" s="232"/>
    </row>
    <row r="4563" spans="3:20">
      <c r="C4563" s="232"/>
      <c r="E4563" s="232"/>
      <c r="G4563" s="232"/>
      <c r="I4563" s="232"/>
      <c r="K4563" s="232"/>
      <c r="M4563" s="232"/>
      <c r="P4563" s="232"/>
      <c r="R4563" s="232"/>
      <c r="T4563" s="232"/>
    </row>
    <row r="4564" spans="3:20">
      <c r="C4564" s="232"/>
      <c r="E4564" s="232"/>
      <c r="G4564" s="232"/>
      <c r="I4564" s="232"/>
      <c r="K4564" s="232"/>
      <c r="M4564" s="232"/>
      <c r="P4564" s="232"/>
      <c r="R4564" s="232"/>
      <c r="T4564" s="232"/>
    </row>
    <row r="4565" spans="3:20">
      <c r="C4565" s="232"/>
      <c r="E4565" s="232"/>
      <c r="G4565" s="232"/>
      <c r="I4565" s="232"/>
      <c r="K4565" s="232"/>
      <c r="M4565" s="232"/>
      <c r="P4565" s="232"/>
      <c r="R4565" s="232"/>
      <c r="T4565" s="232"/>
    </row>
    <row r="4566" spans="3:20">
      <c r="C4566" s="232"/>
      <c r="E4566" s="232"/>
      <c r="G4566" s="232"/>
      <c r="I4566" s="232"/>
      <c r="K4566" s="232"/>
      <c r="M4566" s="232"/>
      <c r="P4566" s="232"/>
      <c r="R4566" s="232"/>
      <c r="T4566" s="232"/>
    </row>
    <row r="4567" spans="3:20">
      <c r="C4567" s="232"/>
      <c r="E4567" s="232"/>
      <c r="G4567" s="232"/>
      <c r="I4567" s="232"/>
      <c r="K4567" s="232"/>
      <c r="M4567" s="232"/>
      <c r="P4567" s="232"/>
      <c r="R4567" s="232"/>
      <c r="T4567" s="232"/>
    </row>
    <row r="4568" spans="3:20">
      <c r="C4568" s="232"/>
      <c r="E4568" s="232"/>
      <c r="G4568" s="232"/>
      <c r="I4568" s="232"/>
      <c r="K4568" s="232"/>
      <c r="M4568" s="232"/>
      <c r="P4568" s="232"/>
      <c r="R4568" s="232"/>
      <c r="T4568" s="232"/>
    </row>
    <row r="4569" spans="3:20">
      <c r="C4569" s="232"/>
      <c r="E4569" s="232"/>
      <c r="G4569" s="232"/>
      <c r="I4569" s="232"/>
      <c r="K4569" s="232"/>
      <c r="M4569" s="232"/>
      <c r="P4569" s="232"/>
      <c r="R4569" s="232"/>
      <c r="T4569" s="232"/>
    </row>
    <row r="4570" spans="3:20">
      <c r="C4570" s="232"/>
      <c r="E4570" s="232"/>
      <c r="G4570" s="232"/>
      <c r="I4570" s="232"/>
      <c r="K4570" s="232"/>
      <c r="M4570" s="232"/>
      <c r="P4570" s="232"/>
      <c r="R4570" s="232"/>
      <c r="T4570" s="232"/>
    </row>
    <row r="4571" spans="3:20">
      <c r="C4571" s="232"/>
      <c r="E4571" s="232"/>
      <c r="G4571" s="232"/>
      <c r="I4571" s="232"/>
      <c r="K4571" s="232"/>
      <c r="M4571" s="232"/>
      <c r="P4571" s="232"/>
      <c r="R4571" s="232"/>
      <c r="T4571" s="232"/>
    </row>
    <row r="4572" spans="3:20">
      <c r="C4572" s="232"/>
      <c r="E4572" s="232"/>
      <c r="G4572" s="232"/>
      <c r="I4572" s="232"/>
      <c r="K4572" s="232"/>
      <c r="M4572" s="232"/>
      <c r="P4572" s="232"/>
      <c r="R4572" s="232"/>
      <c r="T4572" s="232"/>
    </row>
    <row r="4573" spans="3:20">
      <c r="C4573" s="232"/>
      <c r="E4573" s="232"/>
      <c r="G4573" s="232"/>
      <c r="I4573" s="232"/>
      <c r="K4573" s="232"/>
      <c r="M4573" s="232"/>
      <c r="P4573" s="232"/>
      <c r="R4573" s="232"/>
      <c r="T4573" s="232"/>
    </row>
    <row r="4574" spans="3:20">
      <c r="C4574" s="232"/>
      <c r="E4574" s="232"/>
      <c r="G4574" s="232"/>
      <c r="I4574" s="232"/>
      <c r="K4574" s="232"/>
      <c r="M4574" s="232"/>
      <c r="P4574" s="232"/>
      <c r="R4574" s="232"/>
      <c r="T4574" s="232"/>
    </row>
    <row r="4575" spans="3:20">
      <c r="C4575" s="232"/>
      <c r="E4575" s="232"/>
      <c r="G4575" s="232"/>
      <c r="I4575" s="232"/>
      <c r="K4575" s="232"/>
      <c r="M4575" s="232"/>
      <c r="P4575" s="232"/>
      <c r="R4575" s="232"/>
      <c r="T4575" s="232"/>
    </row>
    <row r="4576" spans="3:20">
      <c r="C4576" s="232"/>
      <c r="E4576" s="232"/>
      <c r="G4576" s="232"/>
      <c r="I4576" s="232"/>
      <c r="K4576" s="232"/>
      <c r="M4576" s="232"/>
      <c r="P4576" s="232"/>
      <c r="R4576" s="232"/>
      <c r="T4576" s="232"/>
    </row>
    <row r="4577" spans="3:20">
      <c r="C4577" s="232"/>
      <c r="E4577" s="232"/>
      <c r="G4577" s="232"/>
      <c r="I4577" s="232"/>
      <c r="K4577" s="232"/>
      <c r="M4577" s="232"/>
      <c r="P4577" s="232"/>
      <c r="R4577" s="232"/>
      <c r="T4577" s="232"/>
    </row>
    <row r="4578" spans="3:20">
      <c r="C4578" s="232"/>
      <c r="E4578" s="232"/>
      <c r="G4578" s="232"/>
      <c r="I4578" s="232"/>
      <c r="K4578" s="232"/>
      <c r="M4578" s="232"/>
      <c r="P4578" s="232"/>
      <c r="R4578" s="232"/>
      <c r="T4578" s="232"/>
    </row>
    <row r="4579" spans="3:20">
      <c r="C4579" s="232"/>
      <c r="E4579" s="232"/>
      <c r="G4579" s="232"/>
      <c r="I4579" s="232"/>
      <c r="K4579" s="232"/>
      <c r="M4579" s="232"/>
      <c r="P4579" s="232"/>
      <c r="R4579" s="232"/>
      <c r="T4579" s="232"/>
    </row>
    <row r="4580" spans="3:20">
      <c r="C4580" s="232"/>
      <c r="E4580" s="232"/>
      <c r="G4580" s="232"/>
      <c r="I4580" s="232"/>
      <c r="K4580" s="232"/>
      <c r="M4580" s="232"/>
      <c r="P4580" s="232"/>
      <c r="R4580" s="232"/>
      <c r="T4580" s="232"/>
    </row>
    <row r="4581" spans="3:20">
      <c r="C4581" s="232"/>
      <c r="E4581" s="232"/>
      <c r="G4581" s="232"/>
      <c r="I4581" s="232"/>
      <c r="K4581" s="232"/>
      <c r="M4581" s="232"/>
      <c r="P4581" s="232"/>
      <c r="R4581" s="232"/>
      <c r="T4581" s="232"/>
    </row>
    <row r="4582" spans="3:20">
      <c r="C4582" s="232"/>
      <c r="E4582" s="232"/>
      <c r="G4582" s="232"/>
      <c r="I4582" s="232"/>
      <c r="K4582" s="232"/>
      <c r="M4582" s="232"/>
      <c r="P4582" s="232"/>
      <c r="R4582" s="232"/>
      <c r="T4582" s="232"/>
    </row>
    <row r="4583" spans="3:20">
      <c r="C4583" s="232"/>
      <c r="E4583" s="232"/>
      <c r="G4583" s="232"/>
      <c r="I4583" s="232"/>
      <c r="K4583" s="232"/>
      <c r="M4583" s="232"/>
      <c r="P4583" s="232"/>
      <c r="R4583" s="232"/>
      <c r="T4583" s="232"/>
    </row>
    <row r="4584" spans="3:20">
      <c r="C4584" s="232"/>
      <c r="E4584" s="232"/>
      <c r="G4584" s="232"/>
      <c r="I4584" s="232"/>
      <c r="K4584" s="232"/>
      <c r="M4584" s="232"/>
      <c r="P4584" s="232"/>
      <c r="R4584" s="232"/>
      <c r="T4584" s="232"/>
    </row>
    <row r="4585" spans="3:20">
      <c r="C4585" s="232"/>
      <c r="E4585" s="232"/>
      <c r="G4585" s="232"/>
      <c r="I4585" s="232"/>
      <c r="K4585" s="232"/>
      <c r="M4585" s="232"/>
      <c r="P4585" s="232"/>
      <c r="R4585" s="232"/>
      <c r="T4585" s="232"/>
    </row>
    <row r="4586" spans="3:20">
      <c r="C4586" s="232"/>
      <c r="E4586" s="232"/>
      <c r="G4586" s="232"/>
      <c r="I4586" s="232"/>
      <c r="K4586" s="232"/>
      <c r="M4586" s="232"/>
      <c r="P4586" s="232"/>
      <c r="R4586" s="232"/>
      <c r="T4586" s="232"/>
    </row>
    <row r="4587" spans="3:20">
      <c r="C4587" s="232"/>
      <c r="E4587" s="232"/>
      <c r="G4587" s="232"/>
      <c r="I4587" s="232"/>
      <c r="K4587" s="232"/>
      <c r="M4587" s="232"/>
      <c r="P4587" s="232"/>
      <c r="R4587" s="232"/>
      <c r="T4587" s="232"/>
    </row>
    <row r="4588" spans="3:20">
      <c r="C4588" s="232"/>
      <c r="E4588" s="232"/>
      <c r="G4588" s="232"/>
      <c r="I4588" s="232"/>
      <c r="K4588" s="232"/>
      <c r="M4588" s="232"/>
      <c r="P4588" s="232"/>
      <c r="R4588" s="232"/>
      <c r="T4588" s="232"/>
    </row>
    <row r="4589" spans="3:20">
      <c r="C4589" s="232"/>
      <c r="E4589" s="232"/>
      <c r="G4589" s="232"/>
      <c r="I4589" s="232"/>
      <c r="K4589" s="232"/>
      <c r="M4589" s="232"/>
      <c r="P4589" s="232"/>
      <c r="R4589" s="232"/>
      <c r="T4589" s="232"/>
    </row>
    <row r="4590" spans="3:20">
      <c r="C4590" s="232"/>
      <c r="E4590" s="232"/>
      <c r="G4590" s="232"/>
      <c r="I4590" s="232"/>
      <c r="K4590" s="232"/>
      <c r="M4590" s="232"/>
      <c r="P4590" s="232"/>
      <c r="R4590" s="232"/>
      <c r="T4590" s="232"/>
    </row>
    <row r="4591" spans="3:20">
      <c r="C4591" s="232"/>
      <c r="E4591" s="232"/>
      <c r="G4591" s="232"/>
      <c r="I4591" s="232"/>
      <c r="K4591" s="232"/>
      <c r="M4591" s="232"/>
      <c r="P4591" s="232"/>
      <c r="R4591" s="232"/>
      <c r="T4591" s="232"/>
    </row>
    <row r="4592" spans="3:20">
      <c r="C4592" s="232"/>
      <c r="E4592" s="232"/>
      <c r="G4592" s="232"/>
      <c r="I4592" s="232"/>
      <c r="K4592" s="232"/>
      <c r="M4592" s="232"/>
      <c r="P4592" s="232"/>
      <c r="R4592" s="232"/>
      <c r="T4592" s="232"/>
    </row>
    <row r="4593" spans="3:20">
      <c r="C4593" s="232"/>
      <c r="E4593" s="232"/>
      <c r="G4593" s="232"/>
      <c r="I4593" s="232"/>
      <c r="K4593" s="232"/>
      <c r="M4593" s="232"/>
      <c r="P4593" s="232"/>
      <c r="R4593" s="232"/>
      <c r="T4593" s="232"/>
    </row>
    <row r="4594" spans="3:20">
      <c r="C4594" s="232"/>
      <c r="E4594" s="232"/>
      <c r="G4594" s="232"/>
      <c r="I4594" s="232"/>
      <c r="K4594" s="232"/>
      <c r="M4594" s="232"/>
      <c r="P4594" s="232"/>
      <c r="R4594" s="232"/>
      <c r="T4594" s="232"/>
    </row>
    <row r="4595" spans="3:20">
      <c r="C4595" s="232"/>
      <c r="E4595" s="232"/>
      <c r="G4595" s="232"/>
      <c r="I4595" s="232"/>
      <c r="K4595" s="232"/>
      <c r="M4595" s="232"/>
      <c r="P4595" s="232"/>
      <c r="R4595" s="232"/>
      <c r="T4595" s="232"/>
    </row>
    <row r="4596" spans="3:20">
      <c r="C4596" s="232"/>
      <c r="E4596" s="232"/>
      <c r="G4596" s="232"/>
      <c r="I4596" s="232"/>
      <c r="K4596" s="232"/>
      <c r="M4596" s="232"/>
      <c r="P4596" s="232"/>
      <c r="R4596" s="232"/>
      <c r="T4596" s="232"/>
    </row>
    <row r="4597" spans="3:20">
      <c r="C4597" s="232"/>
      <c r="E4597" s="232"/>
      <c r="G4597" s="232"/>
      <c r="I4597" s="232"/>
      <c r="K4597" s="232"/>
      <c r="M4597" s="232"/>
      <c r="P4597" s="232"/>
      <c r="R4597" s="232"/>
      <c r="T4597" s="232"/>
    </row>
    <row r="4598" spans="3:20">
      <c r="C4598" s="232"/>
      <c r="E4598" s="232"/>
      <c r="G4598" s="232"/>
      <c r="I4598" s="232"/>
      <c r="K4598" s="232"/>
      <c r="M4598" s="232"/>
      <c r="P4598" s="232"/>
      <c r="R4598" s="232"/>
      <c r="T4598" s="232"/>
    </row>
    <row r="4599" spans="3:20">
      <c r="C4599" s="232"/>
      <c r="E4599" s="232"/>
      <c r="G4599" s="232"/>
      <c r="I4599" s="232"/>
      <c r="K4599" s="232"/>
      <c r="M4599" s="232"/>
      <c r="P4599" s="232"/>
      <c r="R4599" s="232"/>
      <c r="T4599" s="232"/>
    </row>
    <row r="4600" spans="3:20">
      <c r="C4600" s="232"/>
      <c r="E4600" s="232"/>
      <c r="G4600" s="232"/>
      <c r="I4600" s="232"/>
      <c r="K4600" s="232"/>
      <c r="M4600" s="232"/>
      <c r="P4600" s="232"/>
      <c r="R4600" s="232"/>
      <c r="T4600" s="232"/>
    </row>
    <row r="4601" spans="3:20">
      <c r="C4601" s="232"/>
      <c r="E4601" s="232"/>
      <c r="G4601" s="232"/>
      <c r="I4601" s="232"/>
      <c r="K4601" s="232"/>
      <c r="M4601" s="232"/>
      <c r="P4601" s="232"/>
      <c r="R4601" s="232"/>
      <c r="T4601" s="232"/>
    </row>
    <row r="4602" spans="3:20">
      <c r="C4602" s="232"/>
      <c r="E4602" s="232"/>
      <c r="G4602" s="232"/>
      <c r="I4602" s="232"/>
      <c r="K4602" s="232"/>
      <c r="M4602" s="232"/>
      <c r="P4602" s="232"/>
      <c r="R4602" s="232"/>
      <c r="T4602" s="232"/>
    </row>
    <row r="4603" spans="3:20">
      <c r="C4603" s="232"/>
      <c r="E4603" s="232"/>
      <c r="G4603" s="232"/>
      <c r="I4603" s="232"/>
      <c r="K4603" s="232"/>
      <c r="M4603" s="232"/>
      <c r="P4603" s="232"/>
      <c r="R4603" s="232"/>
      <c r="T4603" s="232"/>
    </row>
    <row r="4604" spans="3:20">
      <c r="C4604" s="232"/>
      <c r="E4604" s="232"/>
      <c r="G4604" s="232"/>
      <c r="I4604" s="232"/>
      <c r="K4604" s="232"/>
      <c r="M4604" s="232"/>
      <c r="P4604" s="232"/>
      <c r="R4604" s="232"/>
      <c r="T4604" s="232"/>
    </row>
    <row r="4605" spans="3:20">
      <c r="C4605" s="232"/>
      <c r="E4605" s="232"/>
      <c r="G4605" s="232"/>
      <c r="I4605" s="232"/>
      <c r="K4605" s="232"/>
      <c r="M4605" s="232"/>
      <c r="P4605" s="232"/>
      <c r="R4605" s="232"/>
      <c r="T4605" s="232"/>
    </row>
    <row r="4606" spans="3:20">
      <c r="C4606" s="232"/>
      <c r="E4606" s="232"/>
      <c r="G4606" s="232"/>
      <c r="I4606" s="232"/>
      <c r="K4606" s="232"/>
      <c r="M4606" s="232"/>
      <c r="P4606" s="232"/>
      <c r="R4606" s="232"/>
      <c r="T4606" s="232"/>
    </row>
    <row r="4607" spans="3:20">
      <c r="C4607" s="232"/>
      <c r="E4607" s="232"/>
      <c r="G4607" s="232"/>
      <c r="I4607" s="232"/>
      <c r="K4607" s="232"/>
      <c r="M4607" s="232"/>
      <c r="P4607" s="232"/>
      <c r="R4607" s="232"/>
      <c r="T4607" s="232"/>
    </row>
    <row r="4608" spans="3:20">
      <c r="C4608" s="232"/>
      <c r="E4608" s="232"/>
      <c r="G4608" s="232"/>
      <c r="I4608" s="232"/>
      <c r="K4608" s="232"/>
      <c r="M4608" s="232"/>
      <c r="P4608" s="232"/>
      <c r="R4608" s="232"/>
      <c r="T4608" s="232"/>
    </row>
    <row r="4609" spans="3:20">
      <c r="C4609" s="232"/>
      <c r="E4609" s="232"/>
      <c r="G4609" s="232"/>
      <c r="I4609" s="232"/>
      <c r="K4609" s="232"/>
      <c r="M4609" s="232"/>
      <c r="P4609" s="232"/>
      <c r="R4609" s="232"/>
      <c r="T4609" s="232"/>
    </row>
    <row r="4610" spans="3:20">
      <c r="C4610" s="232"/>
      <c r="E4610" s="232"/>
      <c r="G4610" s="232"/>
      <c r="I4610" s="232"/>
      <c r="K4610" s="232"/>
      <c r="M4610" s="232"/>
      <c r="P4610" s="232"/>
      <c r="R4610" s="232"/>
      <c r="T4610" s="232"/>
    </row>
    <row r="4611" spans="3:20">
      <c r="C4611" s="232"/>
      <c r="E4611" s="232"/>
      <c r="G4611" s="232"/>
      <c r="I4611" s="232"/>
      <c r="K4611" s="232"/>
      <c r="M4611" s="232"/>
      <c r="P4611" s="232"/>
      <c r="R4611" s="232"/>
      <c r="T4611" s="232"/>
    </row>
    <row r="4612" spans="3:20">
      <c r="C4612" s="232"/>
      <c r="E4612" s="232"/>
      <c r="G4612" s="232"/>
      <c r="I4612" s="232"/>
      <c r="K4612" s="232"/>
      <c r="M4612" s="232"/>
      <c r="P4612" s="232"/>
      <c r="R4612" s="232"/>
      <c r="T4612" s="232"/>
    </row>
    <row r="4613" spans="3:20">
      <c r="C4613" s="232"/>
      <c r="E4613" s="232"/>
      <c r="G4613" s="232"/>
      <c r="I4613" s="232"/>
      <c r="K4613" s="232"/>
      <c r="M4613" s="232"/>
      <c r="P4613" s="232"/>
      <c r="R4613" s="232"/>
      <c r="T4613" s="232"/>
    </row>
    <row r="4614" spans="3:20">
      <c r="C4614" s="232"/>
      <c r="E4614" s="232"/>
      <c r="G4614" s="232"/>
      <c r="I4614" s="232"/>
      <c r="K4614" s="232"/>
      <c r="M4614" s="232"/>
      <c r="P4614" s="232"/>
      <c r="R4614" s="232"/>
      <c r="T4614" s="232"/>
    </row>
    <row r="4615" spans="3:20">
      <c r="C4615" s="232"/>
      <c r="E4615" s="232"/>
      <c r="G4615" s="232"/>
      <c r="I4615" s="232"/>
      <c r="K4615" s="232"/>
      <c r="M4615" s="232"/>
      <c r="P4615" s="232"/>
      <c r="R4615" s="232"/>
      <c r="T4615" s="232"/>
    </row>
    <row r="4616" spans="3:20">
      <c r="C4616" s="232"/>
      <c r="E4616" s="232"/>
      <c r="G4616" s="232"/>
      <c r="I4616" s="232"/>
      <c r="K4616" s="232"/>
      <c r="M4616" s="232"/>
      <c r="P4616" s="232"/>
      <c r="R4616" s="232"/>
      <c r="T4616" s="232"/>
    </row>
    <row r="4617" spans="3:20">
      <c r="C4617" s="232"/>
      <c r="E4617" s="232"/>
      <c r="G4617" s="232"/>
      <c r="I4617" s="232"/>
      <c r="K4617" s="232"/>
      <c r="M4617" s="232"/>
      <c r="P4617" s="232"/>
      <c r="R4617" s="232"/>
      <c r="T4617" s="232"/>
    </row>
    <row r="4618" spans="3:20">
      <c r="C4618" s="232"/>
      <c r="E4618" s="232"/>
      <c r="G4618" s="232"/>
      <c r="I4618" s="232"/>
      <c r="K4618" s="232"/>
      <c r="M4618" s="232"/>
      <c r="P4618" s="232"/>
      <c r="R4618" s="232"/>
      <c r="T4618" s="232"/>
    </row>
    <row r="4619" spans="3:20">
      <c r="C4619" s="232"/>
      <c r="E4619" s="232"/>
      <c r="G4619" s="232"/>
      <c r="I4619" s="232"/>
      <c r="K4619" s="232"/>
      <c r="M4619" s="232"/>
      <c r="P4619" s="232"/>
      <c r="R4619" s="232"/>
      <c r="T4619" s="232"/>
    </row>
    <row r="4620" spans="3:20">
      <c r="C4620" s="232"/>
      <c r="E4620" s="232"/>
      <c r="G4620" s="232"/>
      <c r="I4620" s="232"/>
      <c r="K4620" s="232"/>
      <c r="M4620" s="232"/>
      <c r="P4620" s="232"/>
      <c r="R4620" s="232"/>
      <c r="T4620" s="232"/>
    </row>
    <row r="4621" spans="3:20">
      <c r="C4621" s="232"/>
      <c r="E4621" s="232"/>
      <c r="G4621" s="232"/>
      <c r="I4621" s="232"/>
      <c r="K4621" s="232"/>
      <c r="M4621" s="232"/>
      <c r="P4621" s="232"/>
      <c r="R4621" s="232"/>
      <c r="T4621" s="232"/>
    </row>
    <row r="4622" spans="3:20">
      <c r="C4622" s="232"/>
      <c r="E4622" s="232"/>
      <c r="G4622" s="232"/>
      <c r="I4622" s="232"/>
      <c r="K4622" s="232"/>
      <c r="M4622" s="232"/>
      <c r="P4622" s="232"/>
      <c r="R4622" s="232"/>
      <c r="T4622" s="232"/>
    </row>
    <row r="4623" spans="3:20">
      <c r="C4623" s="232"/>
      <c r="E4623" s="232"/>
      <c r="G4623" s="232"/>
      <c r="I4623" s="232"/>
      <c r="K4623" s="232"/>
      <c r="M4623" s="232"/>
      <c r="P4623" s="232"/>
      <c r="R4623" s="232"/>
      <c r="T4623" s="232"/>
    </row>
    <row r="4624" spans="3:20">
      <c r="C4624" s="232"/>
      <c r="E4624" s="232"/>
      <c r="G4624" s="232"/>
      <c r="I4624" s="232"/>
      <c r="K4624" s="232"/>
      <c r="M4624" s="232"/>
      <c r="P4624" s="232"/>
      <c r="R4624" s="232"/>
      <c r="T4624" s="232"/>
    </row>
    <row r="4625" spans="3:20">
      <c r="C4625" s="232"/>
      <c r="E4625" s="232"/>
      <c r="G4625" s="232"/>
      <c r="I4625" s="232"/>
      <c r="K4625" s="232"/>
      <c r="M4625" s="232"/>
      <c r="P4625" s="232"/>
      <c r="R4625" s="232"/>
      <c r="T4625" s="232"/>
    </row>
    <row r="4626" spans="3:20">
      <c r="C4626" s="232"/>
      <c r="E4626" s="232"/>
      <c r="G4626" s="232"/>
      <c r="I4626" s="232"/>
      <c r="K4626" s="232"/>
      <c r="M4626" s="232"/>
      <c r="P4626" s="232"/>
      <c r="R4626" s="232"/>
      <c r="T4626" s="232"/>
    </row>
    <row r="4627" spans="3:20">
      <c r="C4627" s="232"/>
      <c r="E4627" s="232"/>
      <c r="G4627" s="232"/>
      <c r="I4627" s="232"/>
      <c r="K4627" s="232"/>
      <c r="M4627" s="232"/>
      <c r="P4627" s="232"/>
      <c r="R4627" s="232"/>
      <c r="T4627" s="232"/>
    </row>
    <row r="4628" spans="3:20">
      <c r="C4628" s="232"/>
      <c r="E4628" s="232"/>
      <c r="G4628" s="232"/>
      <c r="I4628" s="232"/>
      <c r="K4628" s="232"/>
      <c r="M4628" s="232"/>
      <c r="P4628" s="232"/>
      <c r="R4628" s="232"/>
      <c r="T4628" s="232"/>
    </row>
    <row r="4629" spans="3:20">
      <c r="C4629" s="232"/>
      <c r="E4629" s="232"/>
      <c r="G4629" s="232"/>
      <c r="I4629" s="232"/>
      <c r="K4629" s="232"/>
      <c r="M4629" s="232"/>
      <c r="P4629" s="232"/>
      <c r="R4629" s="232"/>
      <c r="T4629" s="232"/>
    </row>
    <row r="4630" spans="3:20">
      <c r="C4630" s="232"/>
      <c r="E4630" s="232"/>
      <c r="G4630" s="232"/>
      <c r="I4630" s="232"/>
      <c r="K4630" s="232"/>
      <c r="M4630" s="232"/>
      <c r="P4630" s="232"/>
      <c r="R4630" s="232"/>
      <c r="T4630" s="232"/>
    </row>
    <row r="4631" spans="3:20">
      <c r="C4631" s="232"/>
      <c r="E4631" s="232"/>
      <c r="G4631" s="232"/>
      <c r="I4631" s="232"/>
      <c r="K4631" s="232"/>
      <c r="M4631" s="232"/>
      <c r="P4631" s="232"/>
      <c r="R4631" s="232"/>
      <c r="T4631" s="232"/>
    </row>
    <row r="4632" spans="3:20">
      <c r="C4632" s="232"/>
      <c r="E4632" s="232"/>
      <c r="G4632" s="232"/>
      <c r="I4632" s="232"/>
      <c r="K4632" s="232"/>
      <c r="M4632" s="232"/>
      <c r="P4632" s="232"/>
      <c r="R4632" s="232"/>
      <c r="T4632" s="232"/>
    </row>
    <row r="4633" spans="3:20">
      <c r="C4633" s="232"/>
      <c r="E4633" s="232"/>
      <c r="G4633" s="232"/>
      <c r="I4633" s="232"/>
      <c r="K4633" s="232"/>
      <c r="M4633" s="232"/>
      <c r="P4633" s="232"/>
      <c r="R4633" s="232"/>
      <c r="T4633" s="232"/>
    </row>
    <row r="4634" spans="3:20">
      <c r="C4634" s="232"/>
      <c r="E4634" s="232"/>
      <c r="G4634" s="232"/>
      <c r="I4634" s="232"/>
      <c r="K4634" s="232"/>
      <c r="M4634" s="232"/>
      <c r="P4634" s="232"/>
      <c r="R4634" s="232"/>
      <c r="T4634" s="232"/>
    </row>
    <row r="4635" spans="3:20">
      <c r="C4635" s="232"/>
      <c r="E4635" s="232"/>
      <c r="G4635" s="232"/>
      <c r="I4635" s="232"/>
      <c r="K4635" s="232"/>
      <c r="M4635" s="232"/>
      <c r="P4635" s="232"/>
      <c r="R4635" s="232"/>
      <c r="T4635" s="232"/>
    </row>
    <row r="4636" spans="3:20">
      <c r="C4636" s="232"/>
      <c r="E4636" s="232"/>
      <c r="G4636" s="232"/>
      <c r="I4636" s="232"/>
      <c r="K4636" s="232"/>
      <c r="M4636" s="232"/>
      <c r="P4636" s="232"/>
      <c r="R4636" s="232"/>
      <c r="T4636" s="232"/>
    </row>
    <row r="4637" spans="3:20">
      <c r="C4637" s="232"/>
      <c r="E4637" s="232"/>
      <c r="G4637" s="232"/>
      <c r="I4637" s="232"/>
      <c r="K4637" s="232"/>
      <c r="M4637" s="232"/>
      <c r="P4637" s="232"/>
      <c r="R4637" s="232"/>
      <c r="T4637" s="232"/>
    </row>
    <row r="4638" spans="3:20">
      <c r="C4638" s="232"/>
      <c r="E4638" s="232"/>
      <c r="G4638" s="232"/>
      <c r="I4638" s="232"/>
      <c r="K4638" s="232"/>
      <c r="M4638" s="232"/>
      <c r="P4638" s="232"/>
      <c r="R4638" s="232"/>
      <c r="T4638" s="232"/>
    </row>
    <row r="4639" spans="3:20">
      <c r="C4639" s="232"/>
      <c r="E4639" s="232"/>
      <c r="G4639" s="232"/>
      <c r="I4639" s="232"/>
      <c r="K4639" s="232"/>
      <c r="M4639" s="232"/>
      <c r="P4639" s="232"/>
      <c r="R4639" s="232"/>
      <c r="T4639" s="232"/>
    </row>
    <row r="4640" spans="3:20">
      <c r="C4640" s="232"/>
      <c r="E4640" s="232"/>
      <c r="G4640" s="232"/>
      <c r="I4640" s="232"/>
      <c r="K4640" s="232"/>
      <c r="M4640" s="232"/>
      <c r="P4640" s="232"/>
      <c r="R4640" s="232"/>
      <c r="T4640" s="232"/>
    </row>
    <row r="4641" spans="3:20">
      <c r="C4641" s="232"/>
      <c r="E4641" s="232"/>
      <c r="G4641" s="232"/>
      <c r="I4641" s="232"/>
      <c r="K4641" s="232"/>
      <c r="M4641" s="232"/>
      <c r="P4641" s="232"/>
      <c r="R4641" s="232"/>
      <c r="T4641" s="232"/>
    </row>
    <row r="4642" spans="3:20">
      <c r="C4642" s="232"/>
      <c r="E4642" s="232"/>
      <c r="G4642" s="232"/>
      <c r="I4642" s="232"/>
      <c r="K4642" s="232"/>
      <c r="M4642" s="232"/>
      <c r="P4642" s="232"/>
      <c r="R4642" s="232"/>
      <c r="T4642" s="232"/>
    </row>
    <row r="4643" spans="3:20">
      <c r="C4643" s="232"/>
      <c r="E4643" s="232"/>
      <c r="G4643" s="232"/>
      <c r="I4643" s="232"/>
      <c r="K4643" s="232"/>
      <c r="M4643" s="232"/>
      <c r="P4643" s="232"/>
      <c r="R4643" s="232"/>
      <c r="T4643" s="232"/>
    </row>
    <row r="4644" spans="3:20">
      <c r="C4644" s="232"/>
      <c r="E4644" s="232"/>
      <c r="G4644" s="232"/>
      <c r="I4644" s="232"/>
      <c r="K4644" s="232"/>
      <c r="M4644" s="232"/>
      <c r="P4644" s="232"/>
      <c r="R4644" s="232"/>
      <c r="T4644" s="232"/>
    </row>
    <row r="4645" spans="3:20">
      <c r="C4645" s="232"/>
      <c r="E4645" s="232"/>
      <c r="G4645" s="232"/>
      <c r="I4645" s="232"/>
      <c r="K4645" s="232"/>
      <c r="M4645" s="232"/>
      <c r="P4645" s="232"/>
      <c r="R4645" s="232"/>
      <c r="T4645" s="232"/>
    </row>
    <row r="4646" spans="3:20">
      <c r="C4646" s="232"/>
      <c r="E4646" s="232"/>
      <c r="G4646" s="232"/>
      <c r="I4646" s="232"/>
      <c r="K4646" s="232"/>
      <c r="M4646" s="232"/>
      <c r="P4646" s="232"/>
      <c r="R4646" s="232"/>
      <c r="T4646" s="232"/>
    </row>
    <row r="4647" spans="3:20">
      <c r="C4647" s="232"/>
      <c r="E4647" s="232"/>
      <c r="G4647" s="232"/>
      <c r="I4647" s="232"/>
      <c r="K4647" s="232"/>
      <c r="M4647" s="232"/>
      <c r="P4647" s="232"/>
      <c r="R4647" s="232"/>
      <c r="T4647" s="232"/>
    </row>
    <row r="4648" spans="3:20">
      <c r="C4648" s="232"/>
      <c r="E4648" s="232"/>
      <c r="G4648" s="232"/>
      <c r="I4648" s="232"/>
      <c r="K4648" s="232"/>
      <c r="M4648" s="232"/>
      <c r="P4648" s="232"/>
      <c r="R4648" s="232"/>
      <c r="T4648" s="232"/>
    </row>
    <row r="4649" spans="3:20">
      <c r="C4649" s="232"/>
      <c r="E4649" s="232"/>
      <c r="G4649" s="232"/>
      <c r="I4649" s="232"/>
      <c r="K4649" s="232"/>
      <c r="M4649" s="232"/>
      <c r="P4649" s="232"/>
      <c r="R4649" s="232"/>
      <c r="T4649" s="232"/>
    </row>
    <row r="4650" spans="3:20">
      <c r="C4650" s="232"/>
      <c r="E4650" s="232"/>
      <c r="G4650" s="232"/>
      <c r="I4650" s="232"/>
      <c r="K4650" s="232"/>
      <c r="M4650" s="232"/>
      <c r="P4650" s="232"/>
      <c r="R4650" s="232"/>
      <c r="T4650" s="232"/>
    </row>
    <row r="4651" spans="3:20">
      <c r="C4651" s="232"/>
      <c r="E4651" s="232"/>
      <c r="G4651" s="232"/>
      <c r="I4651" s="232"/>
      <c r="K4651" s="232"/>
      <c r="M4651" s="232"/>
      <c r="P4651" s="232"/>
      <c r="R4651" s="232"/>
      <c r="T4651" s="232"/>
    </row>
    <row r="4652" spans="3:20">
      <c r="C4652" s="232"/>
      <c r="E4652" s="232"/>
      <c r="G4652" s="232"/>
      <c r="I4652" s="232"/>
      <c r="K4652" s="232"/>
      <c r="M4652" s="232"/>
      <c r="P4652" s="232"/>
      <c r="R4652" s="232"/>
      <c r="T4652" s="232"/>
    </row>
    <row r="4653" spans="3:20">
      <c r="C4653" s="232"/>
      <c r="E4653" s="232"/>
      <c r="G4653" s="232"/>
      <c r="I4653" s="232"/>
      <c r="K4653" s="232"/>
      <c r="M4653" s="232"/>
      <c r="P4653" s="232"/>
      <c r="R4653" s="232"/>
      <c r="T4653" s="232"/>
    </row>
    <row r="4654" spans="3:20">
      <c r="C4654" s="232"/>
      <c r="E4654" s="232"/>
      <c r="G4654" s="232"/>
      <c r="I4654" s="232"/>
      <c r="K4654" s="232"/>
      <c r="M4654" s="232"/>
      <c r="P4654" s="232"/>
      <c r="R4654" s="232"/>
      <c r="T4654" s="232"/>
    </row>
    <row r="4655" spans="3:20">
      <c r="C4655" s="232"/>
      <c r="E4655" s="232"/>
      <c r="G4655" s="232"/>
      <c r="I4655" s="232"/>
      <c r="K4655" s="232"/>
      <c r="M4655" s="232"/>
      <c r="P4655" s="232"/>
      <c r="R4655" s="232"/>
      <c r="T4655" s="232"/>
    </row>
    <row r="4656" spans="3:20">
      <c r="C4656" s="232"/>
      <c r="E4656" s="232"/>
      <c r="G4656" s="232"/>
      <c r="I4656" s="232"/>
      <c r="K4656" s="232"/>
      <c r="M4656" s="232"/>
      <c r="P4656" s="232"/>
      <c r="R4656" s="232"/>
      <c r="T4656" s="232"/>
    </row>
    <row r="4657" spans="3:20">
      <c r="C4657" s="232"/>
      <c r="E4657" s="232"/>
      <c r="G4657" s="232"/>
      <c r="I4657" s="232"/>
      <c r="K4657" s="232"/>
      <c r="M4657" s="232"/>
      <c r="P4657" s="232"/>
      <c r="R4657" s="232"/>
      <c r="T4657" s="232"/>
    </row>
    <row r="4658" spans="3:20">
      <c r="C4658" s="232"/>
      <c r="E4658" s="232"/>
      <c r="G4658" s="232"/>
      <c r="I4658" s="232"/>
      <c r="K4658" s="232"/>
      <c r="M4658" s="232"/>
      <c r="P4658" s="232"/>
      <c r="R4658" s="232"/>
      <c r="T4658" s="232"/>
    </row>
    <row r="4659" spans="3:20">
      <c r="C4659" s="232"/>
      <c r="E4659" s="232"/>
      <c r="G4659" s="232"/>
      <c r="I4659" s="232"/>
      <c r="K4659" s="232"/>
      <c r="M4659" s="232"/>
      <c r="P4659" s="232"/>
      <c r="R4659" s="232"/>
      <c r="T4659" s="232"/>
    </row>
    <row r="4660" spans="3:20">
      <c r="C4660" s="232"/>
      <c r="E4660" s="232"/>
      <c r="G4660" s="232"/>
      <c r="I4660" s="232"/>
      <c r="K4660" s="232"/>
      <c r="M4660" s="232"/>
      <c r="P4660" s="232"/>
      <c r="R4660" s="232"/>
      <c r="T4660" s="232"/>
    </row>
    <row r="4661" spans="3:20">
      <c r="C4661" s="232"/>
      <c r="E4661" s="232"/>
      <c r="G4661" s="232"/>
      <c r="I4661" s="232"/>
      <c r="K4661" s="232"/>
      <c r="M4661" s="232"/>
      <c r="P4661" s="232"/>
      <c r="R4661" s="232"/>
      <c r="T4661" s="232"/>
    </row>
    <row r="4662" spans="3:20">
      <c r="C4662" s="232"/>
      <c r="E4662" s="232"/>
      <c r="G4662" s="232"/>
      <c r="I4662" s="232"/>
      <c r="K4662" s="232"/>
      <c r="M4662" s="232"/>
      <c r="P4662" s="232"/>
      <c r="R4662" s="232"/>
      <c r="T4662" s="232"/>
    </row>
    <row r="4663" spans="3:20">
      <c r="C4663" s="232"/>
      <c r="E4663" s="232"/>
      <c r="G4663" s="232"/>
      <c r="I4663" s="232"/>
      <c r="K4663" s="232"/>
      <c r="M4663" s="232"/>
      <c r="P4663" s="232"/>
      <c r="R4663" s="232"/>
      <c r="T4663" s="232"/>
    </row>
    <row r="4664" spans="3:20">
      <c r="C4664" s="232"/>
      <c r="E4664" s="232"/>
      <c r="G4664" s="232"/>
      <c r="I4664" s="232"/>
      <c r="K4664" s="232"/>
      <c r="M4664" s="232"/>
      <c r="P4664" s="232"/>
      <c r="R4664" s="232"/>
      <c r="T4664" s="232"/>
    </row>
    <row r="4665" spans="3:20">
      <c r="C4665" s="232"/>
      <c r="E4665" s="232"/>
      <c r="G4665" s="232"/>
      <c r="I4665" s="232"/>
      <c r="K4665" s="232"/>
      <c r="M4665" s="232"/>
      <c r="P4665" s="232"/>
      <c r="R4665" s="232"/>
      <c r="T4665" s="232"/>
    </row>
    <row r="4666" spans="3:20">
      <c r="C4666" s="232"/>
      <c r="E4666" s="232"/>
      <c r="G4666" s="232"/>
      <c r="I4666" s="232"/>
      <c r="K4666" s="232"/>
      <c r="M4666" s="232"/>
      <c r="P4666" s="232"/>
      <c r="R4666" s="232"/>
      <c r="T4666" s="232"/>
    </row>
    <row r="4667" spans="3:20">
      <c r="C4667" s="232"/>
      <c r="E4667" s="232"/>
      <c r="G4667" s="232"/>
      <c r="I4667" s="232"/>
      <c r="K4667" s="232"/>
      <c r="M4667" s="232"/>
      <c r="P4667" s="232"/>
      <c r="R4667" s="232"/>
      <c r="T4667" s="232"/>
    </row>
    <row r="4668" spans="3:20">
      <c r="C4668" s="232"/>
      <c r="E4668" s="232"/>
      <c r="G4668" s="232"/>
      <c r="I4668" s="232"/>
      <c r="K4668" s="232"/>
      <c r="M4668" s="232"/>
      <c r="P4668" s="232"/>
      <c r="R4668" s="232"/>
      <c r="T4668" s="232"/>
    </row>
    <row r="4669" spans="3:20">
      <c r="C4669" s="232"/>
      <c r="E4669" s="232"/>
      <c r="G4669" s="232"/>
      <c r="I4669" s="232"/>
      <c r="K4669" s="232"/>
      <c r="M4669" s="232"/>
      <c r="P4669" s="232"/>
      <c r="R4669" s="232"/>
      <c r="T4669" s="232"/>
    </row>
    <row r="4670" spans="3:20">
      <c r="C4670" s="232"/>
      <c r="E4670" s="232"/>
      <c r="G4670" s="232"/>
      <c r="I4670" s="232"/>
      <c r="K4670" s="232"/>
      <c r="M4670" s="232"/>
      <c r="P4670" s="232"/>
      <c r="R4670" s="232"/>
      <c r="T4670" s="232"/>
    </row>
    <row r="4671" spans="3:20">
      <c r="C4671" s="232"/>
      <c r="E4671" s="232"/>
      <c r="G4671" s="232"/>
      <c r="I4671" s="232"/>
      <c r="K4671" s="232"/>
      <c r="M4671" s="232"/>
      <c r="P4671" s="232"/>
      <c r="R4671" s="232"/>
      <c r="T4671" s="232"/>
    </row>
    <row r="4672" spans="3:20">
      <c r="C4672" s="232"/>
      <c r="E4672" s="232"/>
      <c r="G4672" s="232"/>
      <c r="I4672" s="232"/>
      <c r="K4672" s="232"/>
      <c r="M4672" s="232"/>
      <c r="P4672" s="232"/>
      <c r="R4672" s="232"/>
      <c r="T4672" s="232"/>
    </row>
    <row r="4673" spans="3:20">
      <c r="C4673" s="232"/>
      <c r="E4673" s="232"/>
      <c r="G4673" s="232"/>
      <c r="I4673" s="232"/>
      <c r="K4673" s="232"/>
      <c r="M4673" s="232"/>
      <c r="P4673" s="232"/>
      <c r="R4673" s="232"/>
      <c r="T4673" s="232"/>
    </row>
    <row r="4674" spans="3:20">
      <c r="C4674" s="232"/>
      <c r="E4674" s="232"/>
      <c r="G4674" s="232"/>
      <c r="I4674" s="232"/>
      <c r="K4674" s="232"/>
      <c r="M4674" s="232"/>
      <c r="P4674" s="232"/>
      <c r="R4674" s="232"/>
      <c r="T4674" s="232"/>
    </row>
    <row r="4675" spans="3:20">
      <c r="C4675" s="232"/>
      <c r="E4675" s="232"/>
      <c r="G4675" s="232"/>
      <c r="I4675" s="232"/>
      <c r="K4675" s="232"/>
      <c r="M4675" s="232"/>
      <c r="P4675" s="232"/>
      <c r="R4675" s="232"/>
      <c r="T4675" s="232"/>
    </row>
    <row r="4676" spans="3:20">
      <c r="C4676" s="232"/>
      <c r="E4676" s="232"/>
      <c r="G4676" s="232"/>
      <c r="I4676" s="232"/>
      <c r="K4676" s="232"/>
      <c r="M4676" s="232"/>
      <c r="P4676" s="232"/>
      <c r="R4676" s="232"/>
      <c r="T4676" s="232"/>
    </row>
    <row r="4677" spans="3:20">
      <c r="C4677" s="232"/>
      <c r="E4677" s="232"/>
      <c r="G4677" s="232"/>
      <c r="I4677" s="232"/>
      <c r="K4677" s="232"/>
      <c r="M4677" s="232"/>
      <c r="P4677" s="232"/>
      <c r="R4677" s="232"/>
      <c r="T4677" s="232"/>
    </row>
    <row r="4678" spans="3:20">
      <c r="C4678" s="232"/>
      <c r="E4678" s="232"/>
      <c r="G4678" s="232"/>
      <c r="I4678" s="232"/>
      <c r="K4678" s="232"/>
      <c r="M4678" s="232"/>
      <c r="P4678" s="232"/>
      <c r="R4678" s="232"/>
      <c r="T4678" s="232"/>
    </row>
    <row r="4679" spans="3:20">
      <c r="C4679" s="232"/>
      <c r="E4679" s="232"/>
      <c r="G4679" s="232"/>
      <c r="I4679" s="232"/>
      <c r="K4679" s="232"/>
      <c r="M4679" s="232"/>
      <c r="P4679" s="232"/>
      <c r="R4679" s="232"/>
      <c r="T4679" s="232"/>
    </row>
    <row r="4680" spans="3:20">
      <c r="C4680" s="232"/>
      <c r="E4680" s="232"/>
      <c r="G4680" s="232"/>
      <c r="I4680" s="232"/>
      <c r="K4680" s="232"/>
      <c r="M4680" s="232"/>
      <c r="P4680" s="232"/>
      <c r="R4680" s="232"/>
      <c r="T4680" s="232"/>
    </row>
    <row r="4681" spans="3:20">
      <c r="C4681" s="232"/>
      <c r="E4681" s="232"/>
      <c r="G4681" s="232"/>
      <c r="I4681" s="232"/>
      <c r="K4681" s="232"/>
      <c r="M4681" s="232"/>
      <c r="P4681" s="232"/>
      <c r="R4681" s="232"/>
      <c r="T4681" s="232"/>
    </row>
    <row r="4682" spans="3:20">
      <c r="C4682" s="232"/>
      <c r="E4682" s="232"/>
      <c r="G4682" s="232"/>
      <c r="I4682" s="232"/>
      <c r="K4682" s="232"/>
      <c r="M4682" s="232"/>
      <c r="P4682" s="232"/>
      <c r="R4682" s="232"/>
      <c r="T4682" s="232"/>
    </row>
    <row r="4683" spans="3:20">
      <c r="C4683" s="232"/>
      <c r="E4683" s="232"/>
      <c r="G4683" s="232"/>
      <c r="I4683" s="232"/>
      <c r="K4683" s="232"/>
      <c r="M4683" s="232"/>
      <c r="P4683" s="232"/>
      <c r="R4683" s="232"/>
      <c r="T4683" s="232"/>
    </row>
    <row r="4684" spans="3:20">
      <c r="C4684" s="232"/>
      <c r="E4684" s="232"/>
      <c r="G4684" s="232"/>
      <c r="I4684" s="232"/>
      <c r="K4684" s="232"/>
      <c r="M4684" s="232"/>
      <c r="P4684" s="232"/>
      <c r="R4684" s="232"/>
      <c r="T4684" s="232"/>
    </row>
    <row r="4685" spans="3:20">
      <c r="C4685" s="232"/>
      <c r="E4685" s="232"/>
      <c r="G4685" s="232"/>
      <c r="I4685" s="232"/>
      <c r="K4685" s="232"/>
      <c r="M4685" s="232"/>
      <c r="P4685" s="232"/>
      <c r="R4685" s="232"/>
      <c r="T4685" s="232"/>
    </row>
    <row r="4686" spans="3:20">
      <c r="C4686" s="232"/>
      <c r="E4686" s="232"/>
      <c r="G4686" s="232"/>
      <c r="I4686" s="232"/>
      <c r="K4686" s="232"/>
      <c r="M4686" s="232"/>
      <c r="P4686" s="232"/>
      <c r="R4686" s="232"/>
      <c r="T4686" s="232"/>
    </row>
    <row r="4687" spans="3:20">
      <c r="C4687" s="232"/>
      <c r="E4687" s="232"/>
      <c r="G4687" s="232"/>
      <c r="I4687" s="232"/>
      <c r="K4687" s="232"/>
      <c r="M4687" s="232"/>
      <c r="P4687" s="232"/>
      <c r="R4687" s="232"/>
      <c r="T4687" s="232"/>
    </row>
    <row r="4688" spans="3:20">
      <c r="C4688" s="232"/>
      <c r="E4688" s="232"/>
      <c r="G4688" s="232"/>
      <c r="I4688" s="232"/>
      <c r="K4688" s="232"/>
      <c r="M4688" s="232"/>
      <c r="P4688" s="232"/>
      <c r="R4688" s="232"/>
      <c r="T4688" s="232"/>
    </row>
    <row r="4689" spans="3:20">
      <c r="C4689" s="232"/>
      <c r="E4689" s="232"/>
      <c r="G4689" s="232"/>
      <c r="I4689" s="232"/>
      <c r="K4689" s="232"/>
      <c r="M4689" s="232"/>
      <c r="P4689" s="232"/>
      <c r="R4689" s="232"/>
      <c r="T4689" s="232"/>
    </row>
    <row r="4690" spans="3:20">
      <c r="C4690" s="232"/>
      <c r="E4690" s="232"/>
      <c r="G4690" s="232"/>
      <c r="I4690" s="232"/>
      <c r="K4690" s="232"/>
      <c r="M4690" s="232"/>
      <c r="P4690" s="232"/>
      <c r="R4690" s="232"/>
      <c r="T4690" s="232"/>
    </row>
    <row r="4691" spans="3:20">
      <c r="C4691" s="232"/>
      <c r="E4691" s="232"/>
      <c r="G4691" s="232"/>
      <c r="I4691" s="232"/>
      <c r="K4691" s="232"/>
      <c r="M4691" s="232"/>
      <c r="P4691" s="232"/>
      <c r="R4691" s="232"/>
      <c r="T4691" s="232"/>
    </row>
    <row r="4692" spans="3:20">
      <c r="C4692" s="232"/>
      <c r="E4692" s="232"/>
      <c r="G4692" s="232"/>
      <c r="I4692" s="232"/>
      <c r="K4692" s="232"/>
      <c r="M4692" s="232"/>
      <c r="P4692" s="232"/>
      <c r="R4692" s="232"/>
      <c r="T4692" s="232"/>
    </row>
    <row r="4693" spans="3:20">
      <c r="C4693" s="232"/>
      <c r="E4693" s="232"/>
      <c r="G4693" s="232"/>
      <c r="I4693" s="232"/>
      <c r="K4693" s="232"/>
      <c r="M4693" s="232"/>
      <c r="P4693" s="232"/>
      <c r="R4693" s="232"/>
      <c r="T4693" s="232"/>
    </row>
    <row r="4694" spans="3:20">
      <c r="C4694" s="232"/>
      <c r="E4694" s="232"/>
      <c r="G4694" s="232"/>
      <c r="I4694" s="232"/>
      <c r="K4694" s="232"/>
      <c r="M4694" s="232"/>
      <c r="P4694" s="232"/>
      <c r="R4694" s="232"/>
      <c r="T4694" s="232"/>
    </row>
    <row r="4695" spans="3:20">
      <c r="C4695" s="232"/>
      <c r="E4695" s="232"/>
      <c r="G4695" s="232"/>
      <c r="I4695" s="232"/>
      <c r="K4695" s="232"/>
      <c r="M4695" s="232"/>
      <c r="P4695" s="232"/>
      <c r="R4695" s="232"/>
      <c r="T4695" s="232"/>
    </row>
    <row r="4696" spans="3:20">
      <c r="C4696" s="232"/>
      <c r="E4696" s="232"/>
      <c r="G4696" s="232"/>
      <c r="I4696" s="232"/>
      <c r="K4696" s="232"/>
      <c r="M4696" s="232"/>
      <c r="P4696" s="232"/>
      <c r="R4696" s="232"/>
      <c r="T4696" s="232"/>
    </row>
    <row r="4697" spans="3:20">
      <c r="C4697" s="232"/>
      <c r="E4697" s="232"/>
      <c r="G4697" s="232"/>
      <c r="I4697" s="232"/>
      <c r="K4697" s="232"/>
      <c r="M4697" s="232"/>
      <c r="P4697" s="232"/>
      <c r="R4697" s="232"/>
      <c r="T4697" s="232"/>
    </row>
    <row r="4698" spans="3:20">
      <c r="C4698" s="232"/>
      <c r="E4698" s="232"/>
      <c r="G4698" s="232"/>
      <c r="I4698" s="232"/>
      <c r="K4698" s="232"/>
      <c r="M4698" s="232"/>
      <c r="P4698" s="232"/>
      <c r="R4698" s="232"/>
      <c r="T4698" s="232"/>
    </row>
    <row r="4699" spans="3:20">
      <c r="C4699" s="232"/>
      <c r="E4699" s="232"/>
      <c r="G4699" s="232"/>
      <c r="I4699" s="232"/>
      <c r="K4699" s="232"/>
      <c r="M4699" s="232"/>
      <c r="P4699" s="232"/>
      <c r="R4699" s="232"/>
      <c r="T4699" s="232"/>
    </row>
    <row r="4700" spans="3:20">
      <c r="C4700" s="232"/>
      <c r="E4700" s="232"/>
      <c r="G4700" s="232"/>
      <c r="I4700" s="232"/>
      <c r="K4700" s="232"/>
      <c r="M4700" s="232"/>
      <c r="P4700" s="232"/>
      <c r="R4700" s="232"/>
      <c r="T4700" s="232"/>
    </row>
    <row r="4701" spans="3:20">
      <c r="C4701" s="232"/>
      <c r="E4701" s="232"/>
      <c r="G4701" s="232"/>
      <c r="I4701" s="232"/>
      <c r="K4701" s="232"/>
      <c r="M4701" s="232"/>
      <c r="P4701" s="232"/>
      <c r="R4701" s="232"/>
      <c r="T4701" s="232"/>
    </row>
    <row r="4702" spans="3:20">
      <c r="C4702" s="232"/>
      <c r="E4702" s="232"/>
      <c r="G4702" s="232"/>
      <c r="I4702" s="232"/>
      <c r="K4702" s="232"/>
      <c r="M4702" s="232"/>
      <c r="P4702" s="232"/>
      <c r="R4702" s="232"/>
      <c r="T4702" s="232"/>
    </row>
    <row r="4703" spans="3:20">
      <c r="C4703" s="232"/>
      <c r="E4703" s="232"/>
      <c r="G4703" s="232"/>
      <c r="I4703" s="232"/>
      <c r="K4703" s="232"/>
      <c r="M4703" s="232"/>
      <c r="P4703" s="232"/>
      <c r="R4703" s="232"/>
      <c r="T4703" s="232"/>
    </row>
    <row r="4704" spans="3:20">
      <c r="C4704" s="232"/>
      <c r="E4704" s="232"/>
      <c r="G4704" s="232"/>
      <c r="I4704" s="232"/>
      <c r="K4704" s="232"/>
      <c r="M4704" s="232"/>
      <c r="P4704" s="232"/>
      <c r="R4704" s="232"/>
      <c r="T4704" s="232"/>
    </row>
    <row r="4705" spans="3:20">
      <c r="C4705" s="232"/>
      <c r="E4705" s="232"/>
      <c r="G4705" s="232"/>
      <c r="I4705" s="232"/>
      <c r="K4705" s="232"/>
      <c r="M4705" s="232"/>
      <c r="P4705" s="232"/>
      <c r="R4705" s="232"/>
      <c r="T4705" s="232"/>
    </row>
    <row r="4706" spans="3:20">
      <c r="C4706" s="232"/>
      <c r="E4706" s="232"/>
      <c r="G4706" s="232"/>
      <c r="I4706" s="232"/>
      <c r="K4706" s="232"/>
      <c r="M4706" s="232"/>
      <c r="P4706" s="232"/>
      <c r="R4706" s="232"/>
      <c r="T4706" s="232"/>
    </row>
    <row r="4707" spans="3:20">
      <c r="C4707" s="232"/>
      <c r="E4707" s="232"/>
      <c r="G4707" s="232"/>
      <c r="I4707" s="232"/>
      <c r="K4707" s="232"/>
      <c r="M4707" s="232"/>
      <c r="P4707" s="232"/>
      <c r="R4707" s="232"/>
      <c r="T4707" s="232"/>
    </row>
    <row r="4708" spans="3:20">
      <c r="C4708" s="232"/>
      <c r="E4708" s="232"/>
      <c r="G4708" s="232"/>
      <c r="I4708" s="232"/>
      <c r="K4708" s="232"/>
      <c r="M4708" s="232"/>
      <c r="P4708" s="232"/>
      <c r="R4708" s="232"/>
      <c r="T4708" s="232"/>
    </row>
    <row r="4709" spans="3:20">
      <c r="C4709" s="232"/>
      <c r="E4709" s="232"/>
      <c r="G4709" s="232"/>
      <c r="I4709" s="232"/>
      <c r="K4709" s="232"/>
      <c r="M4709" s="232"/>
      <c r="P4709" s="232"/>
      <c r="R4709" s="232"/>
      <c r="T4709" s="232"/>
    </row>
    <row r="4710" spans="3:20">
      <c r="C4710" s="232"/>
      <c r="E4710" s="232"/>
      <c r="G4710" s="232"/>
      <c r="I4710" s="232"/>
      <c r="K4710" s="232"/>
      <c r="M4710" s="232"/>
      <c r="P4710" s="232"/>
      <c r="R4710" s="232"/>
      <c r="T4710" s="232"/>
    </row>
    <row r="4711" spans="3:20">
      <c r="C4711" s="232"/>
      <c r="E4711" s="232"/>
      <c r="G4711" s="232"/>
      <c r="I4711" s="232"/>
      <c r="K4711" s="232"/>
      <c r="M4711" s="232"/>
      <c r="P4711" s="232"/>
      <c r="R4711" s="232"/>
      <c r="T4711" s="232"/>
    </row>
    <row r="4712" spans="3:20">
      <c r="C4712" s="232"/>
      <c r="E4712" s="232"/>
      <c r="G4712" s="232"/>
      <c r="I4712" s="232"/>
      <c r="K4712" s="232"/>
      <c r="M4712" s="232"/>
      <c r="P4712" s="232"/>
      <c r="R4712" s="232"/>
      <c r="T4712" s="232"/>
    </row>
    <row r="4713" spans="3:20">
      <c r="C4713" s="232"/>
      <c r="E4713" s="232"/>
      <c r="G4713" s="232"/>
      <c r="I4713" s="232"/>
      <c r="K4713" s="232"/>
      <c r="M4713" s="232"/>
      <c r="P4713" s="232"/>
      <c r="R4713" s="232"/>
      <c r="T4713" s="232"/>
    </row>
    <row r="4714" spans="3:20">
      <c r="C4714" s="232"/>
      <c r="E4714" s="232"/>
      <c r="G4714" s="232"/>
      <c r="I4714" s="232"/>
      <c r="K4714" s="232"/>
      <c r="M4714" s="232"/>
      <c r="P4714" s="232"/>
      <c r="R4714" s="232"/>
      <c r="T4714" s="232"/>
    </row>
    <row r="4715" spans="3:20">
      <c r="C4715" s="232"/>
      <c r="E4715" s="232"/>
      <c r="G4715" s="232"/>
      <c r="I4715" s="232"/>
      <c r="K4715" s="232"/>
      <c r="M4715" s="232"/>
      <c r="P4715" s="232"/>
      <c r="R4715" s="232"/>
      <c r="T4715" s="232"/>
    </row>
    <row r="4716" spans="3:20">
      <c r="C4716" s="232"/>
      <c r="E4716" s="232"/>
      <c r="G4716" s="232"/>
      <c r="I4716" s="232"/>
      <c r="K4716" s="232"/>
      <c r="M4716" s="232"/>
      <c r="P4716" s="232"/>
      <c r="R4716" s="232"/>
      <c r="T4716" s="232"/>
    </row>
    <row r="4717" spans="3:20">
      <c r="C4717" s="232"/>
      <c r="E4717" s="232"/>
      <c r="G4717" s="232"/>
      <c r="I4717" s="232"/>
      <c r="K4717" s="232"/>
      <c r="M4717" s="232"/>
      <c r="P4717" s="232"/>
      <c r="R4717" s="232"/>
      <c r="T4717" s="232"/>
    </row>
    <row r="4718" spans="3:20">
      <c r="C4718" s="232"/>
      <c r="E4718" s="232"/>
      <c r="G4718" s="232"/>
      <c r="I4718" s="232"/>
      <c r="K4718" s="232"/>
      <c r="M4718" s="232"/>
      <c r="P4718" s="232"/>
      <c r="R4718" s="232"/>
      <c r="T4718" s="232"/>
    </row>
    <row r="4719" spans="3:20">
      <c r="C4719" s="232"/>
      <c r="E4719" s="232"/>
      <c r="G4719" s="232"/>
      <c r="I4719" s="232"/>
      <c r="K4719" s="232"/>
      <c r="M4719" s="232"/>
      <c r="P4719" s="232"/>
      <c r="R4719" s="232"/>
      <c r="T4719" s="232"/>
    </row>
    <row r="4720" spans="3:20">
      <c r="C4720" s="232"/>
      <c r="E4720" s="232"/>
      <c r="G4720" s="232"/>
      <c r="I4720" s="232"/>
      <c r="K4720" s="232"/>
      <c r="M4720" s="232"/>
      <c r="P4720" s="232"/>
      <c r="R4720" s="232"/>
      <c r="T4720" s="232"/>
    </row>
    <row r="4721" spans="3:20">
      <c r="C4721" s="232"/>
      <c r="E4721" s="232"/>
      <c r="G4721" s="232"/>
      <c r="I4721" s="232"/>
      <c r="K4721" s="232"/>
      <c r="M4721" s="232"/>
      <c r="P4721" s="232"/>
      <c r="R4721" s="232"/>
      <c r="T4721" s="232"/>
    </row>
    <row r="4722" spans="3:20">
      <c r="C4722" s="232"/>
      <c r="E4722" s="232"/>
      <c r="G4722" s="232"/>
      <c r="I4722" s="232"/>
      <c r="K4722" s="232"/>
      <c r="M4722" s="232"/>
      <c r="P4722" s="232"/>
      <c r="R4722" s="232"/>
      <c r="T4722" s="232"/>
    </row>
    <row r="4723" spans="3:20">
      <c r="C4723" s="232"/>
      <c r="E4723" s="232"/>
      <c r="G4723" s="232"/>
      <c r="I4723" s="232"/>
      <c r="K4723" s="232"/>
      <c r="M4723" s="232"/>
      <c r="P4723" s="232"/>
      <c r="R4723" s="232"/>
      <c r="T4723" s="232"/>
    </row>
    <row r="4724" spans="3:20">
      <c r="C4724" s="232"/>
      <c r="E4724" s="232"/>
      <c r="G4724" s="232"/>
      <c r="I4724" s="232"/>
      <c r="K4724" s="232"/>
      <c r="M4724" s="232"/>
      <c r="P4724" s="232"/>
      <c r="R4724" s="232"/>
      <c r="T4724" s="232"/>
    </row>
    <row r="4725" spans="3:20">
      <c r="C4725" s="232"/>
      <c r="E4725" s="232"/>
      <c r="G4725" s="232"/>
      <c r="I4725" s="232"/>
      <c r="K4725" s="232"/>
      <c r="M4725" s="232"/>
      <c r="P4725" s="232"/>
      <c r="R4725" s="232"/>
      <c r="T4725" s="232"/>
    </row>
    <row r="4726" spans="3:20">
      <c r="C4726" s="232"/>
      <c r="E4726" s="232"/>
      <c r="G4726" s="232"/>
      <c r="I4726" s="232"/>
      <c r="K4726" s="232"/>
      <c r="M4726" s="232"/>
      <c r="P4726" s="232"/>
      <c r="R4726" s="232"/>
      <c r="T4726" s="232"/>
    </row>
    <row r="4727" spans="3:20">
      <c r="C4727" s="232"/>
      <c r="E4727" s="232"/>
      <c r="G4727" s="232"/>
      <c r="I4727" s="232"/>
      <c r="K4727" s="232"/>
      <c r="M4727" s="232"/>
      <c r="P4727" s="232"/>
      <c r="R4727" s="232"/>
      <c r="T4727" s="232"/>
    </row>
    <row r="4728" spans="3:20">
      <c r="C4728" s="232"/>
      <c r="E4728" s="232"/>
      <c r="G4728" s="232"/>
      <c r="I4728" s="232"/>
      <c r="K4728" s="232"/>
      <c r="M4728" s="232"/>
      <c r="P4728" s="232"/>
      <c r="R4728" s="232"/>
      <c r="T4728" s="232"/>
    </row>
    <row r="4729" spans="3:20">
      <c r="C4729" s="232"/>
      <c r="E4729" s="232"/>
      <c r="G4729" s="232"/>
      <c r="I4729" s="232"/>
      <c r="K4729" s="232"/>
      <c r="M4729" s="232"/>
      <c r="P4729" s="232"/>
      <c r="R4729" s="232"/>
      <c r="T4729" s="232"/>
    </row>
    <row r="4730" spans="3:20">
      <c r="C4730" s="232"/>
      <c r="E4730" s="232"/>
      <c r="G4730" s="232"/>
      <c r="I4730" s="232"/>
      <c r="K4730" s="232"/>
      <c r="M4730" s="232"/>
      <c r="P4730" s="232"/>
      <c r="R4730" s="232"/>
      <c r="T4730" s="232"/>
    </row>
    <row r="4731" spans="3:20">
      <c r="C4731" s="232"/>
      <c r="E4731" s="232"/>
      <c r="G4731" s="232"/>
      <c r="I4731" s="232"/>
      <c r="K4731" s="232"/>
      <c r="M4731" s="232"/>
      <c r="P4731" s="232"/>
      <c r="R4731" s="232"/>
      <c r="T4731" s="232"/>
    </row>
    <row r="4732" spans="3:20">
      <c r="C4732" s="232"/>
      <c r="E4732" s="232"/>
      <c r="G4732" s="232"/>
      <c r="I4732" s="232"/>
      <c r="K4732" s="232"/>
      <c r="M4732" s="232"/>
      <c r="P4732" s="232"/>
      <c r="R4732" s="232"/>
      <c r="T4732" s="232"/>
    </row>
    <row r="4733" spans="3:20">
      <c r="C4733" s="232"/>
      <c r="E4733" s="232"/>
      <c r="G4733" s="232"/>
      <c r="I4733" s="232"/>
      <c r="K4733" s="232"/>
      <c r="M4733" s="232"/>
      <c r="P4733" s="232"/>
      <c r="R4733" s="232"/>
      <c r="T4733" s="232"/>
    </row>
    <row r="4734" spans="3:20">
      <c r="C4734" s="232"/>
      <c r="E4734" s="232"/>
      <c r="G4734" s="232"/>
      <c r="I4734" s="232"/>
      <c r="K4734" s="232"/>
      <c r="M4734" s="232"/>
      <c r="P4734" s="232"/>
      <c r="R4734" s="232"/>
      <c r="T4734" s="232"/>
    </row>
    <row r="4735" spans="3:20">
      <c r="C4735" s="232"/>
      <c r="E4735" s="232"/>
      <c r="G4735" s="232"/>
      <c r="I4735" s="232"/>
      <c r="K4735" s="232"/>
      <c r="M4735" s="232"/>
      <c r="P4735" s="232"/>
      <c r="R4735" s="232"/>
      <c r="T4735" s="232"/>
    </row>
    <row r="4736" spans="3:20">
      <c r="C4736" s="232"/>
      <c r="E4736" s="232"/>
      <c r="G4736" s="232"/>
      <c r="I4736" s="232"/>
      <c r="K4736" s="232"/>
      <c r="M4736" s="232"/>
      <c r="P4736" s="232"/>
      <c r="R4736" s="232"/>
      <c r="T4736" s="232"/>
    </row>
    <row r="4737" spans="3:20">
      <c r="C4737" s="232"/>
      <c r="E4737" s="232"/>
      <c r="G4737" s="232"/>
      <c r="I4737" s="232"/>
      <c r="K4737" s="232"/>
      <c r="M4737" s="232"/>
      <c r="P4737" s="232"/>
      <c r="R4737" s="232"/>
      <c r="T4737" s="232"/>
    </row>
    <row r="4738" spans="3:20">
      <c r="C4738" s="232"/>
      <c r="E4738" s="232"/>
      <c r="G4738" s="232"/>
      <c r="I4738" s="232"/>
      <c r="K4738" s="232"/>
      <c r="M4738" s="232"/>
      <c r="P4738" s="232"/>
      <c r="R4738" s="232"/>
      <c r="T4738" s="232"/>
    </row>
    <row r="4739" spans="3:20">
      <c r="C4739" s="232"/>
      <c r="E4739" s="232"/>
      <c r="G4739" s="232"/>
      <c r="I4739" s="232"/>
      <c r="K4739" s="232"/>
      <c r="M4739" s="232"/>
      <c r="P4739" s="232"/>
      <c r="R4739" s="232"/>
      <c r="T4739" s="232"/>
    </row>
    <row r="4740" spans="3:20">
      <c r="C4740" s="232"/>
      <c r="E4740" s="232"/>
      <c r="G4740" s="232"/>
      <c r="I4740" s="232"/>
      <c r="K4740" s="232"/>
      <c r="M4740" s="232"/>
      <c r="P4740" s="232"/>
      <c r="R4740" s="232"/>
      <c r="T4740" s="232"/>
    </row>
    <row r="4741" spans="3:20">
      <c r="C4741" s="232"/>
      <c r="E4741" s="232"/>
      <c r="G4741" s="232"/>
      <c r="I4741" s="232"/>
      <c r="K4741" s="232"/>
      <c r="M4741" s="232"/>
      <c r="P4741" s="232"/>
      <c r="R4741" s="232"/>
      <c r="T4741" s="232"/>
    </row>
    <row r="4742" spans="3:20">
      <c r="C4742" s="232"/>
      <c r="E4742" s="232"/>
      <c r="G4742" s="232"/>
      <c r="I4742" s="232"/>
      <c r="K4742" s="232"/>
      <c r="M4742" s="232"/>
      <c r="P4742" s="232"/>
      <c r="R4742" s="232"/>
      <c r="T4742" s="232"/>
    </row>
    <row r="4743" spans="3:20">
      <c r="C4743" s="232"/>
      <c r="E4743" s="232"/>
      <c r="G4743" s="232"/>
      <c r="I4743" s="232"/>
      <c r="K4743" s="232"/>
      <c r="M4743" s="232"/>
      <c r="P4743" s="232"/>
      <c r="R4743" s="232"/>
      <c r="T4743" s="232"/>
    </row>
    <row r="4744" spans="3:20">
      <c r="C4744" s="232"/>
      <c r="E4744" s="232"/>
      <c r="G4744" s="232"/>
      <c r="I4744" s="232"/>
      <c r="K4744" s="232"/>
      <c r="M4744" s="232"/>
      <c r="P4744" s="232"/>
      <c r="R4744" s="232"/>
      <c r="T4744" s="232"/>
    </row>
    <row r="4745" spans="3:20">
      <c r="C4745" s="232"/>
      <c r="E4745" s="232"/>
      <c r="G4745" s="232"/>
      <c r="I4745" s="232"/>
      <c r="K4745" s="232"/>
      <c r="M4745" s="232"/>
      <c r="P4745" s="232"/>
      <c r="R4745" s="232"/>
      <c r="T4745" s="232"/>
    </row>
    <row r="4746" spans="3:20">
      <c r="C4746" s="232"/>
      <c r="E4746" s="232"/>
      <c r="G4746" s="232"/>
      <c r="I4746" s="232"/>
      <c r="K4746" s="232"/>
      <c r="M4746" s="232"/>
      <c r="P4746" s="232"/>
      <c r="R4746" s="232"/>
      <c r="T4746" s="232"/>
    </row>
    <row r="4747" spans="3:20">
      <c r="C4747" s="232"/>
      <c r="E4747" s="232"/>
      <c r="G4747" s="232"/>
      <c r="I4747" s="232"/>
      <c r="K4747" s="232"/>
      <c r="M4747" s="232"/>
      <c r="P4747" s="232"/>
      <c r="R4747" s="232"/>
      <c r="T4747" s="232"/>
    </row>
    <row r="4748" spans="3:20">
      <c r="C4748" s="232"/>
      <c r="E4748" s="232"/>
      <c r="G4748" s="232"/>
      <c r="I4748" s="232"/>
      <c r="K4748" s="232"/>
      <c r="M4748" s="232"/>
      <c r="P4748" s="232"/>
      <c r="R4748" s="232"/>
      <c r="T4748" s="232"/>
    </row>
    <row r="4749" spans="3:20">
      <c r="C4749" s="232"/>
      <c r="E4749" s="232"/>
      <c r="G4749" s="232"/>
      <c r="I4749" s="232"/>
      <c r="K4749" s="232"/>
      <c r="M4749" s="232"/>
      <c r="P4749" s="232"/>
      <c r="R4749" s="232"/>
      <c r="T4749" s="232"/>
    </row>
    <row r="4750" spans="3:20">
      <c r="C4750" s="232"/>
      <c r="E4750" s="232"/>
      <c r="G4750" s="232"/>
      <c r="I4750" s="232"/>
      <c r="K4750" s="232"/>
      <c r="M4750" s="232"/>
      <c r="P4750" s="232"/>
      <c r="R4750" s="232"/>
      <c r="T4750" s="232"/>
    </row>
    <row r="4751" spans="3:20">
      <c r="C4751" s="232"/>
      <c r="E4751" s="232"/>
      <c r="G4751" s="232"/>
      <c r="I4751" s="232"/>
      <c r="K4751" s="232"/>
      <c r="M4751" s="232"/>
      <c r="P4751" s="232"/>
      <c r="R4751" s="232"/>
      <c r="T4751" s="232"/>
    </row>
    <row r="4752" spans="3:20">
      <c r="C4752" s="232"/>
      <c r="E4752" s="232"/>
      <c r="G4752" s="232"/>
      <c r="I4752" s="232"/>
      <c r="K4752" s="232"/>
      <c r="M4752" s="232"/>
      <c r="P4752" s="232"/>
      <c r="R4752" s="232"/>
      <c r="T4752" s="232"/>
    </row>
    <row r="4753" spans="3:20">
      <c r="C4753" s="232"/>
      <c r="E4753" s="232"/>
      <c r="G4753" s="232"/>
      <c r="I4753" s="232"/>
      <c r="K4753" s="232"/>
      <c r="M4753" s="232"/>
      <c r="P4753" s="232"/>
      <c r="R4753" s="232"/>
      <c r="T4753" s="232"/>
    </row>
    <row r="4754" spans="3:20">
      <c r="C4754" s="232"/>
      <c r="E4754" s="232"/>
      <c r="G4754" s="232"/>
      <c r="I4754" s="232"/>
      <c r="K4754" s="232"/>
      <c r="M4754" s="232"/>
      <c r="P4754" s="232"/>
      <c r="R4754" s="232"/>
      <c r="T4754" s="232"/>
    </row>
    <row r="4755" spans="3:20">
      <c r="C4755" s="232"/>
      <c r="E4755" s="232"/>
      <c r="G4755" s="232"/>
      <c r="I4755" s="232"/>
      <c r="K4755" s="232"/>
      <c r="M4755" s="232"/>
      <c r="P4755" s="232"/>
      <c r="R4755" s="232"/>
      <c r="T4755" s="232"/>
    </row>
    <row r="4756" spans="3:20">
      <c r="C4756" s="232"/>
      <c r="E4756" s="232"/>
      <c r="G4756" s="232"/>
      <c r="I4756" s="232"/>
      <c r="K4756" s="232"/>
      <c r="M4756" s="232"/>
      <c r="P4756" s="232"/>
      <c r="R4756" s="232"/>
      <c r="T4756" s="232"/>
    </row>
    <row r="4757" spans="3:20">
      <c r="C4757" s="232"/>
      <c r="E4757" s="232"/>
      <c r="G4757" s="232"/>
      <c r="I4757" s="232"/>
      <c r="K4757" s="232"/>
      <c r="M4757" s="232"/>
      <c r="P4757" s="232"/>
      <c r="R4757" s="232"/>
      <c r="T4757" s="232"/>
    </row>
    <row r="4758" spans="3:20">
      <c r="C4758" s="232"/>
      <c r="E4758" s="232"/>
      <c r="G4758" s="232"/>
      <c r="I4758" s="232"/>
      <c r="K4758" s="232"/>
      <c r="M4758" s="232"/>
      <c r="P4758" s="232"/>
      <c r="R4758" s="232"/>
      <c r="T4758" s="232"/>
    </row>
    <row r="4759" spans="3:20">
      <c r="C4759" s="232"/>
      <c r="E4759" s="232"/>
      <c r="G4759" s="232"/>
      <c r="I4759" s="232"/>
      <c r="K4759" s="232"/>
      <c r="M4759" s="232"/>
      <c r="P4759" s="232"/>
      <c r="R4759" s="232"/>
      <c r="T4759" s="232"/>
    </row>
    <row r="4760" spans="3:20">
      <c r="C4760" s="232"/>
      <c r="E4760" s="232"/>
      <c r="G4760" s="232"/>
      <c r="I4760" s="232"/>
      <c r="K4760" s="232"/>
      <c r="M4760" s="232"/>
      <c r="P4760" s="232"/>
      <c r="R4760" s="232"/>
      <c r="T4760" s="232"/>
    </row>
    <row r="4761" spans="3:20">
      <c r="C4761" s="232"/>
      <c r="E4761" s="232"/>
      <c r="G4761" s="232"/>
      <c r="I4761" s="232"/>
      <c r="K4761" s="232"/>
      <c r="M4761" s="232"/>
      <c r="P4761" s="232"/>
      <c r="R4761" s="232"/>
      <c r="T4761" s="232"/>
    </row>
    <row r="4762" spans="3:20">
      <c r="C4762" s="232"/>
      <c r="E4762" s="232"/>
      <c r="G4762" s="232"/>
      <c r="I4762" s="232"/>
      <c r="K4762" s="232"/>
      <c r="M4762" s="232"/>
      <c r="P4762" s="232"/>
      <c r="R4762" s="232"/>
      <c r="T4762" s="232"/>
    </row>
    <row r="4763" spans="3:20">
      <c r="C4763" s="232"/>
      <c r="E4763" s="232"/>
      <c r="G4763" s="232"/>
      <c r="I4763" s="232"/>
      <c r="K4763" s="232"/>
      <c r="M4763" s="232"/>
      <c r="P4763" s="232"/>
      <c r="R4763" s="232"/>
      <c r="T4763" s="232"/>
    </row>
    <row r="4764" spans="3:20">
      <c r="C4764" s="232"/>
      <c r="E4764" s="232"/>
      <c r="G4764" s="232"/>
      <c r="I4764" s="232"/>
      <c r="K4764" s="232"/>
      <c r="M4764" s="232"/>
      <c r="P4764" s="232"/>
      <c r="R4764" s="232"/>
      <c r="T4764" s="232"/>
    </row>
    <row r="4765" spans="3:20">
      <c r="C4765" s="232"/>
      <c r="E4765" s="232"/>
      <c r="G4765" s="232"/>
      <c r="I4765" s="232"/>
      <c r="K4765" s="232"/>
      <c r="M4765" s="232"/>
      <c r="P4765" s="232"/>
      <c r="R4765" s="232"/>
      <c r="T4765" s="232"/>
    </row>
    <row r="4766" spans="3:20">
      <c r="C4766" s="232"/>
      <c r="E4766" s="232"/>
      <c r="G4766" s="232"/>
      <c r="I4766" s="232"/>
      <c r="K4766" s="232"/>
      <c r="M4766" s="232"/>
      <c r="P4766" s="232"/>
      <c r="R4766" s="232"/>
      <c r="T4766" s="232"/>
    </row>
    <row r="4767" spans="3:20">
      <c r="C4767" s="232"/>
      <c r="E4767" s="232"/>
      <c r="G4767" s="232"/>
      <c r="I4767" s="232"/>
      <c r="K4767" s="232"/>
      <c r="M4767" s="232"/>
      <c r="P4767" s="232"/>
      <c r="R4767" s="232"/>
      <c r="T4767" s="232"/>
    </row>
    <row r="4768" spans="3:20">
      <c r="C4768" s="232"/>
      <c r="E4768" s="232"/>
      <c r="G4768" s="232"/>
      <c r="I4768" s="232"/>
      <c r="K4768" s="232"/>
      <c r="M4768" s="232"/>
      <c r="P4768" s="232"/>
      <c r="R4768" s="232"/>
      <c r="T4768" s="232"/>
    </row>
    <row r="4769" spans="3:20">
      <c r="C4769" s="232"/>
      <c r="E4769" s="232"/>
      <c r="G4769" s="232"/>
      <c r="I4769" s="232"/>
      <c r="K4769" s="232"/>
      <c r="M4769" s="232"/>
      <c r="P4769" s="232"/>
      <c r="R4769" s="232"/>
      <c r="T4769" s="232"/>
    </row>
    <row r="4770" spans="3:20">
      <c r="C4770" s="232"/>
      <c r="E4770" s="232"/>
      <c r="G4770" s="232"/>
      <c r="I4770" s="232"/>
      <c r="K4770" s="232"/>
      <c r="M4770" s="232"/>
      <c r="P4770" s="232"/>
      <c r="R4770" s="232"/>
      <c r="T4770" s="232"/>
    </row>
    <row r="4771" spans="3:20">
      <c r="C4771" s="232"/>
      <c r="E4771" s="232"/>
      <c r="G4771" s="232"/>
      <c r="I4771" s="232"/>
      <c r="K4771" s="232"/>
      <c r="M4771" s="232"/>
      <c r="P4771" s="232"/>
      <c r="R4771" s="232"/>
      <c r="T4771" s="232"/>
    </row>
    <row r="4772" spans="3:20">
      <c r="C4772" s="232"/>
      <c r="E4772" s="232"/>
      <c r="G4772" s="232"/>
      <c r="I4772" s="232"/>
      <c r="K4772" s="232"/>
      <c r="M4772" s="232"/>
      <c r="P4772" s="232"/>
      <c r="R4772" s="232"/>
      <c r="T4772" s="232"/>
    </row>
    <row r="4773" spans="3:20">
      <c r="C4773" s="232"/>
      <c r="E4773" s="232"/>
      <c r="G4773" s="232"/>
      <c r="I4773" s="232"/>
      <c r="K4773" s="232"/>
      <c r="M4773" s="232"/>
      <c r="P4773" s="232"/>
      <c r="R4773" s="232"/>
      <c r="T4773" s="232"/>
    </row>
    <row r="4774" spans="3:20">
      <c r="C4774" s="232"/>
      <c r="E4774" s="232"/>
      <c r="G4774" s="232"/>
      <c r="I4774" s="232"/>
      <c r="K4774" s="232"/>
      <c r="M4774" s="232"/>
      <c r="P4774" s="232"/>
      <c r="R4774" s="232"/>
      <c r="T4774" s="232"/>
    </row>
    <row r="4775" spans="3:20">
      <c r="C4775" s="232"/>
      <c r="E4775" s="232"/>
      <c r="G4775" s="232"/>
      <c r="I4775" s="232"/>
      <c r="K4775" s="232"/>
      <c r="M4775" s="232"/>
      <c r="P4775" s="232"/>
      <c r="R4775" s="232"/>
      <c r="T4775" s="232"/>
    </row>
    <row r="4776" spans="3:20">
      <c r="C4776" s="232"/>
      <c r="E4776" s="232"/>
      <c r="G4776" s="232"/>
      <c r="I4776" s="232"/>
      <c r="K4776" s="232"/>
      <c r="M4776" s="232"/>
      <c r="P4776" s="232"/>
      <c r="R4776" s="232"/>
      <c r="T4776" s="232"/>
    </row>
    <row r="4777" spans="3:20">
      <c r="C4777" s="232"/>
      <c r="E4777" s="232"/>
      <c r="G4777" s="232"/>
      <c r="I4777" s="232"/>
      <c r="K4777" s="232"/>
      <c r="M4777" s="232"/>
      <c r="P4777" s="232"/>
      <c r="R4777" s="232"/>
      <c r="T4777" s="232"/>
    </row>
    <row r="4778" spans="3:20">
      <c r="C4778" s="232"/>
      <c r="E4778" s="232"/>
      <c r="G4778" s="232"/>
      <c r="I4778" s="232"/>
      <c r="K4778" s="232"/>
      <c r="M4778" s="232"/>
      <c r="P4778" s="232"/>
      <c r="R4778" s="232"/>
      <c r="T4778" s="232"/>
    </row>
    <row r="4779" spans="3:20">
      <c r="C4779" s="232"/>
      <c r="E4779" s="232"/>
      <c r="G4779" s="232"/>
      <c r="I4779" s="232"/>
      <c r="K4779" s="232"/>
      <c r="M4779" s="232"/>
      <c r="P4779" s="232"/>
      <c r="R4779" s="232"/>
      <c r="T4779" s="232"/>
    </row>
    <row r="4780" spans="3:20">
      <c r="C4780" s="232"/>
      <c r="E4780" s="232"/>
      <c r="G4780" s="232"/>
      <c r="I4780" s="232"/>
      <c r="K4780" s="232"/>
      <c r="M4780" s="232"/>
      <c r="P4780" s="232"/>
      <c r="R4780" s="232"/>
      <c r="T4780" s="232"/>
    </row>
    <row r="4781" spans="3:20">
      <c r="C4781" s="232"/>
      <c r="E4781" s="232"/>
      <c r="G4781" s="232"/>
      <c r="I4781" s="232"/>
      <c r="K4781" s="232"/>
      <c r="M4781" s="232"/>
      <c r="P4781" s="232"/>
      <c r="R4781" s="232"/>
      <c r="T4781" s="232"/>
    </row>
    <row r="4782" spans="3:20">
      <c r="C4782" s="232"/>
      <c r="E4782" s="232"/>
      <c r="G4782" s="232"/>
      <c r="I4782" s="232"/>
      <c r="K4782" s="232"/>
      <c r="M4782" s="232"/>
      <c r="P4782" s="232"/>
      <c r="R4782" s="232"/>
      <c r="T4782" s="232"/>
    </row>
    <row r="4783" spans="3:20">
      <c r="C4783" s="232"/>
      <c r="E4783" s="232"/>
      <c r="G4783" s="232"/>
      <c r="I4783" s="232"/>
      <c r="K4783" s="232"/>
      <c r="M4783" s="232"/>
      <c r="P4783" s="232"/>
      <c r="R4783" s="232"/>
      <c r="T4783" s="232"/>
    </row>
    <row r="4784" spans="3:20">
      <c r="C4784" s="232"/>
      <c r="E4784" s="232"/>
      <c r="G4784" s="232"/>
      <c r="I4784" s="232"/>
      <c r="K4784" s="232"/>
      <c r="M4784" s="232"/>
      <c r="P4784" s="232"/>
      <c r="R4784" s="232"/>
      <c r="T4784" s="232"/>
    </row>
    <row r="4785" spans="3:20">
      <c r="C4785" s="232"/>
      <c r="E4785" s="232"/>
      <c r="G4785" s="232"/>
      <c r="I4785" s="232"/>
      <c r="K4785" s="232"/>
      <c r="M4785" s="232"/>
      <c r="P4785" s="232"/>
      <c r="R4785" s="232"/>
      <c r="T4785" s="232"/>
    </row>
    <row r="4786" spans="3:20">
      <c r="C4786" s="232"/>
      <c r="E4786" s="232"/>
      <c r="G4786" s="232"/>
      <c r="I4786" s="232"/>
      <c r="K4786" s="232"/>
      <c r="M4786" s="232"/>
      <c r="P4786" s="232"/>
      <c r="R4786" s="232"/>
      <c r="T4786" s="232"/>
    </row>
    <row r="4787" spans="3:20">
      <c r="C4787" s="232"/>
      <c r="E4787" s="232"/>
      <c r="G4787" s="232"/>
      <c r="I4787" s="232"/>
      <c r="K4787" s="232"/>
      <c r="M4787" s="232"/>
      <c r="P4787" s="232"/>
      <c r="R4787" s="232"/>
      <c r="T4787" s="232"/>
    </row>
    <row r="4788" spans="3:20">
      <c r="C4788" s="232"/>
      <c r="E4788" s="232"/>
      <c r="G4788" s="232"/>
      <c r="I4788" s="232"/>
      <c r="K4788" s="232"/>
      <c r="M4788" s="232"/>
      <c r="P4788" s="232"/>
      <c r="R4788" s="232"/>
      <c r="T4788" s="232"/>
    </row>
    <row r="4789" spans="3:20">
      <c r="C4789" s="232"/>
      <c r="E4789" s="232"/>
      <c r="G4789" s="232"/>
      <c r="I4789" s="232"/>
      <c r="K4789" s="232"/>
      <c r="M4789" s="232"/>
      <c r="P4789" s="232"/>
      <c r="R4789" s="232"/>
      <c r="T4789" s="232"/>
    </row>
    <row r="4790" spans="3:20">
      <c r="C4790" s="232"/>
      <c r="E4790" s="232"/>
      <c r="G4790" s="232"/>
      <c r="I4790" s="232"/>
      <c r="K4790" s="232"/>
      <c r="M4790" s="232"/>
      <c r="P4790" s="232"/>
      <c r="R4790" s="232"/>
      <c r="T4790" s="232"/>
    </row>
    <row r="4791" spans="3:20">
      <c r="C4791" s="232"/>
      <c r="E4791" s="232"/>
      <c r="G4791" s="232"/>
      <c r="I4791" s="232"/>
      <c r="K4791" s="232"/>
      <c r="M4791" s="232"/>
      <c r="P4791" s="232"/>
      <c r="R4791" s="232"/>
      <c r="T4791" s="232"/>
    </row>
    <row r="4792" spans="3:20">
      <c r="C4792" s="232"/>
      <c r="E4792" s="232"/>
      <c r="G4792" s="232"/>
      <c r="I4792" s="232"/>
      <c r="K4792" s="232"/>
      <c r="M4792" s="232"/>
      <c r="P4792" s="232"/>
      <c r="R4792" s="232"/>
      <c r="T4792" s="232"/>
    </row>
    <row r="4793" spans="3:20">
      <c r="C4793" s="232"/>
      <c r="E4793" s="232"/>
      <c r="G4793" s="232"/>
      <c r="I4793" s="232"/>
      <c r="K4793" s="232"/>
      <c r="M4793" s="232"/>
      <c r="P4793" s="232"/>
      <c r="R4793" s="232"/>
      <c r="T4793" s="232"/>
    </row>
    <row r="4794" spans="3:20">
      <c r="C4794" s="232"/>
      <c r="E4794" s="232"/>
      <c r="G4794" s="232"/>
      <c r="I4794" s="232"/>
      <c r="K4794" s="232"/>
      <c r="M4794" s="232"/>
      <c r="P4794" s="232"/>
      <c r="R4794" s="232"/>
      <c r="T4794" s="232"/>
    </row>
    <row r="4795" spans="3:20">
      <c r="C4795" s="232"/>
      <c r="E4795" s="232"/>
      <c r="G4795" s="232"/>
      <c r="I4795" s="232"/>
      <c r="K4795" s="232"/>
      <c r="M4795" s="232"/>
      <c r="P4795" s="232"/>
      <c r="R4795" s="232"/>
      <c r="T4795" s="232"/>
    </row>
    <row r="4796" spans="3:20">
      <c r="C4796" s="232"/>
      <c r="E4796" s="232"/>
      <c r="G4796" s="232"/>
      <c r="I4796" s="232"/>
      <c r="K4796" s="232"/>
      <c r="M4796" s="232"/>
      <c r="P4796" s="232"/>
      <c r="R4796" s="232"/>
      <c r="T4796" s="232"/>
    </row>
    <row r="4797" spans="3:20">
      <c r="C4797" s="232"/>
      <c r="E4797" s="232"/>
      <c r="G4797" s="232"/>
      <c r="I4797" s="232"/>
      <c r="K4797" s="232"/>
      <c r="M4797" s="232"/>
      <c r="P4797" s="232"/>
      <c r="R4797" s="232"/>
      <c r="T4797" s="232"/>
    </row>
    <row r="4798" spans="3:20">
      <c r="C4798" s="232"/>
      <c r="E4798" s="232"/>
      <c r="G4798" s="232"/>
      <c r="I4798" s="232"/>
      <c r="K4798" s="232"/>
      <c r="M4798" s="232"/>
      <c r="P4798" s="232"/>
      <c r="R4798" s="232"/>
      <c r="T4798" s="232"/>
    </row>
    <row r="4799" spans="3:20">
      <c r="C4799" s="232"/>
      <c r="E4799" s="232"/>
      <c r="G4799" s="232"/>
      <c r="I4799" s="232"/>
      <c r="K4799" s="232"/>
      <c r="M4799" s="232"/>
      <c r="P4799" s="232"/>
      <c r="R4799" s="232"/>
      <c r="T4799" s="232"/>
    </row>
    <row r="4800" spans="3:20">
      <c r="C4800" s="232"/>
      <c r="E4800" s="232"/>
      <c r="G4800" s="232"/>
      <c r="I4800" s="232"/>
      <c r="K4800" s="232"/>
      <c r="M4800" s="232"/>
      <c r="P4800" s="232"/>
      <c r="R4800" s="232"/>
      <c r="T4800" s="232"/>
    </row>
    <row r="4801" spans="3:20">
      <c r="C4801" s="232"/>
      <c r="E4801" s="232"/>
      <c r="G4801" s="232"/>
      <c r="I4801" s="232"/>
      <c r="K4801" s="232"/>
      <c r="M4801" s="232"/>
      <c r="P4801" s="232"/>
      <c r="R4801" s="232"/>
      <c r="T4801" s="232"/>
    </row>
    <row r="4802" spans="3:20">
      <c r="C4802" s="232"/>
      <c r="E4802" s="232"/>
      <c r="G4802" s="232"/>
      <c r="I4802" s="232"/>
      <c r="K4802" s="232"/>
      <c r="M4802" s="232"/>
      <c r="P4802" s="232"/>
      <c r="R4802" s="232"/>
      <c r="T4802" s="232"/>
    </row>
    <row r="4803" spans="3:20">
      <c r="C4803" s="232"/>
      <c r="E4803" s="232"/>
      <c r="G4803" s="232"/>
      <c r="I4803" s="232"/>
      <c r="K4803" s="232"/>
      <c r="M4803" s="232"/>
      <c r="P4803" s="232"/>
      <c r="R4803" s="232"/>
      <c r="T4803" s="232"/>
    </row>
    <row r="4804" spans="3:20">
      <c r="C4804" s="232"/>
      <c r="E4804" s="232"/>
      <c r="G4804" s="232"/>
      <c r="I4804" s="232"/>
      <c r="K4804" s="232"/>
      <c r="M4804" s="232"/>
      <c r="P4804" s="232"/>
      <c r="R4804" s="232"/>
      <c r="T4804" s="232"/>
    </row>
    <row r="4805" spans="3:20">
      <c r="C4805" s="232"/>
      <c r="E4805" s="232"/>
      <c r="G4805" s="232"/>
      <c r="I4805" s="232"/>
      <c r="K4805" s="232"/>
      <c r="M4805" s="232"/>
      <c r="P4805" s="232"/>
      <c r="R4805" s="232"/>
      <c r="T4805" s="232"/>
    </row>
    <row r="4806" spans="3:20">
      <c r="C4806" s="232"/>
      <c r="E4806" s="232"/>
      <c r="G4806" s="232"/>
      <c r="I4806" s="232"/>
      <c r="K4806" s="232"/>
      <c r="M4806" s="232"/>
      <c r="P4806" s="232"/>
      <c r="R4806" s="232"/>
      <c r="T4806" s="232"/>
    </row>
    <row r="4807" spans="3:20">
      <c r="C4807" s="232"/>
      <c r="E4807" s="232"/>
      <c r="G4807" s="232"/>
      <c r="I4807" s="232"/>
      <c r="K4807" s="232"/>
      <c r="M4807" s="232"/>
      <c r="P4807" s="232"/>
      <c r="R4807" s="232"/>
      <c r="T4807" s="232"/>
    </row>
    <row r="4808" spans="3:20">
      <c r="C4808" s="232"/>
      <c r="E4808" s="232"/>
      <c r="G4808" s="232"/>
      <c r="I4808" s="232"/>
      <c r="K4808" s="232"/>
      <c r="M4808" s="232"/>
      <c r="P4808" s="232"/>
      <c r="R4808" s="232"/>
      <c r="T4808" s="232"/>
    </row>
    <row r="4809" spans="3:20">
      <c r="C4809" s="232"/>
      <c r="E4809" s="232"/>
      <c r="G4809" s="232"/>
      <c r="I4809" s="232"/>
      <c r="K4809" s="232"/>
      <c r="M4809" s="232"/>
      <c r="P4809" s="232"/>
      <c r="R4809" s="232"/>
      <c r="T4809" s="232"/>
    </row>
    <row r="4810" spans="3:20">
      <c r="C4810" s="232"/>
      <c r="E4810" s="232"/>
      <c r="G4810" s="232"/>
      <c r="I4810" s="232"/>
      <c r="K4810" s="232"/>
      <c r="M4810" s="232"/>
      <c r="P4810" s="232"/>
      <c r="R4810" s="232"/>
      <c r="T4810" s="232"/>
    </row>
    <row r="4811" spans="3:20">
      <c r="C4811" s="232"/>
      <c r="E4811" s="232"/>
      <c r="G4811" s="232"/>
      <c r="I4811" s="232"/>
      <c r="K4811" s="232"/>
      <c r="M4811" s="232"/>
      <c r="P4811" s="232"/>
      <c r="R4811" s="232"/>
      <c r="T4811" s="232"/>
    </row>
    <row r="4812" spans="3:20">
      <c r="C4812" s="232"/>
      <c r="E4812" s="232"/>
      <c r="G4812" s="232"/>
      <c r="I4812" s="232"/>
      <c r="K4812" s="232"/>
      <c r="M4812" s="232"/>
      <c r="P4812" s="232"/>
      <c r="R4812" s="232"/>
      <c r="T4812" s="232"/>
    </row>
    <row r="4813" spans="3:20">
      <c r="C4813" s="232"/>
      <c r="E4813" s="232"/>
      <c r="G4813" s="232"/>
      <c r="I4813" s="232"/>
      <c r="K4813" s="232"/>
      <c r="M4813" s="232"/>
      <c r="P4813" s="232"/>
      <c r="R4813" s="232"/>
      <c r="T4813" s="232"/>
    </row>
    <row r="4814" spans="3:20">
      <c r="C4814" s="232"/>
      <c r="E4814" s="232"/>
      <c r="G4814" s="232"/>
      <c r="I4814" s="232"/>
      <c r="K4814" s="232"/>
      <c r="M4814" s="232"/>
      <c r="P4814" s="232"/>
      <c r="R4814" s="232"/>
      <c r="T4814" s="232"/>
    </row>
    <row r="4815" spans="3:20">
      <c r="C4815" s="232"/>
      <c r="E4815" s="232"/>
      <c r="G4815" s="232"/>
      <c r="I4815" s="232"/>
      <c r="K4815" s="232"/>
      <c r="M4815" s="232"/>
      <c r="P4815" s="232"/>
      <c r="R4815" s="232"/>
      <c r="T4815" s="232"/>
    </row>
    <row r="4816" spans="3:20">
      <c r="C4816" s="232"/>
      <c r="E4816" s="232"/>
      <c r="G4816" s="232"/>
      <c r="I4816" s="232"/>
      <c r="K4816" s="232"/>
      <c r="M4816" s="232"/>
      <c r="P4816" s="232"/>
      <c r="R4816" s="232"/>
      <c r="T4816" s="232"/>
    </row>
    <row r="4817" spans="3:20">
      <c r="C4817" s="232"/>
      <c r="E4817" s="232"/>
      <c r="G4817" s="232"/>
      <c r="I4817" s="232"/>
      <c r="K4817" s="232"/>
      <c r="M4817" s="232"/>
      <c r="P4817" s="232"/>
      <c r="R4817" s="232"/>
      <c r="T4817" s="232"/>
    </row>
    <row r="4818" spans="3:20">
      <c r="C4818" s="232"/>
      <c r="E4818" s="232"/>
      <c r="G4818" s="232"/>
      <c r="I4818" s="232"/>
      <c r="K4818" s="232"/>
      <c r="M4818" s="232"/>
      <c r="P4818" s="232"/>
      <c r="R4818" s="232"/>
      <c r="T4818" s="232"/>
    </row>
    <row r="4819" spans="3:20">
      <c r="C4819" s="232"/>
      <c r="E4819" s="232"/>
      <c r="G4819" s="232"/>
      <c r="I4819" s="232"/>
      <c r="K4819" s="232"/>
      <c r="M4819" s="232"/>
      <c r="P4819" s="232"/>
      <c r="R4819" s="232"/>
      <c r="T4819" s="232"/>
    </row>
    <row r="4820" spans="3:20">
      <c r="C4820" s="232"/>
      <c r="E4820" s="232"/>
      <c r="G4820" s="232"/>
      <c r="I4820" s="232"/>
      <c r="K4820" s="232"/>
      <c r="M4820" s="232"/>
      <c r="P4820" s="232"/>
      <c r="R4820" s="232"/>
      <c r="T4820" s="232"/>
    </row>
    <row r="4821" spans="3:20">
      <c r="C4821" s="232"/>
      <c r="E4821" s="232"/>
      <c r="G4821" s="232"/>
      <c r="I4821" s="232"/>
      <c r="K4821" s="232"/>
      <c r="M4821" s="232"/>
      <c r="P4821" s="232"/>
      <c r="R4821" s="232"/>
      <c r="T4821" s="232"/>
    </row>
    <row r="4822" spans="3:20">
      <c r="C4822" s="232"/>
      <c r="E4822" s="232"/>
      <c r="G4822" s="232"/>
      <c r="I4822" s="232"/>
      <c r="K4822" s="232"/>
      <c r="M4822" s="232"/>
      <c r="P4822" s="232"/>
      <c r="R4822" s="232"/>
      <c r="T4822" s="232"/>
    </row>
    <row r="4823" spans="3:20">
      <c r="C4823" s="232"/>
      <c r="E4823" s="232"/>
      <c r="G4823" s="232"/>
      <c r="I4823" s="232"/>
      <c r="K4823" s="232"/>
      <c r="M4823" s="232"/>
      <c r="P4823" s="232"/>
      <c r="R4823" s="232"/>
      <c r="T4823" s="232"/>
    </row>
    <row r="4824" spans="3:20">
      <c r="C4824" s="232"/>
      <c r="E4824" s="232"/>
      <c r="G4824" s="232"/>
      <c r="I4824" s="232"/>
      <c r="K4824" s="232"/>
      <c r="M4824" s="232"/>
      <c r="P4824" s="232"/>
      <c r="R4824" s="232"/>
      <c r="T4824" s="232"/>
    </row>
    <row r="4825" spans="3:20">
      <c r="C4825" s="232"/>
      <c r="E4825" s="232"/>
      <c r="G4825" s="232"/>
      <c r="I4825" s="232"/>
      <c r="K4825" s="232"/>
      <c r="M4825" s="232"/>
      <c r="P4825" s="232"/>
      <c r="R4825" s="232"/>
      <c r="T4825" s="232"/>
    </row>
    <row r="4826" spans="3:20">
      <c r="C4826" s="232"/>
      <c r="E4826" s="232"/>
      <c r="G4826" s="232"/>
      <c r="I4826" s="232"/>
      <c r="K4826" s="232"/>
      <c r="M4826" s="232"/>
      <c r="P4826" s="232"/>
      <c r="R4826" s="232"/>
      <c r="T4826" s="232"/>
    </row>
    <row r="4827" spans="3:20">
      <c r="C4827" s="232"/>
      <c r="E4827" s="232"/>
      <c r="G4827" s="232"/>
      <c r="I4827" s="232"/>
      <c r="K4827" s="232"/>
      <c r="M4827" s="232"/>
      <c r="P4827" s="232"/>
      <c r="R4827" s="232"/>
      <c r="T4827" s="232"/>
    </row>
    <row r="4828" spans="3:20">
      <c r="C4828" s="232"/>
      <c r="E4828" s="232"/>
      <c r="G4828" s="232"/>
      <c r="I4828" s="232"/>
      <c r="K4828" s="232"/>
      <c r="M4828" s="232"/>
      <c r="P4828" s="232"/>
      <c r="R4828" s="232"/>
      <c r="T4828" s="232"/>
    </row>
    <row r="4829" spans="3:20">
      <c r="C4829" s="232"/>
      <c r="E4829" s="232"/>
      <c r="G4829" s="232"/>
      <c r="I4829" s="232"/>
      <c r="K4829" s="232"/>
      <c r="M4829" s="232"/>
      <c r="P4829" s="232"/>
      <c r="R4829" s="232"/>
      <c r="T4829" s="232"/>
    </row>
    <row r="4830" spans="3:20">
      <c r="C4830" s="232"/>
      <c r="E4830" s="232"/>
      <c r="G4830" s="232"/>
      <c r="I4830" s="232"/>
      <c r="K4830" s="232"/>
      <c r="M4830" s="232"/>
      <c r="P4830" s="232"/>
      <c r="R4830" s="232"/>
      <c r="T4830" s="232"/>
    </row>
    <row r="4831" spans="3:20">
      <c r="C4831" s="232"/>
      <c r="E4831" s="232"/>
      <c r="G4831" s="232"/>
      <c r="I4831" s="232"/>
      <c r="K4831" s="232"/>
      <c r="M4831" s="232"/>
      <c r="P4831" s="232"/>
      <c r="R4831" s="232"/>
      <c r="T4831" s="232"/>
    </row>
    <row r="4832" spans="3:20">
      <c r="C4832" s="232"/>
      <c r="E4832" s="232"/>
      <c r="G4832" s="232"/>
      <c r="I4832" s="232"/>
      <c r="K4832" s="232"/>
      <c r="M4832" s="232"/>
      <c r="P4832" s="232"/>
      <c r="R4832" s="232"/>
      <c r="T4832" s="232"/>
    </row>
    <row r="4833" spans="3:20">
      <c r="C4833" s="232"/>
      <c r="E4833" s="232"/>
      <c r="G4833" s="232"/>
      <c r="I4833" s="232"/>
      <c r="K4833" s="232"/>
      <c r="M4833" s="232"/>
      <c r="P4833" s="232"/>
      <c r="R4833" s="232"/>
      <c r="T4833" s="232"/>
    </row>
    <row r="4834" spans="3:20">
      <c r="C4834" s="232"/>
      <c r="E4834" s="232"/>
      <c r="G4834" s="232"/>
      <c r="I4834" s="232"/>
      <c r="K4834" s="232"/>
      <c r="M4834" s="232"/>
      <c r="P4834" s="232"/>
      <c r="R4834" s="232"/>
      <c r="T4834" s="232"/>
    </row>
    <row r="4835" spans="3:20">
      <c r="C4835" s="232"/>
      <c r="E4835" s="232"/>
      <c r="G4835" s="232"/>
      <c r="I4835" s="232"/>
      <c r="K4835" s="232"/>
      <c r="M4835" s="232"/>
      <c r="P4835" s="232"/>
      <c r="R4835" s="232"/>
      <c r="T4835" s="232"/>
    </row>
    <row r="4836" spans="3:20">
      <c r="C4836" s="232"/>
      <c r="E4836" s="232"/>
      <c r="G4836" s="232"/>
      <c r="I4836" s="232"/>
      <c r="K4836" s="232"/>
      <c r="M4836" s="232"/>
      <c r="P4836" s="232"/>
      <c r="R4836" s="232"/>
      <c r="T4836" s="232"/>
    </row>
    <row r="4837" spans="3:20">
      <c r="C4837" s="232"/>
      <c r="E4837" s="232"/>
      <c r="G4837" s="232"/>
      <c r="I4837" s="232"/>
      <c r="K4837" s="232"/>
      <c r="M4837" s="232"/>
      <c r="P4837" s="232"/>
      <c r="R4837" s="232"/>
      <c r="T4837" s="232"/>
    </row>
    <row r="4838" spans="3:20">
      <c r="C4838" s="232"/>
      <c r="E4838" s="232"/>
      <c r="G4838" s="232"/>
      <c r="I4838" s="232"/>
      <c r="K4838" s="232"/>
      <c r="M4838" s="232"/>
      <c r="P4838" s="232"/>
      <c r="R4838" s="232"/>
      <c r="T4838" s="232"/>
    </row>
    <row r="4839" spans="3:20">
      <c r="C4839" s="232"/>
      <c r="E4839" s="232"/>
      <c r="G4839" s="232"/>
      <c r="I4839" s="232"/>
      <c r="K4839" s="232"/>
      <c r="M4839" s="232"/>
      <c r="P4839" s="232"/>
      <c r="R4839" s="232"/>
      <c r="T4839" s="232"/>
    </row>
    <row r="4840" spans="3:20">
      <c r="C4840" s="232"/>
      <c r="E4840" s="232"/>
      <c r="G4840" s="232"/>
      <c r="I4840" s="232"/>
      <c r="K4840" s="232"/>
      <c r="M4840" s="232"/>
      <c r="P4840" s="232"/>
      <c r="R4840" s="232"/>
      <c r="T4840" s="232"/>
    </row>
    <row r="4841" spans="3:20">
      <c r="C4841" s="232"/>
      <c r="E4841" s="232"/>
      <c r="G4841" s="232"/>
      <c r="I4841" s="232"/>
      <c r="K4841" s="232"/>
      <c r="M4841" s="232"/>
      <c r="P4841" s="232"/>
      <c r="R4841" s="232"/>
      <c r="T4841" s="232"/>
    </row>
    <row r="4842" spans="3:20">
      <c r="C4842" s="232"/>
      <c r="E4842" s="232"/>
      <c r="G4842" s="232"/>
      <c r="I4842" s="232"/>
      <c r="K4842" s="232"/>
      <c r="M4842" s="232"/>
      <c r="P4842" s="232"/>
      <c r="R4842" s="232"/>
      <c r="T4842" s="232"/>
    </row>
    <row r="4843" spans="3:20">
      <c r="C4843" s="232"/>
      <c r="E4843" s="232"/>
      <c r="G4843" s="232"/>
      <c r="I4843" s="232"/>
      <c r="K4843" s="232"/>
      <c r="M4843" s="232"/>
      <c r="P4843" s="232"/>
      <c r="R4843" s="232"/>
      <c r="T4843" s="232"/>
    </row>
    <row r="4844" spans="3:20">
      <c r="C4844" s="232"/>
      <c r="E4844" s="232"/>
      <c r="G4844" s="232"/>
      <c r="I4844" s="232"/>
      <c r="K4844" s="232"/>
      <c r="M4844" s="232"/>
      <c r="P4844" s="232"/>
      <c r="R4844" s="232"/>
      <c r="T4844" s="232"/>
    </row>
    <row r="4845" spans="3:20">
      <c r="C4845" s="232"/>
      <c r="E4845" s="232"/>
      <c r="G4845" s="232"/>
      <c r="I4845" s="232"/>
      <c r="K4845" s="232"/>
      <c r="M4845" s="232"/>
      <c r="P4845" s="232"/>
      <c r="R4845" s="232"/>
      <c r="T4845" s="232"/>
    </row>
    <row r="4846" spans="3:20">
      <c r="C4846" s="232"/>
      <c r="E4846" s="232"/>
      <c r="G4846" s="232"/>
      <c r="I4846" s="232"/>
      <c r="K4846" s="232"/>
      <c r="M4846" s="232"/>
      <c r="P4846" s="232"/>
      <c r="R4846" s="232"/>
      <c r="T4846" s="232"/>
    </row>
    <row r="4847" spans="3:20">
      <c r="C4847" s="232"/>
      <c r="E4847" s="232"/>
      <c r="G4847" s="232"/>
      <c r="I4847" s="232"/>
      <c r="K4847" s="232"/>
      <c r="M4847" s="232"/>
      <c r="P4847" s="232"/>
      <c r="R4847" s="232"/>
      <c r="T4847" s="232"/>
    </row>
    <row r="4848" spans="3:20">
      <c r="C4848" s="232"/>
      <c r="E4848" s="232"/>
      <c r="G4848" s="232"/>
      <c r="I4848" s="232"/>
      <c r="K4848" s="232"/>
      <c r="M4848" s="232"/>
      <c r="P4848" s="232"/>
      <c r="R4848" s="232"/>
      <c r="T4848" s="232"/>
    </row>
    <row r="4849" spans="3:20">
      <c r="C4849" s="232"/>
      <c r="E4849" s="232"/>
      <c r="G4849" s="232"/>
      <c r="I4849" s="232"/>
      <c r="K4849" s="232"/>
      <c r="M4849" s="232"/>
      <c r="P4849" s="232"/>
      <c r="R4849" s="232"/>
      <c r="T4849" s="232"/>
    </row>
    <row r="4850" spans="3:20">
      <c r="C4850" s="232"/>
      <c r="E4850" s="232"/>
      <c r="G4850" s="232"/>
      <c r="I4850" s="232"/>
      <c r="K4850" s="232"/>
      <c r="M4850" s="232"/>
      <c r="P4850" s="232"/>
      <c r="R4850" s="232"/>
      <c r="T4850" s="232"/>
    </row>
    <row r="4851" spans="3:20">
      <c r="C4851" s="232"/>
      <c r="E4851" s="232"/>
      <c r="G4851" s="232"/>
      <c r="I4851" s="232"/>
      <c r="K4851" s="232"/>
      <c r="M4851" s="232"/>
      <c r="P4851" s="232"/>
      <c r="R4851" s="232"/>
      <c r="T4851" s="232"/>
    </row>
    <row r="4852" spans="3:20">
      <c r="C4852" s="232"/>
      <c r="E4852" s="232"/>
      <c r="G4852" s="232"/>
      <c r="I4852" s="232"/>
      <c r="K4852" s="232"/>
      <c r="M4852" s="232"/>
      <c r="P4852" s="232"/>
      <c r="R4852" s="232"/>
      <c r="T4852" s="232"/>
    </row>
    <row r="4853" spans="3:20">
      <c r="C4853" s="232"/>
      <c r="E4853" s="232"/>
      <c r="G4853" s="232"/>
      <c r="I4853" s="232"/>
      <c r="K4853" s="232"/>
      <c r="M4853" s="232"/>
      <c r="P4853" s="232"/>
      <c r="R4853" s="232"/>
      <c r="T4853" s="232"/>
    </row>
    <row r="4854" spans="3:20">
      <c r="C4854" s="232"/>
      <c r="E4854" s="232"/>
      <c r="G4854" s="232"/>
      <c r="I4854" s="232"/>
      <c r="K4854" s="232"/>
      <c r="M4854" s="232"/>
      <c r="P4854" s="232"/>
      <c r="R4854" s="232"/>
      <c r="T4854" s="232"/>
    </row>
    <row r="4855" spans="3:20">
      <c r="C4855" s="232"/>
      <c r="E4855" s="232"/>
      <c r="G4855" s="232"/>
      <c r="I4855" s="232"/>
      <c r="K4855" s="232"/>
      <c r="M4855" s="232"/>
      <c r="P4855" s="232"/>
      <c r="R4855" s="232"/>
      <c r="T4855" s="232"/>
    </row>
    <row r="4856" spans="3:20">
      <c r="C4856" s="232"/>
      <c r="E4856" s="232"/>
      <c r="G4856" s="232"/>
      <c r="I4856" s="232"/>
      <c r="K4856" s="232"/>
      <c r="M4856" s="232"/>
      <c r="P4856" s="232"/>
      <c r="R4856" s="232"/>
      <c r="T4856" s="232"/>
    </row>
    <row r="4857" spans="3:20">
      <c r="C4857" s="232"/>
      <c r="E4857" s="232"/>
      <c r="G4857" s="232"/>
      <c r="I4857" s="232"/>
      <c r="K4857" s="232"/>
      <c r="M4857" s="232"/>
      <c r="P4857" s="232"/>
      <c r="R4857" s="232"/>
      <c r="T4857" s="232"/>
    </row>
    <row r="4858" spans="3:20">
      <c r="C4858" s="232"/>
      <c r="E4858" s="232"/>
      <c r="G4858" s="232"/>
      <c r="I4858" s="232"/>
      <c r="K4858" s="232"/>
      <c r="M4858" s="232"/>
      <c r="P4858" s="232"/>
      <c r="R4858" s="232"/>
      <c r="T4858" s="232"/>
    </row>
    <row r="4859" spans="3:20">
      <c r="C4859" s="232"/>
      <c r="E4859" s="232"/>
      <c r="G4859" s="232"/>
      <c r="I4859" s="232"/>
      <c r="K4859" s="232"/>
      <c r="M4859" s="232"/>
      <c r="P4859" s="232"/>
      <c r="R4859" s="232"/>
      <c r="T4859" s="232"/>
    </row>
    <row r="4860" spans="3:20">
      <c r="C4860" s="232"/>
      <c r="E4860" s="232"/>
      <c r="G4860" s="232"/>
      <c r="I4860" s="232"/>
      <c r="K4860" s="232"/>
      <c r="M4860" s="232"/>
      <c r="P4860" s="232"/>
      <c r="R4860" s="232"/>
      <c r="T4860" s="232"/>
    </row>
    <row r="4861" spans="3:20">
      <c r="C4861" s="232"/>
      <c r="E4861" s="232"/>
      <c r="G4861" s="232"/>
      <c r="I4861" s="232"/>
      <c r="K4861" s="232"/>
      <c r="M4861" s="232"/>
      <c r="P4861" s="232"/>
      <c r="R4861" s="232"/>
      <c r="T4861" s="232"/>
    </row>
    <row r="4862" spans="3:20">
      <c r="C4862" s="232"/>
      <c r="E4862" s="232"/>
      <c r="G4862" s="232"/>
      <c r="I4862" s="232"/>
      <c r="K4862" s="232"/>
      <c r="M4862" s="232"/>
      <c r="P4862" s="232"/>
      <c r="R4862" s="232"/>
      <c r="T4862" s="232"/>
    </row>
    <row r="4863" spans="3:20">
      <c r="C4863" s="232"/>
      <c r="E4863" s="232"/>
      <c r="G4863" s="232"/>
      <c r="I4863" s="232"/>
      <c r="K4863" s="232"/>
      <c r="M4863" s="232"/>
      <c r="P4863" s="232"/>
      <c r="R4863" s="232"/>
      <c r="T4863" s="232"/>
    </row>
    <row r="4864" spans="3:20">
      <c r="C4864" s="232"/>
      <c r="E4864" s="232"/>
      <c r="G4864" s="232"/>
      <c r="I4864" s="232"/>
      <c r="K4864" s="232"/>
      <c r="M4864" s="232"/>
      <c r="P4864" s="232"/>
      <c r="R4864" s="232"/>
      <c r="T4864" s="232"/>
    </row>
    <row r="4865" spans="3:20">
      <c r="C4865" s="232"/>
      <c r="E4865" s="232"/>
      <c r="G4865" s="232"/>
      <c r="I4865" s="232"/>
      <c r="K4865" s="232"/>
      <c r="M4865" s="232"/>
      <c r="P4865" s="232"/>
      <c r="R4865" s="232"/>
      <c r="T4865" s="232"/>
    </row>
    <row r="4866" spans="3:20">
      <c r="C4866" s="232"/>
      <c r="E4866" s="232"/>
      <c r="G4866" s="232"/>
      <c r="I4866" s="232"/>
      <c r="K4866" s="232"/>
      <c r="M4866" s="232"/>
      <c r="P4866" s="232"/>
      <c r="R4866" s="232"/>
      <c r="T4866" s="232"/>
    </row>
    <row r="4867" spans="3:20">
      <c r="C4867" s="232"/>
      <c r="E4867" s="232"/>
      <c r="G4867" s="232"/>
      <c r="I4867" s="232"/>
      <c r="K4867" s="232"/>
      <c r="M4867" s="232"/>
      <c r="P4867" s="232"/>
      <c r="R4867" s="232"/>
      <c r="T4867" s="232"/>
    </row>
    <row r="4868" spans="3:20">
      <c r="C4868" s="232"/>
      <c r="E4868" s="232"/>
      <c r="G4868" s="232"/>
      <c r="I4868" s="232"/>
      <c r="K4868" s="232"/>
      <c r="M4868" s="232"/>
      <c r="P4868" s="232"/>
      <c r="R4868" s="232"/>
      <c r="T4868" s="232"/>
    </row>
    <row r="4869" spans="3:20">
      <c r="C4869" s="232"/>
      <c r="E4869" s="232"/>
      <c r="G4869" s="232"/>
      <c r="I4869" s="232"/>
      <c r="K4869" s="232"/>
      <c r="M4869" s="232"/>
      <c r="P4869" s="232"/>
      <c r="R4869" s="232"/>
      <c r="T4869" s="232"/>
    </row>
    <row r="4870" spans="3:20">
      <c r="C4870" s="232"/>
      <c r="E4870" s="232"/>
      <c r="G4870" s="232"/>
      <c r="I4870" s="232"/>
      <c r="K4870" s="232"/>
      <c r="M4870" s="232"/>
      <c r="P4870" s="232"/>
      <c r="R4870" s="232"/>
      <c r="T4870" s="232"/>
    </row>
    <row r="4871" spans="3:20">
      <c r="C4871" s="232"/>
      <c r="E4871" s="232"/>
      <c r="G4871" s="232"/>
      <c r="I4871" s="232"/>
      <c r="K4871" s="232"/>
      <c r="M4871" s="232"/>
      <c r="P4871" s="232"/>
      <c r="R4871" s="232"/>
      <c r="T4871" s="232"/>
    </row>
    <row r="4872" spans="3:20">
      <c r="C4872" s="232"/>
      <c r="E4872" s="232"/>
      <c r="G4872" s="232"/>
      <c r="I4872" s="232"/>
      <c r="K4872" s="232"/>
      <c r="M4872" s="232"/>
      <c r="P4872" s="232"/>
      <c r="R4872" s="232"/>
      <c r="T4872" s="232"/>
    </row>
    <row r="4873" spans="3:20">
      <c r="C4873" s="232"/>
      <c r="E4873" s="232"/>
      <c r="G4873" s="232"/>
      <c r="I4873" s="232"/>
      <c r="K4873" s="232"/>
      <c r="M4873" s="232"/>
      <c r="P4873" s="232"/>
      <c r="R4873" s="232"/>
      <c r="T4873" s="232"/>
    </row>
    <row r="4874" spans="3:20">
      <c r="C4874" s="232"/>
      <c r="E4874" s="232"/>
      <c r="G4874" s="232"/>
      <c r="I4874" s="232"/>
      <c r="K4874" s="232"/>
      <c r="M4874" s="232"/>
      <c r="P4874" s="232"/>
      <c r="R4874" s="232"/>
      <c r="T4874" s="232"/>
    </row>
    <row r="4875" spans="3:20">
      <c r="C4875" s="232"/>
      <c r="E4875" s="232"/>
      <c r="G4875" s="232"/>
      <c r="I4875" s="232"/>
      <c r="K4875" s="232"/>
      <c r="M4875" s="232"/>
      <c r="P4875" s="232"/>
      <c r="R4875" s="232"/>
      <c r="T4875" s="232"/>
    </row>
    <row r="4876" spans="3:20">
      <c r="C4876" s="232"/>
      <c r="E4876" s="232"/>
      <c r="G4876" s="232"/>
      <c r="I4876" s="232"/>
      <c r="K4876" s="232"/>
      <c r="M4876" s="232"/>
      <c r="P4876" s="232"/>
      <c r="R4876" s="232"/>
      <c r="T4876" s="232"/>
    </row>
    <row r="4877" spans="3:20">
      <c r="C4877" s="232"/>
      <c r="E4877" s="232"/>
      <c r="G4877" s="232"/>
      <c r="I4877" s="232"/>
      <c r="K4877" s="232"/>
      <c r="M4877" s="232"/>
      <c r="P4877" s="232"/>
      <c r="R4877" s="232"/>
      <c r="T4877" s="232"/>
    </row>
    <row r="4878" spans="3:20">
      <c r="C4878" s="232"/>
      <c r="E4878" s="232"/>
      <c r="G4878" s="232"/>
      <c r="I4878" s="232"/>
      <c r="K4878" s="232"/>
      <c r="M4878" s="232"/>
      <c r="P4878" s="232"/>
      <c r="R4878" s="232"/>
      <c r="T4878" s="232"/>
    </row>
    <row r="4879" spans="3:20">
      <c r="C4879" s="232"/>
      <c r="E4879" s="232"/>
      <c r="G4879" s="232"/>
      <c r="I4879" s="232"/>
      <c r="K4879" s="232"/>
      <c r="M4879" s="232"/>
      <c r="P4879" s="232"/>
      <c r="R4879" s="232"/>
      <c r="T4879" s="232"/>
    </row>
    <row r="4880" spans="3:20">
      <c r="C4880" s="232"/>
      <c r="E4880" s="232"/>
      <c r="G4880" s="232"/>
      <c r="I4880" s="232"/>
      <c r="K4880" s="232"/>
      <c r="M4880" s="232"/>
      <c r="P4880" s="232"/>
      <c r="R4880" s="232"/>
      <c r="T4880" s="232"/>
    </row>
    <row r="4881" spans="3:20">
      <c r="C4881" s="232"/>
      <c r="E4881" s="232"/>
      <c r="G4881" s="232"/>
      <c r="I4881" s="232"/>
      <c r="K4881" s="232"/>
      <c r="M4881" s="232"/>
      <c r="P4881" s="232"/>
      <c r="R4881" s="232"/>
      <c r="T4881" s="232"/>
    </row>
    <row r="4882" spans="3:20">
      <c r="C4882" s="232"/>
      <c r="E4882" s="232"/>
      <c r="G4882" s="232"/>
      <c r="I4882" s="232"/>
      <c r="K4882" s="232"/>
      <c r="M4882" s="232"/>
      <c r="P4882" s="232"/>
      <c r="R4882" s="232"/>
      <c r="T4882" s="232"/>
    </row>
    <row r="4883" spans="3:20">
      <c r="C4883" s="232"/>
      <c r="E4883" s="232"/>
      <c r="G4883" s="232"/>
      <c r="I4883" s="232"/>
      <c r="K4883" s="232"/>
      <c r="M4883" s="232"/>
      <c r="P4883" s="232"/>
      <c r="R4883" s="232"/>
      <c r="T4883" s="232"/>
    </row>
    <row r="4884" spans="3:20">
      <c r="C4884" s="232"/>
      <c r="E4884" s="232"/>
      <c r="G4884" s="232"/>
      <c r="I4884" s="232"/>
      <c r="K4884" s="232"/>
      <c r="M4884" s="232"/>
      <c r="P4884" s="232"/>
      <c r="R4884" s="232"/>
      <c r="T4884" s="232"/>
    </row>
    <row r="4885" spans="3:20">
      <c r="C4885" s="232"/>
      <c r="E4885" s="232"/>
      <c r="G4885" s="232"/>
      <c r="I4885" s="232"/>
      <c r="K4885" s="232"/>
      <c r="M4885" s="232"/>
      <c r="P4885" s="232"/>
      <c r="R4885" s="232"/>
      <c r="T4885" s="232"/>
    </row>
    <row r="4886" spans="3:20">
      <c r="C4886" s="232"/>
      <c r="E4886" s="232"/>
      <c r="G4886" s="232"/>
      <c r="I4886" s="232"/>
      <c r="K4886" s="232"/>
      <c r="M4886" s="232"/>
      <c r="P4886" s="232"/>
      <c r="R4886" s="232"/>
      <c r="T4886" s="232"/>
    </row>
    <row r="4887" spans="3:20">
      <c r="C4887" s="232"/>
      <c r="E4887" s="232"/>
      <c r="G4887" s="232"/>
      <c r="I4887" s="232"/>
      <c r="K4887" s="232"/>
      <c r="M4887" s="232"/>
      <c r="P4887" s="232"/>
      <c r="R4887" s="232"/>
      <c r="T4887" s="232"/>
    </row>
    <row r="4888" spans="3:20">
      <c r="C4888" s="232"/>
      <c r="E4888" s="232"/>
      <c r="G4888" s="232"/>
      <c r="I4888" s="232"/>
      <c r="K4888" s="232"/>
      <c r="M4888" s="232"/>
      <c r="P4888" s="232"/>
      <c r="R4888" s="232"/>
      <c r="T4888" s="232"/>
    </row>
    <row r="4889" spans="3:20">
      <c r="C4889" s="232"/>
      <c r="E4889" s="232"/>
      <c r="G4889" s="232"/>
      <c r="I4889" s="232"/>
      <c r="K4889" s="232"/>
      <c r="M4889" s="232"/>
      <c r="P4889" s="232"/>
      <c r="R4889" s="232"/>
      <c r="T4889" s="232"/>
    </row>
    <row r="4890" spans="3:20">
      <c r="C4890" s="232"/>
      <c r="E4890" s="232"/>
      <c r="G4890" s="232"/>
      <c r="I4890" s="232"/>
      <c r="K4890" s="232"/>
      <c r="M4890" s="232"/>
      <c r="P4890" s="232"/>
      <c r="R4890" s="232"/>
      <c r="T4890" s="232"/>
    </row>
    <row r="4891" spans="3:20">
      <c r="C4891" s="232"/>
      <c r="E4891" s="232"/>
      <c r="G4891" s="232"/>
      <c r="I4891" s="232"/>
      <c r="K4891" s="232"/>
      <c r="M4891" s="232"/>
      <c r="P4891" s="232"/>
      <c r="R4891" s="232"/>
      <c r="T4891" s="232"/>
    </row>
    <row r="4892" spans="3:20">
      <c r="C4892" s="232"/>
      <c r="E4892" s="232"/>
      <c r="G4892" s="232"/>
      <c r="I4892" s="232"/>
      <c r="K4892" s="232"/>
      <c r="M4892" s="232"/>
      <c r="P4892" s="232"/>
      <c r="R4892" s="232"/>
      <c r="T4892" s="232"/>
    </row>
    <row r="4893" spans="3:20">
      <c r="C4893" s="232"/>
      <c r="E4893" s="232"/>
      <c r="G4893" s="232"/>
      <c r="I4893" s="232"/>
      <c r="K4893" s="232"/>
      <c r="M4893" s="232"/>
      <c r="P4893" s="232"/>
      <c r="R4893" s="232"/>
      <c r="T4893" s="232"/>
    </row>
    <row r="4894" spans="3:20">
      <c r="C4894" s="232"/>
      <c r="E4894" s="232"/>
      <c r="G4894" s="232"/>
      <c r="I4894" s="232"/>
      <c r="K4894" s="232"/>
      <c r="M4894" s="232"/>
      <c r="P4894" s="232"/>
      <c r="R4894" s="232"/>
      <c r="T4894" s="232"/>
    </row>
    <row r="4895" spans="3:20">
      <c r="C4895" s="232"/>
      <c r="E4895" s="232"/>
      <c r="G4895" s="232"/>
      <c r="I4895" s="232"/>
      <c r="K4895" s="232"/>
      <c r="M4895" s="232"/>
      <c r="P4895" s="232"/>
      <c r="R4895" s="232"/>
      <c r="T4895" s="232"/>
    </row>
    <row r="4896" spans="3:20">
      <c r="C4896" s="232"/>
      <c r="E4896" s="232"/>
      <c r="G4896" s="232"/>
      <c r="I4896" s="232"/>
      <c r="K4896" s="232"/>
      <c r="M4896" s="232"/>
      <c r="P4896" s="232"/>
      <c r="R4896" s="232"/>
      <c r="T4896" s="232"/>
    </row>
    <row r="4897" spans="3:20">
      <c r="C4897" s="232"/>
      <c r="E4897" s="232"/>
      <c r="G4897" s="232"/>
      <c r="I4897" s="232"/>
      <c r="K4897" s="232"/>
      <c r="M4897" s="232"/>
      <c r="P4897" s="232"/>
      <c r="R4897" s="232"/>
      <c r="T4897" s="232"/>
    </row>
    <row r="4898" spans="3:20">
      <c r="C4898" s="232"/>
      <c r="E4898" s="232"/>
      <c r="G4898" s="232"/>
      <c r="I4898" s="232"/>
      <c r="K4898" s="232"/>
      <c r="M4898" s="232"/>
      <c r="P4898" s="232"/>
      <c r="R4898" s="232"/>
      <c r="T4898" s="232"/>
    </row>
    <row r="4899" spans="3:20">
      <c r="C4899" s="232"/>
      <c r="E4899" s="232"/>
      <c r="G4899" s="232"/>
      <c r="I4899" s="232"/>
      <c r="K4899" s="232"/>
      <c r="M4899" s="232"/>
      <c r="P4899" s="232"/>
      <c r="R4899" s="232"/>
      <c r="T4899" s="232"/>
    </row>
    <row r="4900" spans="3:20">
      <c r="C4900" s="232"/>
      <c r="E4900" s="232"/>
      <c r="G4900" s="232"/>
      <c r="I4900" s="232"/>
      <c r="K4900" s="232"/>
      <c r="M4900" s="232"/>
      <c r="P4900" s="232"/>
      <c r="R4900" s="232"/>
      <c r="T4900" s="232"/>
    </row>
    <row r="4901" spans="3:20">
      <c r="C4901" s="232"/>
      <c r="E4901" s="232"/>
      <c r="G4901" s="232"/>
      <c r="I4901" s="232"/>
      <c r="K4901" s="232"/>
      <c r="M4901" s="232"/>
      <c r="P4901" s="232"/>
      <c r="R4901" s="232"/>
      <c r="T4901" s="232"/>
    </row>
    <row r="4902" spans="3:20">
      <c r="C4902" s="232"/>
      <c r="E4902" s="232"/>
      <c r="G4902" s="232"/>
      <c r="I4902" s="232"/>
      <c r="K4902" s="232"/>
      <c r="M4902" s="232"/>
      <c r="P4902" s="232"/>
      <c r="R4902" s="232"/>
      <c r="T4902" s="232"/>
    </row>
    <row r="4903" spans="3:20">
      <c r="C4903" s="232"/>
      <c r="E4903" s="232"/>
      <c r="G4903" s="232"/>
      <c r="I4903" s="232"/>
      <c r="K4903" s="232"/>
      <c r="M4903" s="232"/>
      <c r="P4903" s="232"/>
      <c r="R4903" s="232"/>
      <c r="T4903" s="232"/>
    </row>
    <row r="4904" spans="3:20">
      <c r="C4904" s="232"/>
      <c r="E4904" s="232"/>
      <c r="G4904" s="232"/>
      <c r="I4904" s="232"/>
      <c r="K4904" s="232"/>
      <c r="M4904" s="232"/>
      <c r="P4904" s="232"/>
      <c r="R4904" s="232"/>
      <c r="T4904" s="232"/>
    </row>
    <row r="4905" spans="3:20">
      <c r="C4905" s="232"/>
      <c r="E4905" s="232"/>
      <c r="G4905" s="232"/>
      <c r="I4905" s="232"/>
      <c r="K4905" s="232"/>
      <c r="M4905" s="232"/>
      <c r="P4905" s="232"/>
      <c r="R4905" s="232"/>
      <c r="T4905" s="232"/>
    </row>
    <row r="4906" spans="3:20">
      <c r="C4906" s="232"/>
      <c r="E4906" s="232"/>
      <c r="G4906" s="232"/>
      <c r="I4906" s="232"/>
      <c r="K4906" s="232"/>
      <c r="M4906" s="232"/>
      <c r="P4906" s="232"/>
      <c r="R4906" s="232"/>
      <c r="T4906" s="232"/>
    </row>
    <row r="4907" spans="3:20">
      <c r="C4907" s="232"/>
      <c r="E4907" s="232"/>
      <c r="G4907" s="232"/>
      <c r="I4907" s="232"/>
      <c r="K4907" s="232"/>
      <c r="M4907" s="232"/>
      <c r="P4907" s="232"/>
      <c r="R4907" s="232"/>
      <c r="T4907" s="232"/>
    </row>
    <row r="4908" spans="3:20">
      <c r="C4908" s="232"/>
      <c r="E4908" s="232"/>
      <c r="G4908" s="232"/>
      <c r="I4908" s="232"/>
      <c r="K4908" s="232"/>
      <c r="M4908" s="232"/>
      <c r="P4908" s="232"/>
      <c r="R4908" s="232"/>
      <c r="T4908" s="232"/>
    </row>
    <row r="4909" spans="3:20">
      <c r="C4909" s="232"/>
      <c r="E4909" s="232"/>
      <c r="G4909" s="232"/>
      <c r="I4909" s="232"/>
      <c r="K4909" s="232"/>
      <c r="M4909" s="232"/>
      <c r="P4909" s="232"/>
      <c r="R4909" s="232"/>
      <c r="T4909" s="232"/>
    </row>
    <row r="4910" spans="3:20">
      <c r="C4910" s="232"/>
      <c r="E4910" s="232"/>
      <c r="G4910" s="232"/>
      <c r="I4910" s="232"/>
      <c r="K4910" s="232"/>
      <c r="M4910" s="232"/>
      <c r="P4910" s="232"/>
      <c r="R4910" s="232"/>
      <c r="T4910" s="232"/>
    </row>
    <row r="4911" spans="3:20">
      <c r="C4911" s="232"/>
      <c r="E4911" s="232"/>
      <c r="G4911" s="232"/>
      <c r="I4911" s="232"/>
      <c r="K4911" s="232"/>
      <c r="M4911" s="232"/>
      <c r="P4911" s="232"/>
      <c r="R4911" s="232"/>
      <c r="T4911" s="232"/>
    </row>
    <row r="4912" spans="3:20">
      <c r="C4912" s="232"/>
      <c r="E4912" s="232"/>
      <c r="G4912" s="232"/>
      <c r="I4912" s="232"/>
      <c r="K4912" s="232"/>
      <c r="M4912" s="232"/>
      <c r="P4912" s="232"/>
      <c r="R4912" s="232"/>
      <c r="T4912" s="232"/>
    </row>
    <row r="4913" spans="3:20">
      <c r="C4913" s="232"/>
      <c r="E4913" s="232"/>
      <c r="G4913" s="232"/>
      <c r="I4913" s="232"/>
      <c r="K4913" s="232"/>
      <c r="M4913" s="232"/>
      <c r="P4913" s="232"/>
      <c r="R4913" s="232"/>
      <c r="T4913" s="232"/>
    </row>
    <row r="4914" spans="3:20">
      <c r="C4914" s="232"/>
      <c r="E4914" s="232"/>
      <c r="G4914" s="232"/>
      <c r="I4914" s="232"/>
      <c r="K4914" s="232"/>
      <c r="M4914" s="232"/>
      <c r="P4914" s="232"/>
      <c r="R4914" s="232"/>
      <c r="T4914" s="232"/>
    </row>
    <row r="4915" spans="3:20">
      <c r="C4915" s="232"/>
      <c r="E4915" s="232"/>
      <c r="G4915" s="232"/>
      <c r="I4915" s="232"/>
      <c r="K4915" s="232"/>
      <c r="M4915" s="232"/>
      <c r="P4915" s="232"/>
      <c r="R4915" s="232"/>
      <c r="T4915" s="232"/>
    </row>
    <row r="4916" spans="3:20">
      <c r="C4916" s="232"/>
      <c r="E4916" s="232"/>
      <c r="G4916" s="232"/>
      <c r="I4916" s="232"/>
      <c r="K4916" s="232"/>
      <c r="M4916" s="232"/>
      <c r="P4916" s="232"/>
      <c r="R4916" s="232"/>
      <c r="T4916" s="232"/>
    </row>
    <row r="4917" spans="3:20">
      <c r="C4917" s="232"/>
      <c r="E4917" s="232"/>
      <c r="G4917" s="232"/>
      <c r="I4917" s="232"/>
      <c r="K4917" s="232"/>
      <c r="M4917" s="232"/>
      <c r="P4917" s="232"/>
      <c r="R4917" s="232"/>
      <c r="T4917" s="232"/>
    </row>
    <row r="4918" spans="3:20">
      <c r="C4918" s="232"/>
      <c r="E4918" s="232"/>
      <c r="G4918" s="232"/>
      <c r="I4918" s="232"/>
      <c r="K4918" s="232"/>
      <c r="M4918" s="232"/>
      <c r="P4918" s="232"/>
      <c r="R4918" s="232"/>
      <c r="T4918" s="232"/>
    </row>
    <row r="4919" spans="3:20">
      <c r="C4919" s="232"/>
      <c r="E4919" s="232"/>
      <c r="G4919" s="232"/>
      <c r="I4919" s="232"/>
      <c r="K4919" s="232"/>
      <c r="M4919" s="232"/>
      <c r="P4919" s="232"/>
      <c r="R4919" s="232"/>
      <c r="T4919" s="232"/>
    </row>
    <row r="4920" spans="3:20">
      <c r="C4920" s="232"/>
      <c r="E4920" s="232"/>
      <c r="G4920" s="232"/>
      <c r="I4920" s="232"/>
      <c r="K4920" s="232"/>
      <c r="M4920" s="232"/>
      <c r="P4920" s="232"/>
      <c r="R4920" s="232"/>
      <c r="T4920" s="232"/>
    </row>
    <row r="4921" spans="3:20">
      <c r="C4921" s="232"/>
      <c r="E4921" s="232"/>
      <c r="G4921" s="232"/>
      <c r="I4921" s="232"/>
      <c r="K4921" s="232"/>
      <c r="M4921" s="232"/>
      <c r="P4921" s="232"/>
      <c r="R4921" s="232"/>
      <c r="T4921" s="232"/>
    </row>
    <row r="4922" spans="3:20">
      <c r="C4922" s="232"/>
      <c r="E4922" s="232"/>
      <c r="G4922" s="232"/>
      <c r="I4922" s="232"/>
      <c r="K4922" s="232"/>
      <c r="M4922" s="232"/>
      <c r="P4922" s="232"/>
      <c r="R4922" s="232"/>
      <c r="T4922" s="232"/>
    </row>
    <row r="4923" spans="3:20">
      <c r="C4923" s="232"/>
      <c r="E4923" s="232"/>
      <c r="G4923" s="232"/>
      <c r="I4923" s="232"/>
      <c r="K4923" s="232"/>
      <c r="M4923" s="232"/>
      <c r="P4923" s="232"/>
      <c r="R4923" s="232"/>
      <c r="T4923" s="232"/>
    </row>
    <row r="4924" spans="3:20">
      <c r="C4924" s="232"/>
      <c r="E4924" s="232"/>
      <c r="G4924" s="232"/>
      <c r="I4924" s="232"/>
      <c r="K4924" s="232"/>
      <c r="M4924" s="232"/>
      <c r="P4924" s="232"/>
      <c r="R4924" s="232"/>
      <c r="T4924" s="232"/>
    </row>
    <row r="4925" spans="3:20">
      <c r="C4925" s="232"/>
      <c r="E4925" s="232"/>
      <c r="G4925" s="232"/>
      <c r="I4925" s="232"/>
      <c r="K4925" s="232"/>
      <c r="M4925" s="232"/>
      <c r="P4925" s="232"/>
      <c r="R4925" s="232"/>
      <c r="T4925" s="232"/>
    </row>
    <row r="4926" spans="3:20">
      <c r="C4926" s="232"/>
      <c r="E4926" s="232"/>
      <c r="G4926" s="232"/>
      <c r="I4926" s="232"/>
      <c r="K4926" s="232"/>
      <c r="M4926" s="232"/>
      <c r="P4926" s="232"/>
      <c r="R4926" s="232"/>
      <c r="T4926" s="232"/>
    </row>
    <row r="4927" spans="3:20">
      <c r="C4927" s="232"/>
      <c r="E4927" s="232"/>
      <c r="G4927" s="232"/>
      <c r="I4927" s="232"/>
      <c r="K4927" s="232"/>
      <c r="M4927" s="232"/>
      <c r="P4927" s="232"/>
      <c r="R4927" s="232"/>
      <c r="T4927" s="232"/>
    </row>
    <row r="4928" spans="3:20">
      <c r="C4928" s="232"/>
      <c r="E4928" s="232"/>
      <c r="G4928" s="232"/>
      <c r="I4928" s="232"/>
      <c r="K4928" s="232"/>
      <c r="M4928" s="232"/>
      <c r="P4928" s="232"/>
      <c r="R4928" s="232"/>
      <c r="T4928" s="232"/>
    </row>
    <row r="4929" spans="3:20">
      <c r="C4929" s="232"/>
      <c r="E4929" s="232"/>
      <c r="G4929" s="232"/>
      <c r="I4929" s="232"/>
      <c r="K4929" s="232"/>
      <c r="M4929" s="232"/>
      <c r="P4929" s="232"/>
      <c r="R4929" s="232"/>
      <c r="T4929" s="232"/>
    </row>
    <row r="4930" spans="3:20">
      <c r="C4930" s="232"/>
      <c r="E4930" s="232"/>
      <c r="G4930" s="232"/>
      <c r="I4930" s="232"/>
      <c r="K4930" s="232"/>
      <c r="M4930" s="232"/>
      <c r="P4930" s="232"/>
      <c r="R4930" s="232"/>
      <c r="T4930" s="232"/>
    </row>
    <row r="4931" spans="3:20">
      <c r="C4931" s="232"/>
      <c r="E4931" s="232"/>
      <c r="G4931" s="232"/>
      <c r="I4931" s="232"/>
      <c r="K4931" s="232"/>
      <c r="M4931" s="232"/>
      <c r="P4931" s="232"/>
      <c r="R4931" s="232"/>
      <c r="T4931" s="232"/>
    </row>
    <row r="4932" spans="3:20">
      <c r="C4932" s="232"/>
      <c r="E4932" s="232"/>
      <c r="G4932" s="232"/>
      <c r="I4932" s="232"/>
      <c r="K4932" s="232"/>
      <c r="M4932" s="232"/>
      <c r="P4932" s="232"/>
      <c r="R4932" s="232"/>
      <c r="T4932" s="232"/>
    </row>
    <row r="4933" spans="3:20">
      <c r="C4933" s="232"/>
      <c r="E4933" s="232"/>
      <c r="G4933" s="232"/>
      <c r="I4933" s="232"/>
      <c r="K4933" s="232"/>
      <c r="M4933" s="232"/>
      <c r="P4933" s="232"/>
      <c r="R4933" s="232"/>
      <c r="T4933" s="232"/>
    </row>
    <row r="4934" spans="3:20">
      <c r="C4934" s="232"/>
      <c r="E4934" s="232"/>
      <c r="G4934" s="232"/>
      <c r="I4934" s="232"/>
      <c r="K4934" s="232"/>
      <c r="M4934" s="232"/>
      <c r="P4934" s="232"/>
      <c r="R4934" s="232"/>
      <c r="T4934" s="232"/>
    </row>
    <row r="4935" spans="3:20">
      <c r="C4935" s="232"/>
      <c r="E4935" s="232"/>
      <c r="G4935" s="232"/>
      <c r="I4935" s="232"/>
      <c r="K4935" s="232"/>
      <c r="M4935" s="232"/>
      <c r="P4935" s="232"/>
      <c r="R4935" s="232"/>
      <c r="T4935" s="232"/>
    </row>
    <row r="4936" spans="3:20">
      <c r="C4936" s="232"/>
      <c r="E4936" s="232"/>
      <c r="G4936" s="232"/>
      <c r="I4936" s="232"/>
      <c r="K4936" s="232"/>
      <c r="M4936" s="232"/>
      <c r="P4936" s="232"/>
      <c r="R4936" s="232"/>
      <c r="T4936" s="232"/>
    </row>
    <row r="4937" spans="3:20">
      <c r="C4937" s="232"/>
      <c r="E4937" s="232"/>
      <c r="G4937" s="232"/>
      <c r="I4937" s="232"/>
      <c r="K4937" s="232"/>
      <c r="M4937" s="232"/>
      <c r="P4937" s="232"/>
      <c r="R4937" s="232"/>
      <c r="T4937" s="232"/>
    </row>
    <row r="4938" spans="3:20">
      <c r="C4938" s="232"/>
      <c r="E4938" s="232"/>
      <c r="G4938" s="232"/>
      <c r="I4938" s="232"/>
      <c r="K4938" s="232"/>
      <c r="M4938" s="232"/>
      <c r="P4938" s="232"/>
      <c r="R4938" s="232"/>
      <c r="T4938" s="232"/>
    </row>
    <row r="4939" spans="3:20">
      <c r="C4939" s="232"/>
      <c r="E4939" s="232"/>
      <c r="G4939" s="232"/>
      <c r="I4939" s="232"/>
      <c r="K4939" s="232"/>
      <c r="M4939" s="232"/>
      <c r="P4939" s="232"/>
      <c r="R4939" s="232"/>
      <c r="T4939" s="232"/>
    </row>
    <row r="4940" spans="3:20">
      <c r="C4940" s="232"/>
      <c r="E4940" s="232"/>
      <c r="G4940" s="232"/>
      <c r="I4940" s="232"/>
      <c r="K4940" s="232"/>
      <c r="M4940" s="232"/>
      <c r="P4940" s="232"/>
      <c r="R4940" s="232"/>
      <c r="T4940" s="232"/>
    </row>
    <row r="4941" spans="3:20">
      <c r="C4941" s="232"/>
      <c r="E4941" s="232"/>
      <c r="G4941" s="232"/>
      <c r="I4941" s="232"/>
      <c r="K4941" s="232"/>
      <c r="M4941" s="232"/>
      <c r="P4941" s="232"/>
      <c r="R4941" s="232"/>
      <c r="T4941" s="232"/>
    </row>
    <row r="4942" spans="3:20">
      <c r="C4942" s="232"/>
      <c r="E4942" s="232"/>
      <c r="G4942" s="232"/>
      <c r="I4942" s="232"/>
      <c r="K4942" s="232"/>
      <c r="M4942" s="232"/>
      <c r="P4942" s="232"/>
      <c r="R4942" s="232"/>
      <c r="T4942" s="232"/>
    </row>
    <row r="4943" spans="3:20">
      <c r="C4943" s="232"/>
      <c r="E4943" s="232"/>
      <c r="G4943" s="232"/>
      <c r="I4943" s="232"/>
      <c r="K4943" s="232"/>
      <c r="M4943" s="232"/>
      <c r="P4943" s="232"/>
      <c r="R4943" s="232"/>
      <c r="T4943" s="232"/>
    </row>
    <row r="4944" spans="3:20">
      <c r="C4944" s="232"/>
      <c r="E4944" s="232"/>
      <c r="G4944" s="232"/>
      <c r="I4944" s="232"/>
      <c r="K4944" s="232"/>
      <c r="M4944" s="232"/>
      <c r="P4944" s="232"/>
      <c r="R4944" s="232"/>
      <c r="T4944" s="232"/>
    </row>
    <row r="4945" spans="3:20">
      <c r="C4945" s="232"/>
      <c r="E4945" s="232"/>
      <c r="G4945" s="232"/>
      <c r="I4945" s="232"/>
      <c r="K4945" s="232"/>
      <c r="M4945" s="232"/>
      <c r="P4945" s="232"/>
      <c r="R4945" s="232"/>
      <c r="T4945" s="232"/>
    </row>
    <row r="4946" spans="3:20">
      <c r="C4946" s="232"/>
      <c r="E4946" s="232"/>
      <c r="G4946" s="232"/>
      <c r="I4946" s="232"/>
      <c r="K4946" s="232"/>
      <c r="M4946" s="232"/>
      <c r="P4946" s="232"/>
      <c r="R4946" s="232"/>
      <c r="T4946" s="232"/>
    </row>
    <row r="4947" spans="3:20">
      <c r="C4947" s="232"/>
      <c r="E4947" s="232"/>
      <c r="G4947" s="232"/>
      <c r="I4947" s="232"/>
      <c r="K4947" s="232"/>
      <c r="M4947" s="232"/>
      <c r="P4947" s="232"/>
      <c r="R4947" s="232"/>
      <c r="T4947" s="232"/>
    </row>
    <row r="4948" spans="3:20">
      <c r="C4948" s="232"/>
      <c r="E4948" s="232"/>
      <c r="G4948" s="232"/>
      <c r="I4948" s="232"/>
      <c r="K4948" s="232"/>
      <c r="M4948" s="232"/>
      <c r="P4948" s="232"/>
      <c r="R4948" s="232"/>
      <c r="T4948" s="232"/>
    </row>
    <row r="4949" spans="3:20">
      <c r="C4949" s="232"/>
      <c r="E4949" s="232"/>
      <c r="G4949" s="232"/>
      <c r="I4949" s="232"/>
      <c r="K4949" s="232"/>
      <c r="M4949" s="232"/>
      <c r="P4949" s="232"/>
      <c r="R4949" s="232"/>
      <c r="T4949" s="232"/>
    </row>
    <row r="4950" spans="3:20">
      <c r="C4950" s="232"/>
      <c r="E4950" s="232"/>
      <c r="G4950" s="232"/>
      <c r="I4950" s="232"/>
      <c r="K4950" s="232"/>
      <c r="M4950" s="232"/>
      <c r="P4950" s="232"/>
      <c r="R4950" s="232"/>
      <c r="T4950" s="232"/>
    </row>
    <row r="4951" spans="3:20">
      <c r="C4951" s="232"/>
      <c r="E4951" s="232"/>
      <c r="G4951" s="232"/>
      <c r="I4951" s="232"/>
      <c r="K4951" s="232"/>
      <c r="M4951" s="232"/>
      <c r="P4951" s="232"/>
      <c r="R4951" s="232"/>
      <c r="T4951" s="232"/>
    </row>
    <row r="4952" spans="3:20">
      <c r="C4952" s="232"/>
      <c r="E4952" s="232"/>
      <c r="G4952" s="232"/>
      <c r="I4952" s="232"/>
      <c r="K4952" s="232"/>
      <c r="M4952" s="232"/>
      <c r="P4952" s="232"/>
      <c r="R4952" s="232"/>
      <c r="T4952" s="232"/>
    </row>
    <row r="4953" spans="3:20">
      <c r="C4953" s="232"/>
      <c r="E4953" s="232"/>
      <c r="G4953" s="232"/>
      <c r="I4953" s="232"/>
      <c r="K4953" s="232"/>
      <c r="M4953" s="232"/>
      <c r="P4953" s="232"/>
      <c r="R4953" s="232"/>
      <c r="T4953" s="232"/>
    </row>
    <row r="4954" spans="3:20">
      <c r="C4954" s="232"/>
      <c r="E4954" s="232"/>
      <c r="G4954" s="232"/>
      <c r="I4954" s="232"/>
      <c r="K4954" s="232"/>
      <c r="M4954" s="232"/>
      <c r="P4954" s="232"/>
      <c r="R4954" s="232"/>
      <c r="T4954" s="232"/>
    </row>
    <row r="4955" spans="3:20">
      <c r="C4955" s="232"/>
      <c r="E4955" s="232"/>
      <c r="G4955" s="232"/>
      <c r="I4955" s="232"/>
      <c r="K4955" s="232"/>
      <c r="M4955" s="232"/>
      <c r="P4955" s="232"/>
      <c r="R4955" s="232"/>
      <c r="T4955" s="232"/>
    </row>
    <row r="4956" spans="3:20">
      <c r="C4956" s="232"/>
      <c r="E4956" s="232"/>
      <c r="G4956" s="232"/>
      <c r="I4956" s="232"/>
      <c r="K4956" s="232"/>
      <c r="M4956" s="232"/>
      <c r="P4956" s="232"/>
      <c r="R4956" s="232"/>
      <c r="T4956" s="232"/>
    </row>
    <row r="4957" spans="3:20">
      <c r="C4957" s="232"/>
      <c r="E4957" s="232"/>
      <c r="G4957" s="232"/>
      <c r="I4957" s="232"/>
      <c r="K4957" s="232"/>
      <c r="M4957" s="232"/>
      <c r="P4957" s="232"/>
      <c r="R4957" s="232"/>
      <c r="T4957" s="232"/>
    </row>
    <row r="4958" spans="3:20">
      <c r="C4958" s="232"/>
      <c r="E4958" s="232"/>
      <c r="G4958" s="232"/>
      <c r="I4958" s="232"/>
      <c r="K4958" s="232"/>
      <c r="M4958" s="232"/>
      <c r="P4958" s="232"/>
      <c r="R4958" s="232"/>
      <c r="T4958" s="232"/>
    </row>
    <row r="4959" spans="3:20">
      <c r="C4959" s="232"/>
      <c r="E4959" s="232"/>
      <c r="G4959" s="232"/>
      <c r="I4959" s="232"/>
      <c r="K4959" s="232"/>
      <c r="M4959" s="232"/>
      <c r="P4959" s="232"/>
      <c r="R4959" s="232"/>
      <c r="T4959" s="232"/>
    </row>
    <row r="4960" spans="3:20">
      <c r="C4960" s="232"/>
      <c r="E4960" s="232"/>
      <c r="G4960" s="232"/>
      <c r="I4960" s="232"/>
      <c r="K4960" s="232"/>
      <c r="M4960" s="232"/>
      <c r="P4960" s="232"/>
      <c r="R4960" s="232"/>
      <c r="T4960" s="232"/>
    </row>
    <row r="4961" spans="3:20">
      <c r="C4961" s="232"/>
      <c r="E4961" s="232"/>
      <c r="G4961" s="232"/>
      <c r="I4961" s="232"/>
      <c r="K4961" s="232"/>
      <c r="M4961" s="232"/>
      <c r="P4961" s="232"/>
      <c r="R4961" s="232"/>
      <c r="T4961" s="232"/>
    </row>
    <row r="4962" spans="3:20">
      <c r="C4962" s="232"/>
      <c r="E4962" s="232"/>
      <c r="G4962" s="232"/>
      <c r="I4962" s="232"/>
      <c r="K4962" s="232"/>
      <c r="M4962" s="232"/>
      <c r="P4962" s="232"/>
      <c r="R4962" s="232"/>
      <c r="T4962" s="232"/>
    </row>
    <row r="4963" spans="3:20">
      <c r="C4963" s="232"/>
      <c r="E4963" s="232"/>
      <c r="G4963" s="232"/>
      <c r="I4963" s="232"/>
      <c r="K4963" s="232"/>
      <c r="M4963" s="232"/>
      <c r="P4963" s="232"/>
      <c r="R4963" s="232"/>
      <c r="T4963" s="232"/>
    </row>
    <row r="4964" spans="3:20">
      <c r="C4964" s="232"/>
      <c r="E4964" s="232"/>
      <c r="G4964" s="232"/>
      <c r="I4964" s="232"/>
      <c r="K4964" s="232"/>
      <c r="M4964" s="232"/>
      <c r="P4964" s="232"/>
      <c r="R4964" s="232"/>
      <c r="T4964" s="232"/>
    </row>
    <row r="4965" spans="3:20">
      <c r="C4965" s="232"/>
      <c r="E4965" s="232"/>
      <c r="G4965" s="232"/>
      <c r="I4965" s="232"/>
      <c r="K4965" s="232"/>
      <c r="M4965" s="232"/>
      <c r="P4965" s="232"/>
      <c r="R4965" s="232"/>
      <c r="T4965" s="232"/>
    </row>
    <row r="4966" spans="3:20">
      <c r="C4966" s="232"/>
      <c r="E4966" s="232"/>
      <c r="G4966" s="232"/>
      <c r="I4966" s="232"/>
      <c r="K4966" s="232"/>
      <c r="M4966" s="232"/>
      <c r="P4966" s="232"/>
      <c r="R4966" s="232"/>
      <c r="T4966" s="232"/>
    </row>
    <row r="4967" spans="3:20">
      <c r="C4967" s="232"/>
      <c r="E4967" s="232"/>
      <c r="G4967" s="232"/>
      <c r="I4967" s="232"/>
      <c r="K4967" s="232"/>
      <c r="M4967" s="232"/>
      <c r="P4967" s="232"/>
      <c r="R4967" s="232"/>
      <c r="T4967" s="232"/>
    </row>
    <row r="4968" spans="3:20">
      <c r="C4968" s="232"/>
      <c r="E4968" s="232"/>
      <c r="G4968" s="232"/>
      <c r="I4968" s="232"/>
      <c r="K4968" s="232"/>
      <c r="M4968" s="232"/>
      <c r="P4968" s="232"/>
      <c r="R4968" s="232"/>
      <c r="T4968" s="232"/>
    </row>
    <row r="4969" spans="3:20">
      <c r="C4969" s="232"/>
      <c r="E4969" s="232"/>
      <c r="G4969" s="232"/>
      <c r="I4969" s="232"/>
      <c r="K4969" s="232"/>
      <c r="M4969" s="232"/>
      <c r="P4969" s="232"/>
      <c r="R4969" s="232"/>
      <c r="T4969" s="232"/>
    </row>
    <row r="4970" spans="3:20">
      <c r="C4970" s="232"/>
      <c r="E4970" s="232"/>
      <c r="G4970" s="232"/>
      <c r="I4970" s="232"/>
      <c r="K4970" s="232"/>
      <c r="M4970" s="232"/>
      <c r="P4970" s="232"/>
      <c r="R4970" s="232"/>
      <c r="T4970" s="232"/>
    </row>
    <row r="4971" spans="3:20">
      <c r="C4971" s="232"/>
      <c r="E4971" s="232"/>
      <c r="G4971" s="232"/>
      <c r="I4971" s="232"/>
      <c r="K4971" s="232"/>
      <c r="M4971" s="232"/>
      <c r="P4971" s="232"/>
      <c r="R4971" s="232"/>
      <c r="T4971" s="232"/>
    </row>
    <row r="4972" spans="3:20">
      <c r="C4972" s="232"/>
      <c r="E4972" s="232"/>
      <c r="G4972" s="232"/>
      <c r="I4972" s="232"/>
      <c r="K4972" s="232"/>
      <c r="M4972" s="232"/>
      <c r="P4972" s="232"/>
      <c r="R4972" s="232"/>
      <c r="T4972" s="232"/>
    </row>
    <row r="4973" spans="3:20">
      <c r="C4973" s="232"/>
      <c r="E4973" s="232"/>
      <c r="G4973" s="232"/>
      <c r="I4973" s="232"/>
      <c r="K4973" s="232"/>
      <c r="M4973" s="232"/>
      <c r="P4973" s="232"/>
      <c r="R4973" s="232"/>
      <c r="T4973" s="232"/>
    </row>
    <row r="4974" spans="3:20">
      <c r="C4974" s="232"/>
      <c r="E4974" s="232"/>
      <c r="G4974" s="232"/>
      <c r="I4974" s="232"/>
      <c r="K4974" s="232"/>
      <c r="M4974" s="232"/>
      <c r="P4974" s="232"/>
      <c r="R4974" s="232"/>
      <c r="T4974" s="232"/>
    </row>
    <row r="4975" spans="3:20">
      <c r="C4975" s="232"/>
      <c r="E4975" s="232"/>
      <c r="G4975" s="232"/>
      <c r="I4975" s="232"/>
      <c r="K4975" s="232"/>
      <c r="M4975" s="232"/>
      <c r="P4975" s="232"/>
      <c r="R4975" s="232"/>
      <c r="T4975" s="232"/>
    </row>
    <row r="4976" spans="3:20">
      <c r="C4976" s="232"/>
      <c r="E4976" s="232"/>
      <c r="G4976" s="232"/>
      <c r="I4976" s="232"/>
      <c r="K4976" s="232"/>
      <c r="M4976" s="232"/>
      <c r="P4976" s="232"/>
      <c r="R4976" s="232"/>
      <c r="T4976" s="232"/>
    </row>
    <row r="4977" spans="3:20">
      <c r="C4977" s="232"/>
      <c r="E4977" s="232"/>
      <c r="G4977" s="232"/>
      <c r="I4977" s="232"/>
      <c r="K4977" s="232"/>
      <c r="M4977" s="232"/>
      <c r="P4977" s="232"/>
      <c r="R4977" s="232"/>
      <c r="T4977" s="232"/>
    </row>
    <row r="4978" spans="3:20">
      <c r="C4978" s="232"/>
      <c r="E4978" s="232"/>
      <c r="G4978" s="232"/>
      <c r="I4978" s="232"/>
      <c r="K4978" s="232"/>
      <c r="M4978" s="232"/>
      <c r="P4978" s="232"/>
      <c r="R4978" s="232"/>
      <c r="T4978" s="232"/>
    </row>
    <row r="4979" spans="3:20">
      <c r="C4979" s="232"/>
      <c r="E4979" s="232"/>
      <c r="G4979" s="232"/>
      <c r="I4979" s="232"/>
      <c r="K4979" s="232"/>
      <c r="M4979" s="232"/>
      <c r="P4979" s="232"/>
      <c r="R4979" s="232"/>
      <c r="T4979" s="232"/>
    </row>
    <row r="4980" spans="3:20">
      <c r="C4980" s="232"/>
      <c r="E4980" s="232"/>
      <c r="G4980" s="232"/>
      <c r="I4980" s="232"/>
      <c r="K4980" s="232"/>
      <c r="M4980" s="232"/>
      <c r="P4980" s="232"/>
      <c r="R4980" s="232"/>
      <c r="T4980" s="232"/>
    </row>
    <row r="4981" spans="3:20">
      <c r="C4981" s="232"/>
      <c r="E4981" s="232"/>
      <c r="G4981" s="232"/>
      <c r="I4981" s="232"/>
      <c r="K4981" s="232"/>
      <c r="M4981" s="232"/>
      <c r="P4981" s="232"/>
      <c r="R4981" s="232"/>
      <c r="T4981" s="232"/>
    </row>
    <row r="4982" spans="3:20">
      <c r="C4982" s="232"/>
      <c r="E4982" s="232"/>
      <c r="G4982" s="232"/>
      <c r="I4982" s="232"/>
      <c r="K4982" s="232"/>
      <c r="M4982" s="232"/>
      <c r="P4982" s="232"/>
      <c r="R4982" s="232"/>
      <c r="T4982" s="232"/>
    </row>
    <row r="4983" spans="3:20">
      <c r="C4983" s="232"/>
      <c r="E4983" s="232"/>
      <c r="G4983" s="232"/>
      <c r="I4983" s="232"/>
      <c r="K4983" s="232"/>
      <c r="M4983" s="232"/>
      <c r="P4983" s="232"/>
      <c r="R4983" s="232"/>
      <c r="T4983" s="232"/>
    </row>
    <row r="4984" spans="3:20">
      <c r="C4984" s="232"/>
      <c r="E4984" s="232"/>
      <c r="G4984" s="232"/>
      <c r="I4984" s="232"/>
      <c r="K4984" s="232"/>
      <c r="M4984" s="232"/>
      <c r="P4984" s="232"/>
      <c r="R4984" s="232"/>
      <c r="T4984" s="232"/>
    </row>
    <row r="4985" spans="3:20">
      <c r="C4985" s="232"/>
      <c r="E4985" s="232"/>
      <c r="G4985" s="232"/>
      <c r="I4985" s="232"/>
      <c r="K4985" s="232"/>
      <c r="M4985" s="232"/>
      <c r="P4985" s="232"/>
      <c r="R4985" s="232"/>
      <c r="T4985" s="232"/>
    </row>
    <row r="4986" spans="3:20">
      <c r="C4986" s="232"/>
      <c r="E4986" s="232"/>
      <c r="G4986" s="232"/>
      <c r="I4986" s="232"/>
      <c r="K4986" s="232"/>
      <c r="M4986" s="232"/>
      <c r="P4986" s="232"/>
      <c r="R4986" s="232"/>
      <c r="T4986" s="232"/>
    </row>
    <row r="4987" spans="3:20">
      <c r="C4987" s="232"/>
      <c r="E4987" s="232"/>
      <c r="G4987" s="232"/>
      <c r="I4987" s="232"/>
      <c r="K4987" s="232"/>
      <c r="M4987" s="232"/>
      <c r="P4987" s="232"/>
      <c r="R4987" s="232"/>
      <c r="T4987" s="232"/>
    </row>
    <row r="4988" spans="3:20">
      <c r="C4988" s="232"/>
      <c r="E4988" s="232"/>
      <c r="G4988" s="232"/>
      <c r="I4988" s="232"/>
      <c r="K4988" s="232"/>
      <c r="M4988" s="232"/>
      <c r="P4988" s="232"/>
      <c r="R4988" s="232"/>
      <c r="T4988" s="232"/>
    </row>
    <row r="4989" spans="3:20">
      <c r="C4989" s="232"/>
      <c r="E4989" s="232"/>
      <c r="G4989" s="232"/>
      <c r="I4989" s="232"/>
      <c r="K4989" s="232"/>
      <c r="M4989" s="232"/>
      <c r="P4989" s="232"/>
      <c r="R4989" s="232"/>
      <c r="T4989" s="232"/>
    </row>
    <row r="4990" spans="3:20">
      <c r="C4990" s="232"/>
      <c r="E4990" s="232"/>
      <c r="G4990" s="232"/>
      <c r="I4990" s="232"/>
      <c r="K4990" s="232"/>
      <c r="M4990" s="232"/>
      <c r="P4990" s="232"/>
      <c r="R4990" s="232"/>
      <c r="T4990" s="232"/>
    </row>
    <row r="4991" spans="3:20">
      <c r="C4991" s="232"/>
      <c r="E4991" s="232"/>
      <c r="G4991" s="232"/>
      <c r="I4991" s="232"/>
      <c r="K4991" s="232"/>
      <c r="M4991" s="232"/>
      <c r="P4991" s="232"/>
      <c r="R4991" s="232"/>
      <c r="T4991" s="232"/>
    </row>
    <row r="4992" spans="3:20">
      <c r="C4992" s="232"/>
      <c r="E4992" s="232"/>
      <c r="G4992" s="232"/>
      <c r="I4992" s="232"/>
      <c r="K4992" s="232"/>
      <c r="M4992" s="232"/>
      <c r="P4992" s="232"/>
      <c r="R4992" s="232"/>
      <c r="T4992" s="232"/>
    </row>
    <row r="4993" spans="3:20">
      <c r="C4993" s="232"/>
      <c r="E4993" s="232"/>
      <c r="G4993" s="232"/>
      <c r="I4993" s="232"/>
      <c r="K4993" s="232"/>
      <c r="M4993" s="232"/>
      <c r="P4993" s="232"/>
      <c r="R4993" s="232"/>
      <c r="T4993" s="232"/>
    </row>
    <row r="4994" spans="3:20">
      <c r="C4994" s="232"/>
      <c r="E4994" s="232"/>
      <c r="G4994" s="232"/>
      <c r="I4994" s="232"/>
      <c r="K4994" s="232"/>
      <c r="M4994" s="232"/>
      <c r="P4994" s="232"/>
      <c r="R4994" s="232"/>
      <c r="T4994" s="232"/>
    </row>
    <row r="4995" spans="3:20">
      <c r="C4995" s="232"/>
      <c r="E4995" s="232"/>
      <c r="G4995" s="232"/>
      <c r="I4995" s="232"/>
      <c r="K4995" s="232"/>
      <c r="M4995" s="232"/>
      <c r="P4995" s="232"/>
      <c r="R4995" s="232"/>
      <c r="T4995" s="232"/>
    </row>
    <row r="4996" spans="3:20">
      <c r="C4996" s="232"/>
      <c r="E4996" s="232"/>
      <c r="G4996" s="232"/>
      <c r="I4996" s="232"/>
      <c r="K4996" s="232"/>
      <c r="M4996" s="232"/>
      <c r="P4996" s="232"/>
      <c r="R4996" s="232"/>
      <c r="T4996" s="232"/>
    </row>
    <row r="4997" spans="3:20">
      <c r="C4997" s="232"/>
      <c r="E4997" s="232"/>
      <c r="G4997" s="232"/>
      <c r="I4997" s="232"/>
      <c r="K4997" s="232"/>
      <c r="M4997" s="232"/>
      <c r="P4997" s="232"/>
      <c r="R4997" s="232"/>
      <c r="T4997" s="232"/>
    </row>
    <row r="4998" spans="3:20">
      <c r="C4998" s="232"/>
      <c r="E4998" s="232"/>
      <c r="G4998" s="232"/>
      <c r="I4998" s="232"/>
      <c r="K4998" s="232"/>
      <c r="M4998" s="232"/>
      <c r="P4998" s="232"/>
      <c r="R4998" s="232"/>
      <c r="T4998" s="232"/>
    </row>
    <row r="4999" spans="3:20">
      <c r="C4999" s="232"/>
      <c r="E4999" s="232"/>
      <c r="G4999" s="232"/>
      <c r="I4999" s="232"/>
      <c r="K4999" s="232"/>
      <c r="M4999" s="232"/>
      <c r="P4999" s="232"/>
      <c r="R4999" s="232"/>
      <c r="T4999" s="232"/>
    </row>
    <row r="5000" spans="3:20">
      <c r="C5000" s="232"/>
      <c r="E5000" s="232"/>
      <c r="G5000" s="232"/>
      <c r="I5000" s="232"/>
      <c r="K5000" s="232"/>
      <c r="M5000" s="232"/>
      <c r="P5000" s="232"/>
      <c r="R5000" s="232"/>
      <c r="T5000" s="232"/>
    </row>
    <row r="5001" spans="3:20">
      <c r="C5001" s="232"/>
      <c r="E5001" s="232"/>
      <c r="G5001" s="232"/>
      <c r="I5001" s="232"/>
      <c r="K5001" s="232"/>
      <c r="M5001" s="232"/>
      <c r="P5001" s="232"/>
      <c r="R5001" s="232"/>
      <c r="T5001" s="232"/>
    </row>
    <row r="5002" spans="3:20">
      <c r="C5002" s="232"/>
      <c r="E5002" s="232"/>
      <c r="G5002" s="232"/>
      <c r="I5002" s="232"/>
      <c r="K5002" s="232"/>
      <c r="M5002" s="232"/>
      <c r="P5002" s="232"/>
      <c r="R5002" s="232"/>
      <c r="T5002" s="232"/>
    </row>
    <row r="5003" spans="3:20">
      <c r="C5003" s="232"/>
      <c r="E5003" s="232"/>
      <c r="G5003" s="232"/>
      <c r="I5003" s="232"/>
      <c r="K5003" s="232"/>
      <c r="M5003" s="232"/>
      <c r="P5003" s="232"/>
      <c r="R5003" s="232"/>
      <c r="T5003" s="232"/>
    </row>
    <row r="5004" spans="3:20">
      <c r="C5004" s="232"/>
      <c r="E5004" s="232"/>
      <c r="G5004" s="232"/>
      <c r="I5004" s="232"/>
      <c r="K5004" s="232"/>
      <c r="M5004" s="232"/>
      <c r="P5004" s="232"/>
      <c r="R5004" s="232"/>
      <c r="T5004" s="232"/>
    </row>
    <row r="5005" spans="3:20">
      <c r="C5005" s="232"/>
      <c r="E5005" s="232"/>
      <c r="G5005" s="232"/>
      <c r="I5005" s="232"/>
      <c r="K5005" s="232"/>
      <c r="M5005" s="232"/>
      <c r="P5005" s="232"/>
      <c r="R5005" s="232"/>
      <c r="T5005" s="232"/>
    </row>
    <row r="5006" spans="3:20">
      <c r="C5006" s="232"/>
      <c r="E5006" s="232"/>
      <c r="G5006" s="232"/>
      <c r="I5006" s="232"/>
      <c r="K5006" s="232"/>
      <c r="M5006" s="232"/>
      <c r="P5006" s="232"/>
      <c r="R5006" s="232"/>
      <c r="T5006" s="232"/>
    </row>
    <row r="5007" spans="3:20">
      <c r="C5007" s="232"/>
      <c r="E5007" s="232"/>
      <c r="G5007" s="232"/>
      <c r="I5007" s="232"/>
      <c r="K5007" s="232"/>
      <c r="M5007" s="232"/>
      <c r="P5007" s="232"/>
      <c r="R5007" s="232"/>
      <c r="T5007" s="232"/>
    </row>
    <row r="5008" spans="3:20">
      <c r="C5008" s="232"/>
      <c r="E5008" s="232"/>
      <c r="G5008" s="232"/>
      <c r="I5008" s="232"/>
      <c r="K5008" s="232"/>
      <c r="M5008" s="232"/>
      <c r="P5008" s="232"/>
      <c r="R5008" s="232"/>
      <c r="T5008" s="232"/>
    </row>
    <row r="5009" spans="3:20">
      <c r="C5009" s="232"/>
      <c r="E5009" s="232"/>
      <c r="G5009" s="232"/>
      <c r="I5009" s="232"/>
      <c r="K5009" s="232"/>
      <c r="M5009" s="232"/>
      <c r="P5009" s="232"/>
      <c r="R5009" s="232"/>
      <c r="T5009" s="232"/>
    </row>
    <row r="5010" spans="3:20">
      <c r="C5010" s="232"/>
      <c r="E5010" s="232"/>
      <c r="G5010" s="232"/>
      <c r="I5010" s="232"/>
      <c r="K5010" s="232"/>
      <c r="M5010" s="232"/>
      <c r="P5010" s="232"/>
      <c r="R5010" s="232"/>
      <c r="T5010" s="232"/>
    </row>
    <row r="5011" spans="3:20">
      <c r="C5011" s="232"/>
      <c r="E5011" s="232"/>
      <c r="G5011" s="232"/>
      <c r="I5011" s="232"/>
      <c r="K5011" s="232"/>
      <c r="M5011" s="232"/>
      <c r="P5011" s="232"/>
      <c r="R5011" s="232"/>
      <c r="T5011" s="232"/>
    </row>
  </sheetData>
  <mergeCells count="6">
    <mergeCell ref="T4:U4"/>
    <mergeCell ref="P4:Q4"/>
    <mergeCell ref="C4:F4"/>
    <mergeCell ref="G4:J4"/>
    <mergeCell ref="K4:N4"/>
    <mergeCell ref="R4:S4"/>
  </mergeCell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PSA">
                <anchor moveWithCells="1" sizeWithCells="1">
                  <from>
                    <xdr:col>7</xdr:col>
                    <xdr:colOff>0</xdr:colOff>
                    <xdr:row>1</xdr:row>
                    <xdr:rowOff>0</xdr:rowOff>
                  </from>
                  <to>
                    <xdr:col>8</xdr:col>
                    <xdr:colOff>0</xdr:colOff>
                    <xdr:row>1</xdr:row>
                    <xdr:rowOff>177800</xdr:rowOff>
                  </to>
                </anchor>
              </controlPr>
            </control>
          </mc:Choice>
          <mc:Fallback/>
        </mc:AlternateContent>
        <mc:AlternateContent xmlns:mc="http://schemas.openxmlformats.org/markup-compatibility/2006">
          <mc:Choice Requires="x14">
            <control shapeId="2050" r:id="rId4" name="Button 2">
              <controlPr defaultSize="0" print="0" autoFill="0" autoPict="0" macro="[0]!CEAC">
                <anchor moveWithCells="1" sizeWithCells="1">
                  <from>
                    <xdr:col>26</xdr:col>
                    <xdr:colOff>469900</xdr:colOff>
                    <xdr:row>1</xdr:row>
                    <xdr:rowOff>165100</xdr:rowOff>
                  </from>
                  <to>
                    <xdr:col>28</xdr:col>
                    <xdr:colOff>393700</xdr:colOff>
                    <xdr:row>2</xdr:row>
                    <xdr:rowOff>177800</xdr:rowOff>
                  </to>
                </anchor>
              </controlPr>
            </control>
          </mc:Choice>
          <mc:Fallback/>
        </mc:AlternateContent>
        <mc:AlternateContent xmlns:mc="http://schemas.openxmlformats.org/markup-compatibility/2006">
          <mc:Choice Requires="x14">
            <control shapeId="2051" r:id="rId5" name="Button 3">
              <controlPr defaultSize="0" print="0" autoFill="0" autoPict="0" macro="[0]!CEAC_Draw">
                <anchor moveWithCells="1" sizeWithCells="1">
                  <from>
                    <xdr:col>32</xdr:col>
                    <xdr:colOff>12700</xdr:colOff>
                    <xdr:row>1</xdr:row>
                    <xdr:rowOff>12700</xdr:rowOff>
                  </from>
                  <to>
                    <xdr:col>33</xdr:col>
                    <xdr:colOff>558800</xdr:colOff>
                    <xdr:row>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dimension ref="D3:Q5"/>
  <sheetViews>
    <sheetView workbookViewId="0">
      <selection activeCell="D20" sqref="D20"/>
    </sheetView>
  </sheetViews>
  <sheetFormatPr baseColWidth="10" defaultColWidth="8.83203125" defaultRowHeight="15" x14ac:dyDescent="0"/>
  <cols>
    <col min="1" max="3" width="8.83203125" style="35"/>
    <col min="4" max="4" width="53.6640625" style="35" bestFit="1" customWidth="1"/>
    <col min="5" max="6" width="12.5" style="35" bestFit="1" customWidth="1"/>
    <col min="7" max="7" width="12.33203125" style="35" bestFit="1" customWidth="1"/>
    <col min="8" max="8" width="11" style="35" bestFit="1" customWidth="1"/>
    <col min="9" max="9" width="53.6640625" style="35" bestFit="1" customWidth="1"/>
    <col min="10" max="11" width="11.83203125" style="35" bestFit="1" customWidth="1"/>
    <col min="12" max="12" width="12.33203125" style="35" bestFit="1" customWidth="1"/>
    <col min="13" max="13" width="12.6640625" style="35" bestFit="1" customWidth="1"/>
    <col min="14" max="14" width="53.6640625" style="35" bestFit="1" customWidth="1"/>
    <col min="15" max="16" width="11.83203125" style="35" bestFit="1" customWidth="1"/>
    <col min="17" max="17" width="12.33203125" style="35" bestFit="1" customWidth="1"/>
    <col min="18" max="16384" width="8.83203125" style="35"/>
  </cols>
  <sheetData>
    <row r="3" spans="4:17">
      <c r="P3" s="35">
        <v>5</v>
      </c>
    </row>
    <row r="4" spans="4:17">
      <c r="E4" s="35" t="str">
        <f>IF('Model Inputs'!N1=1, "Incremental Costs", IF('Model Inputs'!N1=2, "DALYs averted", IF('Model Inputs'!N1=3, "ICER")))</f>
        <v>ICER</v>
      </c>
    </row>
    <row r="5" spans="4:17">
      <c r="D5" s="35" t="s">
        <v>188</v>
      </c>
      <c r="E5" s="35" t="s">
        <v>294</v>
      </c>
      <c r="F5" s="35" t="s">
        <v>295</v>
      </c>
      <c r="G5" s="35" t="s">
        <v>296</v>
      </c>
      <c r="I5" s="35" t="s">
        <v>188</v>
      </c>
      <c r="J5" s="35" t="s">
        <v>297</v>
      </c>
      <c r="K5" s="35" t="s">
        <v>298</v>
      </c>
      <c r="L5" s="35" t="s">
        <v>299</v>
      </c>
      <c r="N5" s="35" t="s">
        <v>188</v>
      </c>
      <c r="O5" s="35" t="s">
        <v>300</v>
      </c>
      <c r="P5" s="35" t="s">
        <v>301</v>
      </c>
      <c r="Q5" s="35" t="s">
        <v>302</v>
      </c>
    </row>
  </sheetData>
  <sortState ref="N7:Q61">
    <sortCondition ref="Q5" customList="Sun,Mon,Tue,Wed,Thu,Fri,Sat"/>
  </sortState>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USA">
                <anchor moveWithCells="1" sizeWithCells="1">
                  <from>
                    <xdr:col>1</xdr:col>
                    <xdr:colOff>0</xdr:colOff>
                    <xdr:row>2</xdr:row>
                    <xdr:rowOff>25400</xdr:rowOff>
                  </from>
                  <to>
                    <xdr:col>2</xdr:col>
                    <xdr:colOff>50800</xdr:colOff>
                    <xdr:row>7</xdr:row>
                    <xdr:rowOff>38100</xdr:rowOff>
                  </to>
                </anchor>
              </controlPr>
            </control>
          </mc:Choice>
          <mc:Fallback/>
        </mc:AlternateContent>
        <mc:AlternateContent xmlns:mc="http://schemas.openxmlformats.org/markup-compatibility/2006">
          <mc:Choice Requires="x14">
            <control shapeId="14339" r:id="rId4" name="Button 3">
              <controlPr defaultSize="0" print="0" autoFill="0" autoPict="0" macro="[0]!TornadoD">
                <anchor moveWithCells="1" sizeWithCells="1">
                  <from>
                    <xdr:col>1</xdr:col>
                    <xdr:colOff>0</xdr:colOff>
                    <xdr:row>8</xdr:row>
                    <xdr:rowOff>25400</xdr:rowOff>
                  </from>
                  <to>
                    <xdr:col>2</xdr:col>
                    <xdr:colOff>38100</xdr:colOff>
                    <xdr:row>11</xdr:row>
                    <xdr:rowOff>88900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AI107"/>
  <sheetViews>
    <sheetView workbookViewId="0">
      <selection sqref="A1:XFD1048576"/>
    </sheetView>
  </sheetViews>
  <sheetFormatPr baseColWidth="10" defaultColWidth="11" defaultRowHeight="15" x14ac:dyDescent="0"/>
  <cols>
    <col min="1" max="1" width="11" style="35" customWidth="1"/>
    <col min="2" max="35" width="14.6640625" style="35" customWidth="1"/>
    <col min="36" max="16384" width="11" style="35"/>
  </cols>
  <sheetData>
    <row r="1" spans="1:35">
      <c r="A1" s="122"/>
      <c r="B1" s="122"/>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234"/>
      <c r="AD1" s="234"/>
      <c r="AE1" s="234"/>
      <c r="AF1" s="234"/>
      <c r="AG1" s="234"/>
      <c r="AH1" s="234"/>
      <c r="AI1" s="234"/>
    </row>
    <row r="2" spans="1:35">
      <c r="A2" s="122"/>
      <c r="B2" s="284" t="s">
        <v>152</v>
      </c>
      <c r="C2" s="285"/>
      <c r="D2" s="285"/>
      <c r="E2" s="285"/>
      <c r="F2" s="285"/>
      <c r="G2" s="285"/>
      <c r="H2" s="286"/>
      <c r="I2" s="122"/>
      <c r="J2" s="284" t="s">
        <v>153</v>
      </c>
      <c r="K2" s="285"/>
      <c r="L2" s="285"/>
      <c r="M2" s="285"/>
      <c r="N2" s="285"/>
      <c r="O2" s="285"/>
      <c r="P2" s="285"/>
      <c r="Q2" s="285"/>
      <c r="R2" s="286"/>
      <c r="S2" s="122"/>
      <c r="T2" s="284" t="s">
        <v>59</v>
      </c>
      <c r="U2" s="285"/>
      <c r="V2" s="285"/>
      <c r="W2" s="285"/>
      <c r="X2" s="285"/>
      <c r="Y2" s="285"/>
      <c r="Z2" s="285"/>
      <c r="AA2" s="287"/>
      <c r="AB2" s="122"/>
      <c r="AC2" s="284" t="s">
        <v>60</v>
      </c>
      <c r="AD2" s="285"/>
      <c r="AE2" s="285"/>
      <c r="AF2" s="285"/>
      <c r="AG2" s="285"/>
      <c r="AH2" s="285"/>
      <c r="AI2" s="286"/>
    </row>
    <row r="3" spans="1:35">
      <c r="A3" s="122"/>
      <c r="B3" s="235" t="s">
        <v>340</v>
      </c>
      <c r="C3" s="236" t="s">
        <v>339</v>
      </c>
      <c r="D3" s="236" t="s">
        <v>338</v>
      </c>
      <c r="E3" s="236" t="s">
        <v>341</v>
      </c>
      <c r="F3" s="236" t="s">
        <v>342</v>
      </c>
      <c r="G3" s="236" t="s">
        <v>343</v>
      </c>
      <c r="H3" s="237" t="s">
        <v>7</v>
      </c>
      <c r="I3" s="122"/>
      <c r="J3" s="235" t="s">
        <v>1</v>
      </c>
      <c r="K3" s="236" t="s">
        <v>344</v>
      </c>
      <c r="L3" s="236" t="s">
        <v>346</v>
      </c>
      <c r="M3" s="236" t="s">
        <v>345</v>
      </c>
      <c r="N3" s="236" t="s">
        <v>347</v>
      </c>
      <c r="O3" s="236" t="s">
        <v>348</v>
      </c>
      <c r="P3" s="236" t="s">
        <v>74</v>
      </c>
      <c r="Q3" s="236" t="s">
        <v>349</v>
      </c>
      <c r="R3" s="237" t="s">
        <v>53</v>
      </c>
      <c r="S3" s="122"/>
      <c r="T3" s="238" t="s">
        <v>304</v>
      </c>
      <c r="U3" s="239" t="s">
        <v>350</v>
      </c>
      <c r="V3" s="239" t="s">
        <v>155</v>
      </c>
      <c r="W3" s="239" t="s">
        <v>75</v>
      </c>
      <c r="X3" s="239" t="s">
        <v>76</v>
      </c>
      <c r="Y3" s="239" t="s">
        <v>351</v>
      </c>
      <c r="Z3" s="239" t="s">
        <v>352</v>
      </c>
      <c r="AA3" s="240" t="s">
        <v>353</v>
      </c>
      <c r="AB3" s="122"/>
      <c r="AC3" s="235" t="s">
        <v>2</v>
      </c>
      <c r="AD3" s="236" t="s">
        <v>78</v>
      </c>
      <c r="AE3" s="236" t="s">
        <v>3</v>
      </c>
      <c r="AF3" s="236" t="s">
        <v>4</v>
      </c>
      <c r="AG3" s="236" t="s">
        <v>77</v>
      </c>
      <c r="AH3" s="236" t="s">
        <v>5</v>
      </c>
      <c r="AI3" s="237" t="s">
        <v>6</v>
      </c>
    </row>
    <row r="4" spans="1:35">
      <c r="A4" s="122"/>
      <c r="B4" s="241">
        <v>0</v>
      </c>
      <c r="C4" s="242">
        <v>0</v>
      </c>
      <c r="D4" s="242">
        <v>0</v>
      </c>
      <c r="E4" s="234">
        <v>0</v>
      </c>
      <c r="F4" s="234">
        <v>0</v>
      </c>
      <c r="G4" s="234">
        <v>0</v>
      </c>
      <c r="H4" s="243">
        <v>0</v>
      </c>
      <c r="I4" s="122"/>
      <c r="J4" s="244">
        <v>1</v>
      </c>
      <c r="K4" s="245">
        <v>0</v>
      </c>
      <c r="L4" s="245">
        <v>0</v>
      </c>
      <c r="M4" s="245">
        <v>0</v>
      </c>
      <c r="N4" s="245">
        <v>0</v>
      </c>
      <c r="O4" s="245">
        <v>0</v>
      </c>
      <c r="P4" s="245">
        <v>0</v>
      </c>
      <c r="Q4" s="245">
        <v>0</v>
      </c>
      <c r="R4" s="243">
        <f>SUM(J4:Q4)</f>
        <v>1</v>
      </c>
      <c r="S4" s="122"/>
      <c r="T4" s="241"/>
      <c r="U4" s="246"/>
      <c r="V4" s="246"/>
      <c r="W4" s="246"/>
      <c r="X4" s="246"/>
      <c r="Y4" s="246"/>
      <c r="Z4" s="246"/>
      <c r="AA4" s="247"/>
      <c r="AB4" s="122"/>
      <c r="AC4" s="244"/>
      <c r="AD4" s="245"/>
      <c r="AE4" s="245"/>
      <c r="AF4" s="245"/>
      <c r="AG4" s="245"/>
      <c r="AH4" s="245"/>
      <c r="AI4" s="247"/>
    </row>
    <row r="5" spans="1:35">
      <c r="A5" s="122"/>
      <c r="B5" s="241">
        <v>1</v>
      </c>
      <c r="C5" s="248">
        <f>'Other parameters'!$D$15</f>
        <v>3.0620000000000001E-3</v>
      </c>
      <c r="D5" s="242">
        <f>'Other parameters'!$G$15</f>
        <v>68.400000000000006</v>
      </c>
      <c r="E5" s="248">
        <f t="shared" ref="E5:E19" si="0">IF(B5&lt;rf1age,0,pA1_1a)</f>
        <v>0</v>
      </c>
      <c r="F5" s="248">
        <f t="shared" ref="F5:F28" si="1">IF(B5&lt;rf2age,0,pA2_1a)</f>
        <v>0</v>
      </c>
      <c r="G5" s="248">
        <f t="shared" ref="G5:G36" si="2">IF(B5&lt;rhdage,0,pVS_1a)</f>
        <v>0</v>
      </c>
      <c r="H5" s="249">
        <f t="shared" ref="H5:H36" si="3">1/(1+disc)^($B5-1)</f>
        <v>1</v>
      </c>
      <c r="I5" s="122"/>
      <c r="J5" s="244">
        <f t="shared" ref="J5:J36" si="4">IF(B5&lt;rf1age,1,J4*(1-E5))</f>
        <v>1</v>
      </c>
      <c r="K5" s="245">
        <f t="shared" ref="K5:K36" si="5">IF(B5&lt;rf1age,0,J4*E5)</f>
        <v>0</v>
      </c>
      <c r="L5" s="245">
        <f t="shared" ref="L5:L36" si="6">IF(B5&lt;rf1age,0,(K4*cpARF1_Remission)+(L4*(1-F5))+(M4*cpARF2_Remission))</f>
        <v>0</v>
      </c>
      <c r="M5" s="245">
        <f t="shared" ref="M5:M36" si="7">IF(B5&lt;rf1age,0,L4*F5)</f>
        <v>0</v>
      </c>
      <c r="N5" s="245">
        <f t="shared" ref="N5:N36" si="8">IF(B5&lt;rf1age,0,(K4*pARF1_RHDMild)+(M4*pARF2_RHDMild)+(N4*cpRHDMild_RHDMild)+(O4*G5))</f>
        <v>0</v>
      </c>
      <c r="O5" s="245">
        <f t="shared" ref="O5:O36" si="9">IF(B5&lt;rf1age,0,(N4*pRHDMild_RHDSevere)+(O4*(1-(G5+pRHDSevere_Death))))</f>
        <v>0</v>
      </c>
      <c r="P5" s="245">
        <f t="shared" ref="P5:P36" si="10">IF(B5&lt;rf1age,0,(N4*pRHDMild_Stroke)+(P4*(1-pStroke_Death)))</f>
        <v>0</v>
      </c>
      <c r="Q5" s="245">
        <f t="shared" ref="Q5:Q36" si="11">IF(B5&lt;rf1age,0,(K4*pARF1_Death)+(M4*pARF2_Death)+(O4*pRHDSevere_Death)+(P4*pStroke_Death)+Q4)</f>
        <v>0</v>
      </c>
      <c r="R5" s="243">
        <f t="shared" ref="R5:R11" si="12">SUM(J5:Q5)</f>
        <v>1</v>
      </c>
      <c r="S5" s="122"/>
      <c r="T5" s="244">
        <f t="shared" ref="T5:T36" si="13">((K4*pARF1_Death)+(M4*pARF2_Death)+(O4*pRHDSevere_Death)+(P4*pStroke_Death))+C5</f>
        <v>3.0620000000000001E-3</v>
      </c>
      <c r="U5" s="246">
        <f>$D5*T5*0.5</f>
        <v>0.10472040000000001</v>
      </c>
      <c r="V5" s="246">
        <f>($K5+$M5)*wAR*0.5</f>
        <v>0</v>
      </c>
      <c r="W5" s="246">
        <f>$N5*wRM*0.5</f>
        <v>0</v>
      </c>
      <c r="X5" s="246">
        <f>$O5*wRH*0.5</f>
        <v>0</v>
      </c>
      <c r="Y5" s="246">
        <f>$P5*wRS*0.5</f>
        <v>0</v>
      </c>
      <c r="Z5" s="246">
        <f t="shared" ref="Z5:Z68" si="14">SUM(U5:Y5)</f>
        <v>0.10472040000000001</v>
      </c>
      <c r="AA5" s="247">
        <f t="shared" ref="AA5:AA36" si="15">Z5*H5</f>
        <v>0.10472040000000001</v>
      </c>
      <c r="AB5" s="122"/>
      <c r="AC5" s="244">
        <f>($K5+$M5)*cARF*0.5</f>
        <v>0</v>
      </c>
      <c r="AD5" s="245">
        <f>$L5*cRFR*0.5</f>
        <v>0</v>
      </c>
      <c r="AE5" s="245">
        <f>$N5*cRM*0.5</f>
        <v>0</v>
      </c>
      <c r="AF5" s="245">
        <f>$O5*cRH*0.5</f>
        <v>0</v>
      </c>
      <c r="AG5" s="245">
        <f>$P5*cRS*0.5</f>
        <v>0</v>
      </c>
      <c r="AH5" s="245">
        <f t="shared" ref="AH5:AH68" si="16">SUM(AC5:AG5)</f>
        <v>0</v>
      </c>
      <c r="AI5" s="247">
        <f t="shared" ref="AI5:AI36" si="17">AH5*H5</f>
        <v>0</v>
      </c>
    </row>
    <row r="6" spans="1:35">
      <c r="A6" s="122"/>
      <c r="B6" s="241">
        <v>2</v>
      </c>
      <c r="C6" s="248">
        <f>'Other parameters'!$D$15</f>
        <v>3.0620000000000001E-3</v>
      </c>
      <c r="D6" s="242">
        <f>'Other parameters'!$G$15</f>
        <v>68.400000000000006</v>
      </c>
      <c r="E6" s="248">
        <f t="shared" si="0"/>
        <v>0</v>
      </c>
      <c r="F6" s="248">
        <f t="shared" si="1"/>
        <v>0</v>
      </c>
      <c r="G6" s="248">
        <f t="shared" si="2"/>
        <v>0</v>
      </c>
      <c r="H6" s="249">
        <f t="shared" si="3"/>
        <v>0.970873786407767</v>
      </c>
      <c r="I6" s="122"/>
      <c r="J6" s="244">
        <f t="shared" si="4"/>
        <v>1</v>
      </c>
      <c r="K6" s="245">
        <f t="shared" si="5"/>
        <v>0</v>
      </c>
      <c r="L6" s="245">
        <f t="shared" si="6"/>
        <v>0</v>
      </c>
      <c r="M6" s="245">
        <f t="shared" si="7"/>
        <v>0</v>
      </c>
      <c r="N6" s="245">
        <f t="shared" si="8"/>
        <v>0</v>
      </c>
      <c r="O6" s="245">
        <f t="shared" si="9"/>
        <v>0</v>
      </c>
      <c r="P6" s="245">
        <f t="shared" si="10"/>
        <v>0</v>
      </c>
      <c r="Q6" s="245">
        <f t="shared" si="11"/>
        <v>0</v>
      </c>
      <c r="R6" s="243">
        <f t="shared" si="12"/>
        <v>1</v>
      </c>
      <c r="S6" s="122"/>
      <c r="T6" s="244">
        <f t="shared" si="13"/>
        <v>3.0620000000000001E-3</v>
      </c>
      <c r="U6" s="246">
        <f t="shared" ref="U6:U69" si="18">$D6*T6</f>
        <v>0.20944080000000001</v>
      </c>
      <c r="V6" s="246">
        <f t="shared" ref="V6:V68" si="19">($K6+$M6)*wAR</f>
        <v>0</v>
      </c>
      <c r="W6" s="246">
        <f t="shared" ref="W6:W68" si="20">$N6*wRM</f>
        <v>0</v>
      </c>
      <c r="X6" s="246">
        <f t="shared" ref="X6:X68" si="21">$O6*wRH</f>
        <v>0</v>
      </c>
      <c r="Y6" s="246">
        <f t="shared" ref="Y6:Y68" si="22">$P6*wRS</f>
        <v>0</v>
      </c>
      <c r="Z6" s="246">
        <f t="shared" si="14"/>
        <v>0.20944080000000001</v>
      </c>
      <c r="AA6" s="247">
        <f t="shared" si="15"/>
        <v>0.20334058252427187</v>
      </c>
      <c r="AB6" s="122"/>
      <c r="AC6" s="244">
        <f t="shared" ref="AC6:AC68" si="23">($K6+$M6)*cARF</f>
        <v>0</v>
      </c>
      <c r="AD6" s="245">
        <f t="shared" ref="AD6:AD68" si="24">$L6*cRFR</f>
        <v>0</v>
      </c>
      <c r="AE6" s="245">
        <f t="shared" ref="AE6:AE68" si="25">$N6*cRM</f>
        <v>0</v>
      </c>
      <c r="AF6" s="245">
        <f t="shared" ref="AF6:AF68" si="26">$O6*cRH</f>
        <v>0</v>
      </c>
      <c r="AG6" s="245">
        <f t="shared" ref="AG6:AG68" si="27">$P6*cRS</f>
        <v>0</v>
      </c>
      <c r="AH6" s="245">
        <f t="shared" si="16"/>
        <v>0</v>
      </c>
      <c r="AI6" s="247">
        <f t="shared" si="17"/>
        <v>0</v>
      </c>
    </row>
    <row r="7" spans="1:35">
      <c r="A7" s="122"/>
      <c r="B7" s="241">
        <v>3</v>
      </c>
      <c r="C7" s="248">
        <f>'Other parameters'!$D$15</f>
        <v>3.0620000000000001E-3</v>
      </c>
      <c r="D7" s="242">
        <f>'Other parameters'!$G$15</f>
        <v>68.400000000000006</v>
      </c>
      <c r="E7" s="248">
        <f t="shared" si="0"/>
        <v>0</v>
      </c>
      <c r="F7" s="248">
        <f t="shared" si="1"/>
        <v>0</v>
      </c>
      <c r="G7" s="248">
        <f t="shared" si="2"/>
        <v>0</v>
      </c>
      <c r="H7" s="249">
        <f t="shared" si="3"/>
        <v>0.94259590913375435</v>
      </c>
      <c r="I7" s="122"/>
      <c r="J7" s="244">
        <f t="shared" si="4"/>
        <v>1</v>
      </c>
      <c r="K7" s="245">
        <f t="shared" si="5"/>
        <v>0</v>
      </c>
      <c r="L7" s="245">
        <f t="shared" si="6"/>
        <v>0</v>
      </c>
      <c r="M7" s="245">
        <f t="shared" si="7"/>
        <v>0</v>
      </c>
      <c r="N7" s="245">
        <f t="shared" si="8"/>
        <v>0</v>
      </c>
      <c r="O7" s="245">
        <f t="shared" si="9"/>
        <v>0</v>
      </c>
      <c r="P7" s="245">
        <f t="shared" si="10"/>
        <v>0</v>
      </c>
      <c r="Q7" s="245">
        <f t="shared" si="11"/>
        <v>0</v>
      </c>
      <c r="R7" s="243">
        <f t="shared" si="12"/>
        <v>1</v>
      </c>
      <c r="S7" s="122"/>
      <c r="T7" s="244">
        <f t="shared" si="13"/>
        <v>3.0620000000000001E-3</v>
      </c>
      <c r="U7" s="246">
        <f t="shared" si="18"/>
        <v>0.20944080000000001</v>
      </c>
      <c r="V7" s="246">
        <f t="shared" si="19"/>
        <v>0</v>
      </c>
      <c r="W7" s="246">
        <f t="shared" si="20"/>
        <v>0</v>
      </c>
      <c r="X7" s="246">
        <f t="shared" si="21"/>
        <v>0</v>
      </c>
      <c r="Y7" s="246">
        <f t="shared" si="22"/>
        <v>0</v>
      </c>
      <c r="Z7" s="246">
        <f t="shared" si="14"/>
        <v>0.20944080000000001</v>
      </c>
      <c r="AA7" s="247">
        <f t="shared" si="15"/>
        <v>0.19741804128570084</v>
      </c>
      <c r="AB7" s="122"/>
      <c r="AC7" s="244">
        <f t="shared" si="23"/>
        <v>0</v>
      </c>
      <c r="AD7" s="245">
        <f t="shared" si="24"/>
        <v>0</v>
      </c>
      <c r="AE7" s="245">
        <f t="shared" si="25"/>
        <v>0</v>
      </c>
      <c r="AF7" s="245">
        <f t="shared" si="26"/>
        <v>0</v>
      </c>
      <c r="AG7" s="245">
        <f t="shared" si="27"/>
        <v>0</v>
      </c>
      <c r="AH7" s="245">
        <f t="shared" si="16"/>
        <v>0</v>
      </c>
      <c r="AI7" s="247">
        <f t="shared" si="17"/>
        <v>0</v>
      </c>
    </row>
    <row r="8" spans="1:35">
      <c r="A8" s="122"/>
      <c r="B8" s="241">
        <v>4</v>
      </c>
      <c r="C8" s="248">
        <f>'Other parameters'!$D$15</f>
        <v>3.0620000000000001E-3</v>
      </c>
      <c r="D8" s="242">
        <f>'Other parameters'!$G$15</f>
        <v>68.400000000000006</v>
      </c>
      <c r="E8" s="248">
        <f t="shared" si="0"/>
        <v>0</v>
      </c>
      <c r="F8" s="248">
        <f t="shared" si="1"/>
        <v>0</v>
      </c>
      <c r="G8" s="248">
        <f t="shared" si="2"/>
        <v>0</v>
      </c>
      <c r="H8" s="249">
        <f t="shared" si="3"/>
        <v>0.91514165935315961</v>
      </c>
      <c r="I8" s="122"/>
      <c r="J8" s="244">
        <f t="shared" si="4"/>
        <v>1</v>
      </c>
      <c r="K8" s="245">
        <f t="shared" si="5"/>
        <v>0</v>
      </c>
      <c r="L8" s="245">
        <f t="shared" si="6"/>
        <v>0</v>
      </c>
      <c r="M8" s="245">
        <f t="shared" si="7"/>
        <v>0</v>
      </c>
      <c r="N8" s="245">
        <f t="shared" si="8"/>
        <v>0</v>
      </c>
      <c r="O8" s="245">
        <f t="shared" si="9"/>
        <v>0</v>
      </c>
      <c r="P8" s="245">
        <f t="shared" si="10"/>
        <v>0</v>
      </c>
      <c r="Q8" s="245">
        <f t="shared" si="11"/>
        <v>0</v>
      </c>
      <c r="R8" s="243">
        <f t="shared" si="12"/>
        <v>1</v>
      </c>
      <c r="S8" s="122"/>
      <c r="T8" s="244">
        <f t="shared" si="13"/>
        <v>3.0620000000000001E-3</v>
      </c>
      <c r="U8" s="246">
        <f t="shared" si="18"/>
        <v>0.20944080000000001</v>
      </c>
      <c r="V8" s="246">
        <f t="shared" si="19"/>
        <v>0</v>
      </c>
      <c r="W8" s="246">
        <f t="shared" si="20"/>
        <v>0</v>
      </c>
      <c r="X8" s="246">
        <f t="shared" si="21"/>
        <v>0</v>
      </c>
      <c r="Y8" s="246">
        <f t="shared" si="22"/>
        <v>0</v>
      </c>
      <c r="Z8" s="246">
        <f t="shared" si="14"/>
        <v>0.20944080000000001</v>
      </c>
      <c r="AA8" s="247">
        <f t="shared" si="15"/>
        <v>0.19166800124825323</v>
      </c>
      <c r="AB8" s="122"/>
      <c r="AC8" s="244">
        <f t="shared" si="23"/>
        <v>0</v>
      </c>
      <c r="AD8" s="245">
        <f t="shared" si="24"/>
        <v>0</v>
      </c>
      <c r="AE8" s="245">
        <f t="shared" si="25"/>
        <v>0</v>
      </c>
      <c r="AF8" s="245">
        <f t="shared" si="26"/>
        <v>0</v>
      </c>
      <c r="AG8" s="245">
        <f t="shared" si="27"/>
        <v>0</v>
      </c>
      <c r="AH8" s="245">
        <f t="shared" si="16"/>
        <v>0</v>
      </c>
      <c r="AI8" s="247">
        <f t="shared" si="17"/>
        <v>0</v>
      </c>
    </row>
    <row r="9" spans="1:35">
      <c r="A9" s="122"/>
      <c r="B9" s="241">
        <v>5</v>
      </c>
      <c r="C9" s="248">
        <f>'Other parameters'!$D$16</f>
        <v>2.2790000000000002E-3</v>
      </c>
      <c r="D9" s="242">
        <f>'Other parameters'!$G$16</f>
        <v>65.5</v>
      </c>
      <c r="E9" s="248">
        <f t="shared" si="0"/>
        <v>0</v>
      </c>
      <c r="F9" s="248">
        <f t="shared" si="1"/>
        <v>0</v>
      </c>
      <c r="G9" s="248">
        <f t="shared" si="2"/>
        <v>0</v>
      </c>
      <c r="H9" s="249">
        <f t="shared" si="3"/>
        <v>0.888487047915689</v>
      </c>
      <c r="I9" s="122"/>
      <c r="J9" s="244">
        <f t="shared" si="4"/>
        <v>1</v>
      </c>
      <c r="K9" s="245">
        <f t="shared" si="5"/>
        <v>0</v>
      </c>
      <c r="L9" s="245">
        <f t="shared" si="6"/>
        <v>0</v>
      </c>
      <c r="M9" s="245">
        <f t="shared" si="7"/>
        <v>0</v>
      </c>
      <c r="N9" s="245">
        <f t="shared" si="8"/>
        <v>0</v>
      </c>
      <c r="O9" s="245">
        <f t="shared" si="9"/>
        <v>0</v>
      </c>
      <c r="P9" s="245">
        <f t="shared" si="10"/>
        <v>0</v>
      </c>
      <c r="Q9" s="245">
        <f t="shared" si="11"/>
        <v>0</v>
      </c>
      <c r="R9" s="243">
        <f t="shared" si="12"/>
        <v>1</v>
      </c>
      <c r="S9" s="122"/>
      <c r="T9" s="244">
        <f t="shared" si="13"/>
        <v>2.2790000000000002E-3</v>
      </c>
      <c r="U9" s="246">
        <f t="shared" si="18"/>
        <v>0.1492745</v>
      </c>
      <c r="V9" s="246">
        <f t="shared" si="19"/>
        <v>0</v>
      </c>
      <c r="W9" s="246">
        <f t="shared" si="20"/>
        <v>0</v>
      </c>
      <c r="X9" s="246">
        <f t="shared" si="21"/>
        <v>0</v>
      </c>
      <c r="Y9" s="246">
        <f t="shared" si="22"/>
        <v>0</v>
      </c>
      <c r="Z9" s="246">
        <f t="shared" si="14"/>
        <v>0.1492745</v>
      </c>
      <c r="AA9" s="247">
        <f t="shared" si="15"/>
        <v>0.13262845983409052</v>
      </c>
      <c r="AB9" s="122"/>
      <c r="AC9" s="244">
        <f t="shared" si="23"/>
        <v>0</v>
      </c>
      <c r="AD9" s="245">
        <f t="shared" si="24"/>
        <v>0</v>
      </c>
      <c r="AE9" s="245">
        <f t="shared" si="25"/>
        <v>0</v>
      </c>
      <c r="AF9" s="245">
        <f t="shared" si="26"/>
        <v>0</v>
      </c>
      <c r="AG9" s="245">
        <f t="shared" si="27"/>
        <v>0</v>
      </c>
      <c r="AH9" s="245">
        <f t="shared" si="16"/>
        <v>0</v>
      </c>
      <c r="AI9" s="247">
        <f t="shared" si="17"/>
        <v>0</v>
      </c>
    </row>
    <row r="10" spans="1:35">
      <c r="A10" s="122"/>
      <c r="B10" s="241">
        <v>6</v>
      </c>
      <c r="C10" s="248">
        <f>'Other parameters'!$D$16</f>
        <v>2.2790000000000002E-3</v>
      </c>
      <c r="D10" s="242">
        <f>'Other parameters'!$G$16</f>
        <v>65.5</v>
      </c>
      <c r="E10" s="248">
        <f t="shared" si="0"/>
        <v>0</v>
      </c>
      <c r="F10" s="248">
        <f t="shared" si="1"/>
        <v>0</v>
      </c>
      <c r="G10" s="248">
        <f t="shared" si="2"/>
        <v>0</v>
      </c>
      <c r="H10" s="249">
        <f t="shared" si="3"/>
        <v>0.86260878438416411</v>
      </c>
      <c r="I10" s="122"/>
      <c r="J10" s="244">
        <f t="shared" si="4"/>
        <v>1</v>
      </c>
      <c r="K10" s="245">
        <f t="shared" si="5"/>
        <v>0</v>
      </c>
      <c r="L10" s="245">
        <f t="shared" si="6"/>
        <v>0</v>
      </c>
      <c r="M10" s="245">
        <f t="shared" si="7"/>
        <v>0</v>
      </c>
      <c r="N10" s="245">
        <f t="shared" si="8"/>
        <v>0</v>
      </c>
      <c r="O10" s="245">
        <f t="shared" si="9"/>
        <v>0</v>
      </c>
      <c r="P10" s="245">
        <f t="shared" si="10"/>
        <v>0</v>
      </c>
      <c r="Q10" s="245">
        <f t="shared" si="11"/>
        <v>0</v>
      </c>
      <c r="R10" s="243">
        <f t="shared" si="12"/>
        <v>1</v>
      </c>
      <c r="S10" s="122"/>
      <c r="T10" s="244">
        <f t="shared" si="13"/>
        <v>2.2790000000000002E-3</v>
      </c>
      <c r="U10" s="246">
        <f t="shared" si="18"/>
        <v>0.1492745</v>
      </c>
      <c r="V10" s="246">
        <f t="shared" si="19"/>
        <v>0</v>
      </c>
      <c r="W10" s="246">
        <f t="shared" si="20"/>
        <v>0</v>
      </c>
      <c r="X10" s="246">
        <f t="shared" si="21"/>
        <v>0</v>
      </c>
      <c r="Y10" s="246">
        <f t="shared" si="22"/>
        <v>0</v>
      </c>
      <c r="Z10" s="246">
        <f t="shared" si="14"/>
        <v>0.1492745</v>
      </c>
      <c r="AA10" s="247">
        <f t="shared" si="15"/>
        <v>0.12876549498455392</v>
      </c>
      <c r="AB10" s="122"/>
      <c r="AC10" s="244">
        <f t="shared" si="23"/>
        <v>0</v>
      </c>
      <c r="AD10" s="245">
        <f t="shared" si="24"/>
        <v>0</v>
      </c>
      <c r="AE10" s="245">
        <f t="shared" si="25"/>
        <v>0</v>
      </c>
      <c r="AF10" s="245">
        <f t="shared" si="26"/>
        <v>0</v>
      </c>
      <c r="AG10" s="245">
        <f t="shared" si="27"/>
        <v>0</v>
      </c>
      <c r="AH10" s="245">
        <f t="shared" si="16"/>
        <v>0</v>
      </c>
      <c r="AI10" s="247">
        <f t="shared" si="17"/>
        <v>0</v>
      </c>
    </row>
    <row r="11" spans="1:35">
      <c r="A11" s="122"/>
      <c r="B11" s="241">
        <v>7</v>
      </c>
      <c r="C11" s="248">
        <f>'Other parameters'!$D$16</f>
        <v>2.2790000000000002E-3</v>
      </c>
      <c r="D11" s="242">
        <f>'Other parameters'!$G$16</f>
        <v>65.5</v>
      </c>
      <c r="E11" s="248">
        <f t="shared" si="0"/>
        <v>0</v>
      </c>
      <c r="F11" s="248">
        <f t="shared" si="1"/>
        <v>0</v>
      </c>
      <c r="G11" s="248">
        <f t="shared" si="2"/>
        <v>0</v>
      </c>
      <c r="H11" s="249">
        <f t="shared" si="3"/>
        <v>0.83748425668365445</v>
      </c>
      <c r="I11" s="122"/>
      <c r="J11" s="244">
        <f t="shared" si="4"/>
        <v>1</v>
      </c>
      <c r="K11" s="245">
        <f t="shared" si="5"/>
        <v>0</v>
      </c>
      <c r="L11" s="245">
        <f t="shared" si="6"/>
        <v>0</v>
      </c>
      <c r="M11" s="245">
        <f t="shared" si="7"/>
        <v>0</v>
      </c>
      <c r="N11" s="245">
        <f t="shared" si="8"/>
        <v>0</v>
      </c>
      <c r="O11" s="245">
        <f t="shared" si="9"/>
        <v>0</v>
      </c>
      <c r="P11" s="245">
        <f t="shared" si="10"/>
        <v>0</v>
      </c>
      <c r="Q11" s="245">
        <f t="shared" si="11"/>
        <v>0</v>
      </c>
      <c r="R11" s="243">
        <f t="shared" si="12"/>
        <v>1</v>
      </c>
      <c r="S11" s="122"/>
      <c r="T11" s="244">
        <f t="shared" si="13"/>
        <v>2.2790000000000002E-3</v>
      </c>
      <c r="U11" s="246">
        <f t="shared" si="18"/>
        <v>0.1492745</v>
      </c>
      <c r="V11" s="246">
        <f t="shared" si="19"/>
        <v>0</v>
      </c>
      <c r="W11" s="246">
        <f t="shared" si="20"/>
        <v>0</v>
      </c>
      <c r="X11" s="246">
        <f t="shared" si="21"/>
        <v>0</v>
      </c>
      <c r="Y11" s="246">
        <f t="shared" si="22"/>
        <v>0</v>
      </c>
      <c r="Z11" s="246">
        <f t="shared" si="14"/>
        <v>0.1492745</v>
      </c>
      <c r="AA11" s="247">
        <f t="shared" si="15"/>
        <v>0.12501504367432417</v>
      </c>
      <c r="AB11" s="122"/>
      <c r="AC11" s="244">
        <f t="shared" si="23"/>
        <v>0</v>
      </c>
      <c r="AD11" s="245">
        <f t="shared" si="24"/>
        <v>0</v>
      </c>
      <c r="AE11" s="245">
        <f t="shared" si="25"/>
        <v>0</v>
      </c>
      <c r="AF11" s="245">
        <f t="shared" si="26"/>
        <v>0</v>
      </c>
      <c r="AG11" s="245">
        <f t="shared" si="27"/>
        <v>0</v>
      </c>
      <c r="AH11" s="245">
        <f t="shared" si="16"/>
        <v>0</v>
      </c>
      <c r="AI11" s="247">
        <f t="shared" si="17"/>
        <v>0</v>
      </c>
    </row>
    <row r="12" spans="1:35">
      <c r="A12" s="122"/>
      <c r="B12" s="241">
        <v>8</v>
      </c>
      <c r="C12" s="248">
        <f>'Other parameters'!$D$16</f>
        <v>2.2790000000000002E-3</v>
      </c>
      <c r="D12" s="242">
        <f>'Other parameters'!$G$16</f>
        <v>65.5</v>
      </c>
      <c r="E12" s="248">
        <f t="shared" si="0"/>
        <v>4.194E-4</v>
      </c>
      <c r="F12" s="248">
        <f t="shared" si="1"/>
        <v>0</v>
      </c>
      <c r="G12" s="248">
        <f t="shared" si="2"/>
        <v>0</v>
      </c>
      <c r="H12" s="249">
        <f t="shared" si="3"/>
        <v>0.81309151134335378</v>
      </c>
      <c r="I12" s="122"/>
      <c r="J12" s="244">
        <f t="shared" si="4"/>
        <v>0.99958060000000004</v>
      </c>
      <c r="K12" s="245">
        <f t="shared" si="5"/>
        <v>4.194E-4</v>
      </c>
      <c r="L12" s="245">
        <f t="shared" si="6"/>
        <v>0</v>
      </c>
      <c r="M12" s="245">
        <f t="shared" si="7"/>
        <v>0</v>
      </c>
      <c r="N12" s="245">
        <f t="shared" si="8"/>
        <v>0</v>
      </c>
      <c r="O12" s="245">
        <f t="shared" si="9"/>
        <v>0</v>
      </c>
      <c r="P12" s="245">
        <f t="shared" si="10"/>
        <v>0</v>
      </c>
      <c r="Q12" s="245">
        <f t="shared" si="11"/>
        <v>0</v>
      </c>
      <c r="R12" s="243">
        <f>SUM(J12:Q12)</f>
        <v>1</v>
      </c>
      <c r="S12" s="122"/>
      <c r="T12" s="244">
        <f t="shared" si="13"/>
        <v>2.2790000000000002E-3</v>
      </c>
      <c r="U12" s="246">
        <f t="shared" si="18"/>
        <v>0.1492745</v>
      </c>
      <c r="V12" s="246">
        <f t="shared" si="19"/>
        <v>2.1395145205479454E-6</v>
      </c>
      <c r="W12" s="246">
        <f t="shared" si="20"/>
        <v>0</v>
      </c>
      <c r="X12" s="246">
        <f t="shared" si="21"/>
        <v>0</v>
      </c>
      <c r="Y12" s="246">
        <f t="shared" si="22"/>
        <v>0</v>
      </c>
      <c r="Z12" s="246">
        <f t="shared" si="14"/>
        <v>0.14927663951452055</v>
      </c>
      <c r="AA12" s="247">
        <f t="shared" si="15"/>
        <v>0.12137556843111852</v>
      </c>
      <c r="AB12" s="122"/>
      <c r="AC12" s="244">
        <f t="shared" si="23"/>
        <v>0.62490599999999996</v>
      </c>
      <c r="AD12" s="245">
        <f t="shared" si="24"/>
        <v>0</v>
      </c>
      <c r="AE12" s="245">
        <f t="shared" si="25"/>
        <v>0</v>
      </c>
      <c r="AF12" s="245">
        <f t="shared" si="26"/>
        <v>0</v>
      </c>
      <c r="AG12" s="245">
        <f t="shared" si="27"/>
        <v>0</v>
      </c>
      <c r="AH12" s="245">
        <f t="shared" si="16"/>
        <v>0.62490599999999996</v>
      </c>
      <c r="AI12" s="247">
        <f t="shared" si="17"/>
        <v>0.50810576398752982</v>
      </c>
    </row>
    <row r="13" spans="1:35">
      <c r="A13" s="122"/>
      <c r="B13" s="241">
        <v>9</v>
      </c>
      <c r="C13" s="248">
        <f>'Other parameters'!$D$16</f>
        <v>2.2790000000000002E-3</v>
      </c>
      <c r="D13" s="242">
        <f>'Other parameters'!$G$16</f>
        <v>65.5</v>
      </c>
      <c r="E13" s="248">
        <f t="shared" si="0"/>
        <v>4.194E-4</v>
      </c>
      <c r="F13" s="248">
        <f t="shared" si="1"/>
        <v>0</v>
      </c>
      <c r="G13" s="248">
        <f t="shared" si="2"/>
        <v>0</v>
      </c>
      <c r="H13" s="249">
        <f t="shared" si="3"/>
        <v>0.78940923431393573</v>
      </c>
      <c r="I13" s="122"/>
      <c r="J13" s="244">
        <f t="shared" si="4"/>
        <v>0.99916137589636012</v>
      </c>
      <c r="K13" s="245">
        <f t="shared" si="5"/>
        <v>4.1922410364000001E-4</v>
      </c>
      <c r="L13" s="245">
        <f t="shared" si="6"/>
        <v>2.6422199999999994E-4</v>
      </c>
      <c r="M13" s="245">
        <f t="shared" si="7"/>
        <v>0</v>
      </c>
      <c r="N13" s="245">
        <f t="shared" si="8"/>
        <v>1.5098400000000003E-4</v>
      </c>
      <c r="O13" s="245">
        <f t="shared" si="9"/>
        <v>0</v>
      </c>
      <c r="P13" s="245">
        <f t="shared" si="10"/>
        <v>0</v>
      </c>
      <c r="Q13" s="245">
        <f t="shared" si="11"/>
        <v>4.194E-6</v>
      </c>
      <c r="R13" s="243">
        <f t="shared" ref="R13:R76" si="28">SUM(J13:Q13)</f>
        <v>1.0000000000000002</v>
      </c>
      <c r="S13" s="122"/>
      <c r="T13" s="244">
        <f t="shared" si="13"/>
        <v>2.2831940000000001E-3</v>
      </c>
      <c r="U13" s="246">
        <f t="shared" si="18"/>
        <v>0.14954920700000002</v>
      </c>
      <c r="V13" s="246">
        <f t="shared" si="19"/>
        <v>2.1386172081580279E-6</v>
      </c>
      <c r="W13" s="246">
        <f t="shared" si="20"/>
        <v>6.1903440000000019E-6</v>
      </c>
      <c r="X13" s="246">
        <f t="shared" si="21"/>
        <v>0</v>
      </c>
      <c r="Y13" s="246">
        <f t="shared" si="22"/>
        <v>0</v>
      </c>
      <c r="Z13" s="246">
        <f t="shared" si="14"/>
        <v>0.14955753596120819</v>
      </c>
      <c r="AA13" s="247">
        <f t="shared" si="15"/>
        <v>0.11806209994901626</v>
      </c>
      <c r="AB13" s="122"/>
      <c r="AC13" s="244">
        <f t="shared" si="23"/>
        <v>0.62464391442360001</v>
      </c>
      <c r="AD13" s="245">
        <f t="shared" si="24"/>
        <v>7.6095935999999975E-2</v>
      </c>
      <c r="AE13" s="245">
        <f t="shared" si="25"/>
        <v>9.3172226400000016E-2</v>
      </c>
      <c r="AF13" s="245">
        <f t="shared" si="26"/>
        <v>0</v>
      </c>
      <c r="AG13" s="245">
        <f t="shared" si="27"/>
        <v>0</v>
      </c>
      <c r="AH13" s="245">
        <f t="shared" si="16"/>
        <v>0.79391207682359999</v>
      </c>
      <c r="AI13" s="247">
        <f t="shared" si="17"/>
        <v>0.62672152467790454</v>
      </c>
    </row>
    <row r="14" spans="1:35">
      <c r="A14" s="122"/>
      <c r="B14" s="241">
        <v>10</v>
      </c>
      <c r="C14" s="248">
        <f>'Other parameters'!$D$17</f>
        <v>1.7776000000000001E-3</v>
      </c>
      <c r="D14" s="242">
        <f>'Other parameters'!$G$17</f>
        <v>61.2</v>
      </c>
      <c r="E14" s="248">
        <f t="shared" si="0"/>
        <v>4.194E-4</v>
      </c>
      <c r="F14" s="248">
        <f t="shared" si="1"/>
        <v>0</v>
      </c>
      <c r="G14" s="248">
        <f t="shared" si="2"/>
        <v>0</v>
      </c>
      <c r="H14" s="249">
        <f t="shared" si="3"/>
        <v>0.76641673234362695</v>
      </c>
      <c r="I14" s="122"/>
      <c r="J14" s="244">
        <f t="shared" si="4"/>
        <v>0.99874232761530923</v>
      </c>
      <c r="K14" s="245">
        <f t="shared" si="5"/>
        <v>4.1904828105093344E-4</v>
      </c>
      <c r="L14" s="245">
        <f t="shared" si="6"/>
        <v>5.2833318529319992E-4</v>
      </c>
      <c r="M14" s="245">
        <f t="shared" si="7"/>
        <v>0</v>
      </c>
      <c r="N14" s="245">
        <f t="shared" si="8"/>
        <v>3.0023949327585386E-4</v>
      </c>
      <c r="O14" s="245">
        <f t="shared" si="9"/>
        <v>1.2113602474847322E-6</v>
      </c>
      <c r="P14" s="245">
        <f t="shared" si="10"/>
        <v>4.5382378706148125E-7</v>
      </c>
      <c r="Q14" s="245">
        <f t="shared" si="11"/>
        <v>8.3862410364000008E-6</v>
      </c>
      <c r="R14" s="243">
        <f t="shared" si="28"/>
        <v>1.0000000000000002</v>
      </c>
      <c r="S14" s="122"/>
      <c r="T14" s="244">
        <f t="shared" si="13"/>
        <v>1.7817922410364E-3</v>
      </c>
      <c r="U14" s="246">
        <f t="shared" si="18"/>
        <v>0.10904568515142768</v>
      </c>
      <c r="V14" s="246">
        <f t="shared" si="19"/>
        <v>2.1377202721009267E-6</v>
      </c>
      <c r="W14" s="246">
        <f t="shared" si="20"/>
        <v>1.2309819224310009E-5</v>
      </c>
      <c r="X14" s="246">
        <f t="shared" si="21"/>
        <v>2.1683348429976705E-7</v>
      </c>
      <c r="Y14" s="246">
        <f t="shared" si="22"/>
        <v>3.1767665094303691E-8</v>
      </c>
      <c r="Z14" s="246">
        <f t="shared" si="14"/>
        <v>0.1090603812920735</v>
      </c>
      <c r="AA14" s="247">
        <f t="shared" si="15"/>
        <v>8.3585701058021003E-2</v>
      </c>
      <c r="AB14" s="122"/>
      <c r="AC14" s="244">
        <f t="shared" si="23"/>
        <v>0.62438193876589088</v>
      </c>
      <c r="AD14" s="245">
        <f t="shared" si="24"/>
        <v>0.15215995736444157</v>
      </c>
      <c r="AE14" s="245">
        <f t="shared" si="25"/>
        <v>0.18527779130052943</v>
      </c>
      <c r="AF14" s="245">
        <f t="shared" si="26"/>
        <v>1.1593928928676372E-3</v>
      </c>
      <c r="AG14" s="245">
        <f t="shared" si="27"/>
        <v>2.8005465899564008E-4</v>
      </c>
      <c r="AH14" s="245">
        <f t="shared" si="16"/>
        <v>0.96325913498272508</v>
      </c>
      <c r="AI14" s="247">
        <f t="shared" si="17"/>
        <v>0.73825791863360879</v>
      </c>
    </row>
    <row r="15" spans="1:35">
      <c r="A15" s="122"/>
      <c r="B15" s="241">
        <v>11</v>
      </c>
      <c r="C15" s="248">
        <f>'Other parameters'!$D$17</f>
        <v>1.7776000000000001E-3</v>
      </c>
      <c r="D15" s="242">
        <f>'Other parameters'!$G$17</f>
        <v>61.2</v>
      </c>
      <c r="E15" s="248">
        <f t="shared" si="0"/>
        <v>4.194E-4</v>
      </c>
      <c r="F15" s="248">
        <f t="shared" si="1"/>
        <v>0</v>
      </c>
      <c r="G15" s="248">
        <f t="shared" si="2"/>
        <v>0</v>
      </c>
      <c r="H15" s="249">
        <f t="shared" si="3"/>
        <v>0.74409391489672516</v>
      </c>
      <c r="I15" s="122"/>
      <c r="J15" s="244">
        <f t="shared" si="4"/>
        <v>0.99832345508310738</v>
      </c>
      <c r="K15" s="245">
        <f t="shared" si="5"/>
        <v>4.1887253220186069E-4</v>
      </c>
      <c r="L15" s="245">
        <f t="shared" si="6"/>
        <v>7.9233360235528793E-4</v>
      </c>
      <c r="M15" s="245">
        <f t="shared" si="7"/>
        <v>0</v>
      </c>
      <c r="N15" s="245">
        <f t="shared" si="8"/>
        <v>4.4778556987394829E-4</v>
      </c>
      <c r="O15" s="245">
        <f t="shared" si="9"/>
        <v>3.4687927233003783E-6</v>
      </c>
      <c r="P15" s="245">
        <f t="shared" si="10"/>
        <v>1.280487288112571E-6</v>
      </c>
      <c r="Q15" s="245">
        <f t="shared" si="11"/>
        <v>1.2803932450284194E-5</v>
      </c>
      <c r="R15" s="243">
        <f t="shared" si="28"/>
        <v>1</v>
      </c>
      <c r="S15" s="122"/>
      <c r="T15" s="244">
        <f t="shared" si="13"/>
        <v>1.7820176914138842E-3</v>
      </c>
      <c r="U15" s="246">
        <f t="shared" si="18"/>
        <v>0.10905948271452971</v>
      </c>
      <c r="V15" s="246">
        <f t="shared" si="19"/>
        <v>2.1368237122188073E-6</v>
      </c>
      <c r="W15" s="246">
        <f t="shared" si="20"/>
        <v>1.835920836483188E-5</v>
      </c>
      <c r="X15" s="246">
        <f t="shared" si="21"/>
        <v>6.2091389747076764E-7</v>
      </c>
      <c r="Y15" s="246">
        <f t="shared" si="22"/>
        <v>8.963411016787998E-8</v>
      </c>
      <c r="Z15" s="246">
        <f t="shared" si="14"/>
        <v>0.1090806892946144</v>
      </c>
      <c r="AA15" s="247">
        <f t="shared" si="15"/>
        <v>8.1166277136862919E-2</v>
      </c>
      <c r="AB15" s="122"/>
      <c r="AC15" s="244">
        <f t="shared" si="23"/>
        <v>0.62412007298077243</v>
      </c>
      <c r="AD15" s="245">
        <f t="shared" si="24"/>
        <v>0.22819207747832293</v>
      </c>
      <c r="AE15" s="245">
        <f t="shared" si="25"/>
        <v>0.27632847516921349</v>
      </c>
      <c r="AF15" s="245">
        <f t="shared" si="26"/>
        <v>3.319981515470792E-3</v>
      </c>
      <c r="AG15" s="245">
        <f t="shared" si="27"/>
        <v>7.9018870549426754E-4</v>
      </c>
      <c r="AH15" s="245">
        <f t="shared" si="16"/>
        <v>1.1327507958492737</v>
      </c>
      <c r="AI15" s="247">
        <f t="shared" si="17"/>
        <v>0.84287297428586716</v>
      </c>
    </row>
    <row r="16" spans="1:35">
      <c r="A16" s="122"/>
      <c r="B16" s="241">
        <v>12</v>
      </c>
      <c r="C16" s="248">
        <f>'Other parameters'!$D$17</f>
        <v>1.7776000000000001E-3</v>
      </c>
      <c r="D16" s="242">
        <f>'Other parameters'!$G$17</f>
        <v>61.2</v>
      </c>
      <c r="E16" s="248">
        <f t="shared" si="0"/>
        <v>4.194E-4</v>
      </c>
      <c r="F16" s="248">
        <f t="shared" si="1"/>
        <v>0.10631249999999999</v>
      </c>
      <c r="G16" s="248">
        <f t="shared" si="2"/>
        <v>0</v>
      </c>
      <c r="H16" s="249">
        <f t="shared" si="3"/>
        <v>0.72242127659876232</v>
      </c>
      <c r="I16" s="122"/>
      <c r="J16" s="244">
        <f t="shared" si="4"/>
        <v>0.99790475822604552</v>
      </c>
      <c r="K16" s="245">
        <f t="shared" si="5"/>
        <v>4.1869685706185522E-4</v>
      </c>
      <c r="L16" s="245">
        <f t="shared" si="6"/>
        <v>9.7198833154206357E-4</v>
      </c>
      <c r="M16" s="245">
        <f t="shared" si="7"/>
        <v>8.4234966100396534E-5</v>
      </c>
      <c r="N16" s="245">
        <f t="shared" si="8"/>
        <v>5.9364110928774964E-4</v>
      </c>
      <c r="O16" s="245">
        <f t="shared" si="9"/>
        <v>6.6278235721038918E-6</v>
      </c>
      <c r="P16" s="245">
        <f t="shared" si="10"/>
        <v>2.4125881506501766E-6</v>
      </c>
      <c r="Q16" s="245">
        <f t="shared" si="11"/>
        <v>1.7640098239830147E-5</v>
      </c>
      <c r="R16" s="243">
        <f t="shared" si="28"/>
        <v>1.0000000000000002</v>
      </c>
      <c r="S16" s="122"/>
      <c r="T16" s="244">
        <f t="shared" si="13"/>
        <v>1.782436165789546E-3</v>
      </c>
      <c r="U16" s="246">
        <f t="shared" si="18"/>
        <v>0.10908509334632022</v>
      </c>
      <c r="V16" s="246">
        <f t="shared" si="19"/>
        <v>2.5656412458304464E-6</v>
      </c>
      <c r="W16" s="246">
        <f t="shared" si="20"/>
        <v>2.4339285480797736E-5</v>
      </c>
      <c r="X16" s="246">
        <f t="shared" si="21"/>
        <v>1.1863804194065966E-6</v>
      </c>
      <c r="Y16" s="246">
        <f t="shared" si="22"/>
        <v>1.6888117054551238E-7</v>
      </c>
      <c r="Z16" s="246">
        <f t="shared" si="14"/>
        <v>0.1091133535346368</v>
      </c>
      <c r="AA16" s="247">
        <f t="shared" si="15"/>
        <v>7.8825808154464397E-2</v>
      </c>
      <c r="AB16" s="122"/>
      <c r="AC16" s="244">
        <f t="shared" si="23"/>
        <v>0.74936841651175512</v>
      </c>
      <c r="AD16" s="245">
        <f t="shared" si="24"/>
        <v>0.27993263948411429</v>
      </c>
      <c r="AE16" s="245">
        <f t="shared" si="25"/>
        <v>0.36633592854147035</v>
      </c>
      <c r="AF16" s="245">
        <f t="shared" si="26"/>
        <v>6.343489940860635E-3</v>
      </c>
      <c r="AG16" s="245">
        <f t="shared" si="27"/>
        <v>1.4888081477662241E-3</v>
      </c>
      <c r="AH16" s="245">
        <f t="shared" si="16"/>
        <v>1.4034692826259665</v>
      </c>
      <c r="AI16" s="247">
        <f t="shared" si="17"/>
        <v>1.0138960708217999</v>
      </c>
    </row>
    <row r="17" spans="1:35">
      <c r="A17" s="122"/>
      <c r="B17" s="241">
        <v>13</v>
      </c>
      <c r="C17" s="248">
        <f>'Other parameters'!$D$17</f>
        <v>1.7776000000000001E-3</v>
      </c>
      <c r="D17" s="242">
        <f>'Other parameters'!$G$17</f>
        <v>61.2</v>
      </c>
      <c r="E17" s="248">
        <f t="shared" si="0"/>
        <v>4.194E-4</v>
      </c>
      <c r="F17" s="248">
        <f t="shared" si="1"/>
        <v>0.10631249999999999</v>
      </c>
      <c r="G17" s="248">
        <f t="shared" si="2"/>
        <v>0</v>
      </c>
      <c r="H17" s="249">
        <f t="shared" si="3"/>
        <v>0.70137988019297326</v>
      </c>
      <c r="I17" s="122"/>
      <c r="J17" s="244">
        <f t="shared" si="4"/>
        <v>0.99748623697044558</v>
      </c>
      <c r="K17" s="245">
        <f t="shared" si="5"/>
        <v>4.185212556000035E-4</v>
      </c>
      <c r="L17" s="245">
        <f t="shared" si="6"/>
        <v>1.1543339331800697E-3</v>
      </c>
      <c r="M17" s="245">
        <f t="shared" si="7"/>
        <v>1.0333450949706563E-4</v>
      </c>
      <c r="N17" s="245">
        <f t="shared" si="8"/>
        <v>7.9847395837225619E-4</v>
      </c>
      <c r="O17" s="245">
        <f t="shared" si="9"/>
        <v>1.0562189642598796E-5</v>
      </c>
      <c r="P17" s="245">
        <f t="shared" si="10"/>
        <v>3.7940369625304964E-6</v>
      </c>
      <c r="Q17" s="245">
        <f t="shared" si="11"/>
        <v>2.4743146300128198E-5</v>
      </c>
      <c r="R17" s="243">
        <f t="shared" si="28"/>
        <v>1.0000000000000002</v>
      </c>
      <c r="S17" s="122"/>
      <c r="T17" s="244">
        <f t="shared" si="13"/>
        <v>1.784703048060298E-3</v>
      </c>
      <c r="U17" s="246">
        <f t="shared" si="18"/>
        <v>0.10922382654129024</v>
      </c>
      <c r="V17" s="246">
        <f t="shared" si="19"/>
        <v>2.6621792729061447E-6</v>
      </c>
      <c r="W17" s="246">
        <f t="shared" si="20"/>
        <v>3.2737432293262502E-5</v>
      </c>
      <c r="X17" s="246">
        <f t="shared" si="21"/>
        <v>1.8906319460251844E-6</v>
      </c>
      <c r="Y17" s="246">
        <f t="shared" si="22"/>
        <v>2.6558258737713479E-7</v>
      </c>
      <c r="Z17" s="246">
        <f t="shared" si="14"/>
        <v>0.10926138236738982</v>
      </c>
      <c r="AA17" s="247">
        <f t="shared" si="15"/>
        <v>7.6633735274558509E-2</v>
      </c>
      <c r="AB17" s="122"/>
      <c r="AC17" s="244">
        <f t="shared" si="23"/>
        <v>0.77756508999463303</v>
      </c>
      <c r="AD17" s="245">
        <f t="shared" si="24"/>
        <v>0.33244817275586008</v>
      </c>
      <c r="AE17" s="245">
        <f t="shared" si="25"/>
        <v>0.49273827971151929</v>
      </c>
      <c r="AF17" s="245">
        <f t="shared" si="26"/>
        <v>1.0109071706931308E-2</v>
      </c>
      <c r="AG17" s="245">
        <f t="shared" si="27"/>
        <v>2.3413002095775694E-3</v>
      </c>
      <c r="AH17" s="245">
        <f t="shared" si="16"/>
        <v>1.615201914378521</v>
      </c>
      <c r="AI17" s="247">
        <f t="shared" si="17"/>
        <v>1.1328701251942681</v>
      </c>
    </row>
    <row r="18" spans="1:35">
      <c r="A18" s="122"/>
      <c r="B18" s="241">
        <v>14</v>
      </c>
      <c r="C18" s="248">
        <f>'Other parameters'!$D$17</f>
        <v>1.7776000000000001E-3</v>
      </c>
      <c r="D18" s="242">
        <f>'Other parameters'!$G$17</f>
        <v>61.2</v>
      </c>
      <c r="E18" s="248">
        <f t="shared" si="0"/>
        <v>4.194E-4</v>
      </c>
      <c r="F18" s="248">
        <f t="shared" si="1"/>
        <v>0.10631249999999999</v>
      </c>
      <c r="G18" s="248">
        <f t="shared" si="2"/>
        <v>0</v>
      </c>
      <c r="H18" s="249">
        <f t="shared" si="3"/>
        <v>0.68095133999317792</v>
      </c>
      <c r="I18" s="122"/>
      <c r="J18" s="244">
        <f t="shared" si="4"/>
        <v>0.99706789124266026</v>
      </c>
      <c r="K18" s="245">
        <f t="shared" si="5"/>
        <v>4.1834572778540489E-4</v>
      </c>
      <c r="L18" s="245">
        <f t="shared" si="6"/>
        <v>1.3221491704061028E-3</v>
      </c>
      <c r="M18" s="245">
        <f t="shared" si="7"/>
        <v>1.2272012627120616E-4</v>
      </c>
      <c r="N18" s="245">
        <f t="shared" si="8"/>
        <v>1.0147361857835919E-3</v>
      </c>
      <c r="O18" s="245">
        <f t="shared" si="9"/>
        <v>1.5648155087276131E-5</v>
      </c>
      <c r="P18" s="245">
        <f t="shared" si="10"/>
        <v>5.560465082338563E-6</v>
      </c>
      <c r="Q18" s="245">
        <f t="shared" si="11"/>
        <v>3.2948926924136984E-5</v>
      </c>
      <c r="R18" s="243">
        <f t="shared" si="28"/>
        <v>1.0000000000000004</v>
      </c>
      <c r="S18" s="122"/>
      <c r="T18" s="244">
        <f t="shared" si="13"/>
        <v>1.7858057806240089E-3</v>
      </c>
      <c r="U18" s="246">
        <f t="shared" si="18"/>
        <v>0.10929131377418935</v>
      </c>
      <c r="V18" s="246">
        <f t="shared" si="19"/>
        <v>2.7601770417901643E-6</v>
      </c>
      <c r="W18" s="246">
        <f t="shared" si="20"/>
        <v>4.1604183617127271E-5</v>
      </c>
      <c r="X18" s="246">
        <f t="shared" si="21"/>
        <v>2.8010197606224274E-6</v>
      </c>
      <c r="Y18" s="246">
        <f t="shared" si="22"/>
        <v>3.8923255576369947E-7</v>
      </c>
      <c r="Z18" s="246">
        <f t="shared" si="14"/>
        <v>0.10933886838716465</v>
      </c>
      <c r="AA18" s="247">
        <f t="shared" si="15"/>
        <v>7.4454448941577489E-2</v>
      </c>
      <c r="AB18" s="122"/>
      <c r="AC18" s="244">
        <f t="shared" si="23"/>
        <v>0.80618812254435057</v>
      </c>
      <c r="AD18" s="245">
        <f t="shared" si="24"/>
        <v>0.38077896107695758</v>
      </c>
      <c r="AE18" s="245">
        <f t="shared" si="25"/>
        <v>0.62619370024705456</v>
      </c>
      <c r="AF18" s="245">
        <f t="shared" si="26"/>
        <v>1.4976849234031985E-2</v>
      </c>
      <c r="AG18" s="245">
        <f t="shared" si="27"/>
        <v>3.4313630023111272E-3</v>
      </c>
      <c r="AH18" s="245">
        <f t="shared" si="16"/>
        <v>1.8315689961047059</v>
      </c>
      <c r="AI18" s="247">
        <f t="shared" si="17"/>
        <v>1.2472093621874591</v>
      </c>
    </row>
    <row r="19" spans="1:35">
      <c r="A19" s="122"/>
      <c r="B19" s="241">
        <v>15</v>
      </c>
      <c r="C19" s="248">
        <f>'Other parameters'!$D$18</f>
        <v>1.9608E-3</v>
      </c>
      <c r="D19" s="242">
        <f>'Other parameters'!$G$18</f>
        <v>56.7</v>
      </c>
      <c r="E19" s="248">
        <f t="shared" si="0"/>
        <v>4.194E-4</v>
      </c>
      <c r="F19" s="248">
        <f t="shared" si="1"/>
        <v>0.10631249999999999</v>
      </c>
      <c r="G19" s="248">
        <f t="shared" si="2"/>
        <v>0</v>
      </c>
      <c r="H19" s="249">
        <f t="shared" si="3"/>
        <v>0.66111780581861923</v>
      </c>
      <c r="I19" s="122"/>
      <c r="J19" s="244">
        <f t="shared" si="4"/>
        <v>0.99664972096907312</v>
      </c>
      <c r="K19" s="245">
        <f t="shared" si="5"/>
        <v>4.1817027358717173E-4</v>
      </c>
      <c r="L19" s="245">
        <f t="shared" si="6"/>
        <v>1.4770532280626225E-3</v>
      </c>
      <c r="M19" s="245">
        <f t="shared" si="7"/>
        <v>1.4056098367879879E-4</v>
      </c>
      <c r="N19" s="245">
        <f t="shared" si="8"/>
        <v>1.2425077376535271E-3</v>
      </c>
      <c r="O19" s="245">
        <f t="shared" si="9"/>
        <v>2.1833469068760012E-5</v>
      </c>
      <c r="P19" s="245">
        <f t="shared" si="10"/>
        <v>7.6819350942736074E-6</v>
      </c>
      <c r="Q19" s="245">
        <f t="shared" si="11"/>
        <v>4.2471403782075213E-5</v>
      </c>
      <c r="R19" s="243">
        <f t="shared" si="28"/>
        <v>1.0000000000000002</v>
      </c>
      <c r="S19" s="250"/>
      <c r="T19" s="244">
        <f t="shared" si="13"/>
        <v>1.9703224768579382E-3</v>
      </c>
      <c r="U19" s="246">
        <f t="shared" si="18"/>
        <v>0.11171728443784509</v>
      </c>
      <c r="V19" s="246">
        <f t="shared" si="19"/>
        <v>2.8502947973403757E-6</v>
      </c>
      <c r="W19" s="246">
        <f t="shared" si="20"/>
        <v>5.0942817243794618E-5</v>
      </c>
      <c r="X19" s="246">
        <f t="shared" si="21"/>
        <v>3.9081909633080418E-6</v>
      </c>
      <c r="Y19" s="246">
        <f t="shared" si="22"/>
        <v>5.377354565991526E-7</v>
      </c>
      <c r="Z19" s="246">
        <f t="shared" si="14"/>
        <v>0.11177552347630614</v>
      </c>
      <c r="AA19" s="247">
        <f t="shared" si="15"/>
        <v>7.389678882488307E-2</v>
      </c>
      <c r="AB19" s="122"/>
      <c r="AC19" s="244">
        <f t="shared" si="23"/>
        <v>0.83250957332629605</v>
      </c>
      <c r="AD19" s="245">
        <f t="shared" si="24"/>
        <v>0.4253913296820353</v>
      </c>
      <c r="AE19" s="245">
        <f t="shared" si="25"/>
        <v>0.76675152490599163</v>
      </c>
      <c r="AF19" s="245">
        <f t="shared" si="26"/>
        <v>2.0896813245710209E-2</v>
      </c>
      <c r="AG19" s="245">
        <f t="shared" si="27"/>
        <v>4.7405221466762437E-3</v>
      </c>
      <c r="AH19" s="245">
        <f t="shared" si="16"/>
        <v>2.0502897633067096</v>
      </c>
      <c r="AI19" s="247">
        <f t="shared" si="17"/>
        <v>1.355483069609708</v>
      </c>
    </row>
    <row r="20" spans="1:35">
      <c r="A20" s="122"/>
      <c r="B20" s="241">
        <v>16</v>
      </c>
      <c r="C20" s="248">
        <f>'Other parameters'!$D$18</f>
        <v>1.9608E-3</v>
      </c>
      <c r="D20" s="242">
        <f>'Other parameters'!$G$18</f>
        <v>56.7</v>
      </c>
      <c r="E20" s="248">
        <f t="shared" ref="E20:E39" si="29">IF(B20&lt;rf1age,0,(pA1_1a*EXP(-0.1*(B20-$B$19))))</f>
        <v>3.7948881312428143E-4</v>
      </c>
      <c r="F20" s="248">
        <f t="shared" si="1"/>
        <v>0.10631249999999999</v>
      </c>
      <c r="G20" s="248">
        <f t="shared" si="2"/>
        <v>0</v>
      </c>
      <c r="H20" s="249">
        <f t="shared" si="3"/>
        <v>0.64186194739671765</v>
      </c>
      <c r="I20" s="122"/>
      <c r="J20" s="244">
        <f t="shared" si="4"/>
        <v>0.99627150354936189</v>
      </c>
      <c r="K20" s="245">
        <f t="shared" si="5"/>
        <v>3.782174197111998E-4</v>
      </c>
      <c r="L20" s="245">
        <f t="shared" si="6"/>
        <v>1.6200171348706208E-3</v>
      </c>
      <c r="M20" s="245">
        <f t="shared" si="7"/>
        <v>1.5702922130840754E-4</v>
      </c>
      <c r="N20" s="245">
        <f t="shared" si="8"/>
        <v>1.4805494788109282E-3</v>
      </c>
      <c r="O20" s="245">
        <f t="shared" si="9"/>
        <v>2.9073053520430144E-5</v>
      </c>
      <c r="P20" s="245">
        <f t="shared" si="10"/>
        <v>1.0133749430980752E-5</v>
      </c>
      <c r="Q20" s="245">
        <f t="shared" si="11"/>
        <v>5.34763929858616E-5</v>
      </c>
      <c r="R20" s="243">
        <f t="shared" si="28"/>
        <v>1.0000000000000002</v>
      </c>
      <c r="S20" s="250"/>
      <c r="T20" s="244">
        <f t="shared" si="13"/>
        <v>1.9718049892037863E-3</v>
      </c>
      <c r="U20" s="246">
        <f t="shared" si="18"/>
        <v>0.11180134288785469</v>
      </c>
      <c r="V20" s="246">
        <f t="shared" si="19"/>
        <v>2.7304910837767372E-6</v>
      </c>
      <c r="W20" s="246">
        <f t="shared" si="20"/>
        <v>6.0702528631248058E-5</v>
      </c>
      <c r="X20" s="246">
        <f t="shared" si="21"/>
        <v>5.2040765801569959E-6</v>
      </c>
      <c r="Y20" s="246">
        <f t="shared" si="22"/>
        <v>7.0936246016865265E-7</v>
      </c>
      <c r="Z20" s="246">
        <f t="shared" si="14"/>
        <v>0.11187068934661004</v>
      </c>
      <c r="AA20" s="247">
        <f t="shared" si="15"/>
        <v>7.1805538520628362E-2</v>
      </c>
      <c r="AB20" s="122"/>
      <c r="AC20" s="244">
        <f t="shared" si="23"/>
        <v>0.79751749511921499</v>
      </c>
      <c r="AD20" s="245">
        <f t="shared" si="24"/>
        <v>0.46656493484273881</v>
      </c>
      <c r="AE20" s="245">
        <f t="shared" si="25"/>
        <v>0.91364708337422385</v>
      </c>
      <c r="AF20" s="245">
        <f t="shared" si="26"/>
        <v>2.7825819524403692E-2</v>
      </c>
      <c r="AG20" s="245">
        <f t="shared" si="27"/>
        <v>6.2535367738582219E-3</v>
      </c>
      <c r="AH20" s="245">
        <f t="shared" si="16"/>
        <v>2.2118088696344396</v>
      </c>
      <c r="AI20" s="247">
        <f t="shared" si="17"/>
        <v>1.4196759483328942</v>
      </c>
    </row>
    <row r="21" spans="1:35">
      <c r="A21" s="122"/>
      <c r="B21" s="241">
        <v>17</v>
      </c>
      <c r="C21" s="248">
        <f>'Other parameters'!$D$18</f>
        <v>1.9608E-3</v>
      </c>
      <c r="D21" s="242">
        <f>'Other parameters'!$G$18</f>
        <v>56.7</v>
      </c>
      <c r="E21" s="248">
        <f t="shared" si="29"/>
        <v>3.4337567784090557E-4</v>
      </c>
      <c r="F21" s="248">
        <f t="shared" si="1"/>
        <v>0.10631249999999999</v>
      </c>
      <c r="G21" s="248">
        <f t="shared" si="2"/>
        <v>0</v>
      </c>
      <c r="H21" s="249">
        <f t="shared" si="3"/>
        <v>0.62316693922011435</v>
      </c>
      <c r="I21" s="122"/>
      <c r="J21" s="244">
        <f t="shared" si="4"/>
        <v>0.99592940814651698</v>
      </c>
      <c r="K21" s="245">
        <f t="shared" si="5"/>
        <v>3.4209540284484027E-4</v>
      </c>
      <c r="L21" s="245">
        <f t="shared" si="6"/>
        <v>1.7268936351779295E-3</v>
      </c>
      <c r="M21" s="245">
        <f t="shared" si="7"/>
        <v>1.7222807165093287E-4</v>
      </c>
      <c r="N21" s="245">
        <f t="shared" si="8"/>
        <v>1.7134399904725095E-3</v>
      </c>
      <c r="O21" s="245">
        <f t="shared" si="9"/>
        <v>3.7317523424358498E-5</v>
      </c>
      <c r="P21" s="245">
        <f t="shared" si="10"/>
        <v>1.2891610458528805E-5</v>
      </c>
      <c r="Q21" s="245">
        <f t="shared" si="11"/>
        <v>6.57256194541693E-5</v>
      </c>
      <c r="R21" s="243">
        <f t="shared" si="28"/>
        <v>1.0000000000000002</v>
      </c>
      <c r="S21" s="250"/>
      <c r="T21" s="244">
        <f t="shared" si="13"/>
        <v>1.9730492264683078E-3</v>
      </c>
      <c r="U21" s="246">
        <f t="shared" si="18"/>
        <v>0.11187189114075306</v>
      </c>
      <c r="V21" s="246">
        <f t="shared" si="19"/>
        <v>2.623754272633232E-6</v>
      </c>
      <c r="W21" s="246">
        <f t="shared" si="20"/>
        <v>7.0251039609372899E-5</v>
      </c>
      <c r="X21" s="246">
        <f t="shared" si="21"/>
        <v>6.6798366929601708E-6</v>
      </c>
      <c r="Y21" s="246">
        <f t="shared" si="22"/>
        <v>9.0241273209701646E-7</v>
      </c>
      <c r="Z21" s="246">
        <f t="shared" si="14"/>
        <v>0.11195234818406014</v>
      </c>
      <c r="AA21" s="247">
        <f t="shared" si="15"/>
        <v>6.9765002156365274E-2</v>
      </c>
      <c r="AB21" s="122"/>
      <c r="AC21" s="244">
        <f t="shared" si="23"/>
        <v>0.76634197699870188</v>
      </c>
      <c r="AD21" s="245">
        <f t="shared" si="24"/>
        <v>0.4973453669312437</v>
      </c>
      <c r="AE21" s="245">
        <f t="shared" si="25"/>
        <v>1.0573638181205858</v>
      </c>
      <c r="AF21" s="245">
        <f t="shared" si="26"/>
        <v>3.5716601669453521E-2</v>
      </c>
      <c r="AG21" s="245">
        <f t="shared" si="27"/>
        <v>7.9554128139581268E-3</v>
      </c>
      <c r="AH21" s="245">
        <f t="shared" si="16"/>
        <v>2.3647231765339431</v>
      </c>
      <c r="AI21" s="247">
        <f t="shared" si="17"/>
        <v>1.4736173040235234</v>
      </c>
    </row>
    <row r="22" spans="1:35">
      <c r="A22" s="122"/>
      <c r="B22" s="241">
        <v>18</v>
      </c>
      <c r="C22" s="248">
        <f>'Other parameters'!$D$18</f>
        <v>1.9608E-3</v>
      </c>
      <c r="D22" s="242">
        <f>'Other parameters'!$G$18</f>
        <v>56.7</v>
      </c>
      <c r="E22" s="248">
        <f t="shared" si="29"/>
        <v>3.1069916175391246E-4</v>
      </c>
      <c r="F22" s="248">
        <f t="shared" si="1"/>
        <v>0.10631249999999999</v>
      </c>
      <c r="G22" s="248">
        <f t="shared" si="2"/>
        <v>0</v>
      </c>
      <c r="H22" s="249">
        <f t="shared" si="3"/>
        <v>0.60501644584477121</v>
      </c>
      <c r="I22" s="122"/>
      <c r="J22" s="244">
        <f t="shared" si="4"/>
        <v>0.99561997371423983</v>
      </c>
      <c r="K22" s="245">
        <f t="shared" si="5"/>
        <v>3.0943443227719297E-4</v>
      </c>
      <c r="L22" s="245">
        <f t="shared" si="6"/>
        <v>1.8036026580095677E-3</v>
      </c>
      <c r="M22" s="245">
        <f t="shared" si="7"/>
        <v>1.835903795898536E-4</v>
      </c>
      <c r="N22" s="245">
        <f t="shared" si="8"/>
        <v>1.9417012273939137E-3</v>
      </c>
      <c r="O22" s="245">
        <f t="shared" si="9"/>
        <v>4.639993925200314E-5</v>
      </c>
      <c r="P22" s="245">
        <f t="shared" si="10"/>
        <v>1.5888924947674985E-5</v>
      </c>
      <c r="Q22" s="245">
        <f t="shared" si="11"/>
        <v>7.940872429025548E-5</v>
      </c>
      <c r="R22" s="243">
        <f t="shared" si="28"/>
        <v>1.0000000000000002</v>
      </c>
      <c r="S22" s="250"/>
      <c r="T22" s="244">
        <f t="shared" si="13"/>
        <v>1.974483104836086E-3</v>
      </c>
      <c r="U22" s="246">
        <f t="shared" si="18"/>
        <v>0.11195319204420608</v>
      </c>
      <c r="V22" s="246">
        <f t="shared" si="19"/>
        <v>2.5151019169765502E-6</v>
      </c>
      <c r="W22" s="246">
        <f t="shared" si="20"/>
        <v>7.960975032315047E-5</v>
      </c>
      <c r="X22" s="246">
        <f t="shared" si="21"/>
        <v>8.3055891261085611E-6</v>
      </c>
      <c r="Y22" s="246">
        <f t="shared" si="22"/>
        <v>1.112224746337249E-6</v>
      </c>
      <c r="Z22" s="246">
        <f t="shared" si="14"/>
        <v>0.11204473471031866</v>
      </c>
      <c r="AA22" s="247">
        <f t="shared" si="15"/>
        <v>6.7788907170057269E-2</v>
      </c>
      <c r="AB22" s="122"/>
      <c r="AC22" s="244">
        <f t="shared" si="23"/>
        <v>0.73460696968189942</v>
      </c>
      <c r="AD22" s="245">
        <f t="shared" si="24"/>
        <v>0.51943756550675546</v>
      </c>
      <c r="AE22" s="245">
        <f t="shared" si="25"/>
        <v>1.1982238274247843</v>
      </c>
      <c r="AF22" s="245">
        <f t="shared" si="26"/>
        <v>4.4409381858092206E-2</v>
      </c>
      <c r="AG22" s="245">
        <f t="shared" si="27"/>
        <v>9.8050555852102327E-3</v>
      </c>
      <c r="AH22" s="245">
        <f t="shared" si="16"/>
        <v>2.5064828000567414</v>
      </c>
      <c r="AI22" s="247">
        <f t="shared" si="17"/>
        <v>1.51646331526138</v>
      </c>
    </row>
    <row r="23" spans="1:35">
      <c r="A23" s="122"/>
      <c r="B23" s="241">
        <v>19</v>
      </c>
      <c r="C23" s="248">
        <f>'Other parameters'!$D$18</f>
        <v>1.9608E-3</v>
      </c>
      <c r="D23" s="242">
        <f>'Other parameters'!$G$18</f>
        <v>56.7</v>
      </c>
      <c r="E23" s="248">
        <f t="shared" si="29"/>
        <v>2.8113222730734712E-4</v>
      </c>
      <c r="F23" s="248">
        <f t="shared" si="1"/>
        <v>0.10631249999999999</v>
      </c>
      <c r="G23" s="248">
        <f t="shared" si="2"/>
        <v>0</v>
      </c>
      <c r="H23" s="249">
        <f t="shared" si="3"/>
        <v>0.5873946076162827</v>
      </c>
      <c r="I23" s="122"/>
      <c r="J23" s="244">
        <f t="shared" si="4"/>
        <v>0.99534007285347792</v>
      </c>
      <c r="K23" s="245">
        <f t="shared" si="5"/>
        <v>2.7990086076196661E-4</v>
      </c>
      <c r="L23" s="245">
        <f t="shared" si="6"/>
        <v>1.8545343414579189E-3</v>
      </c>
      <c r="M23" s="245">
        <f t="shared" si="7"/>
        <v>1.9174550757964214E-4</v>
      </c>
      <c r="N23" s="245">
        <f t="shared" si="8"/>
        <v>2.1638679114159239E-3</v>
      </c>
      <c r="O23" s="245">
        <f t="shared" si="9"/>
        <v>5.6178416612877433E-5</v>
      </c>
      <c r="P23" s="245">
        <f t="shared" si="10"/>
        <v>1.9071789616512557E-5</v>
      </c>
      <c r="Q23" s="245">
        <f t="shared" si="11"/>
        <v>9.4628319077586594E-5</v>
      </c>
      <c r="R23" s="243">
        <f t="shared" si="28"/>
        <v>1.0000000000000002</v>
      </c>
      <c r="S23" s="250"/>
      <c r="T23" s="244">
        <f t="shared" si="13"/>
        <v>1.9760195947873312E-3</v>
      </c>
      <c r="U23" s="246">
        <f t="shared" si="18"/>
        <v>0.11204031102444169</v>
      </c>
      <c r="V23" s="246">
        <f t="shared" si="19"/>
        <v>2.4060425694577413E-6</v>
      </c>
      <c r="W23" s="246">
        <f t="shared" si="20"/>
        <v>8.8718584368052889E-5</v>
      </c>
      <c r="X23" s="246">
        <f t="shared" si="21"/>
        <v>1.0055936573705059E-5</v>
      </c>
      <c r="Y23" s="246">
        <f t="shared" si="22"/>
        <v>1.3350252731558791E-6</v>
      </c>
      <c r="Z23" s="246">
        <f t="shared" si="14"/>
        <v>0.11214282661322605</v>
      </c>
      <c r="AA23" s="247">
        <f t="shared" si="15"/>
        <v>6.587209163545675E-2</v>
      </c>
      <c r="AB23" s="122"/>
      <c r="AC23" s="244">
        <f t="shared" si="23"/>
        <v>0.70275308882899712</v>
      </c>
      <c r="AD23" s="245">
        <f t="shared" si="24"/>
        <v>0.53410589033988065</v>
      </c>
      <c r="AE23" s="245">
        <f t="shared" si="25"/>
        <v>1.3353228881347667</v>
      </c>
      <c r="AF23" s="245">
        <f t="shared" si="26"/>
        <v>5.3768362540184994E-2</v>
      </c>
      <c r="AG23" s="245">
        <f t="shared" si="27"/>
        <v>1.1769201372349899E-2</v>
      </c>
      <c r="AH23" s="245">
        <f t="shared" si="16"/>
        <v>2.6377194312161794</v>
      </c>
      <c r="AI23" s="247">
        <f t="shared" si="17"/>
        <v>1.5493821703010722</v>
      </c>
    </row>
    <row r="24" spans="1:35">
      <c r="A24" s="122"/>
      <c r="B24" s="241">
        <v>20</v>
      </c>
      <c r="C24" s="248">
        <f>'Other parameters'!$D$19</f>
        <v>2.3103999999999998E-3</v>
      </c>
      <c r="D24" s="242">
        <f>'Other parameters'!$G$19</f>
        <v>52.3</v>
      </c>
      <c r="E24" s="248">
        <f t="shared" si="29"/>
        <v>2.5437895868347845E-4</v>
      </c>
      <c r="F24" s="248">
        <f t="shared" si="1"/>
        <v>0.10631249999999999</v>
      </c>
      <c r="G24" s="248">
        <f t="shared" si="2"/>
        <v>0</v>
      </c>
      <c r="H24" s="249">
        <f t="shared" si="3"/>
        <v>0.57028602681192497</v>
      </c>
      <c r="I24" s="122"/>
      <c r="J24" s="244">
        <f t="shared" si="4"/>
        <v>0.99508687928220951</v>
      </c>
      <c r="K24" s="245">
        <f t="shared" si="5"/>
        <v>2.5319357126840527E-4</v>
      </c>
      <c r="L24" s="245">
        <f t="shared" si="6"/>
        <v>1.8835655335324199E-3</v>
      </c>
      <c r="M24" s="245">
        <f t="shared" si="7"/>
        <v>1.97160182176245E-4</v>
      </c>
      <c r="N24" s="245">
        <f t="shared" si="8"/>
        <v>2.3788239527111421E-3</v>
      </c>
      <c r="O24" s="245">
        <f t="shared" si="9"/>
        <v>6.6517050587088135E-5</v>
      </c>
      <c r="P24" s="245">
        <f t="shared" si="10"/>
        <v>2.2390898736166625E-5</v>
      </c>
      <c r="Q24" s="245">
        <f t="shared" si="11"/>
        <v>1.1146952877936638E-4</v>
      </c>
      <c r="R24" s="243">
        <f t="shared" si="28"/>
        <v>1.0000000000000002</v>
      </c>
      <c r="S24" s="250"/>
      <c r="T24" s="244">
        <f t="shared" si="13"/>
        <v>2.3272412097017797E-3</v>
      </c>
      <c r="U24" s="246">
        <f t="shared" si="18"/>
        <v>0.12171471526740307</v>
      </c>
      <c r="V24" s="246">
        <f t="shared" si="19"/>
        <v>2.2974210655176408E-6</v>
      </c>
      <c r="W24" s="246">
        <f t="shared" si="20"/>
        <v>9.7531782061156827E-5</v>
      </c>
      <c r="X24" s="246">
        <f t="shared" si="21"/>
        <v>1.1906552055088776E-5</v>
      </c>
      <c r="Y24" s="246">
        <f t="shared" si="22"/>
        <v>1.5673629115316638E-6</v>
      </c>
      <c r="Z24" s="246">
        <f t="shared" si="14"/>
        <v>0.12182801838549637</v>
      </c>
      <c r="AA24" s="247">
        <f t="shared" si="15"/>
        <v>6.947681655943487E-2</v>
      </c>
      <c r="AB24" s="122"/>
      <c r="AC24" s="244">
        <f t="shared" si="23"/>
        <v>0.67102709263252891</v>
      </c>
      <c r="AD24" s="245">
        <f t="shared" si="24"/>
        <v>0.54246687365733692</v>
      </c>
      <c r="AE24" s="245">
        <f t="shared" si="25"/>
        <v>1.4679722612180459</v>
      </c>
      <c r="AF24" s="245">
        <f t="shared" si="26"/>
        <v>6.3663469116902058E-2</v>
      </c>
      <c r="AG24" s="245">
        <f t="shared" si="27"/>
        <v>1.3817423610088425E-2</v>
      </c>
      <c r="AH24" s="245">
        <f t="shared" si="16"/>
        <v>2.7589471202349021</v>
      </c>
      <c r="AI24" s="247">
        <f t="shared" si="17"/>
        <v>1.5733889913829646</v>
      </c>
    </row>
    <row r="25" spans="1:35">
      <c r="A25" s="122"/>
      <c r="B25" s="241">
        <v>21</v>
      </c>
      <c r="C25" s="248">
        <f>'Other parameters'!$D$19</f>
        <v>2.3103999999999998E-3</v>
      </c>
      <c r="D25" s="242">
        <f>'Other parameters'!$G$19</f>
        <v>52.3</v>
      </c>
      <c r="E25" s="248">
        <f t="shared" si="29"/>
        <v>2.3017160017783467E-4</v>
      </c>
      <c r="F25" s="248">
        <f t="shared" si="1"/>
        <v>0.10631249999999999</v>
      </c>
      <c r="G25" s="248">
        <f t="shared" si="2"/>
        <v>0</v>
      </c>
      <c r="H25" s="249">
        <f t="shared" si="3"/>
        <v>0.55367575418633497</v>
      </c>
      <c r="I25" s="122"/>
      <c r="J25" s="244">
        <f t="shared" si="4"/>
        <v>0.99485783854288923</v>
      </c>
      <c r="K25" s="245">
        <f t="shared" si="5"/>
        <v>2.2904073932035395E-4</v>
      </c>
      <c r="L25" s="245">
        <f t="shared" si="6"/>
        <v>1.8940925700136734E-3</v>
      </c>
      <c r="M25" s="245">
        <f t="shared" si="7"/>
        <v>2.0024656078366536E-4</v>
      </c>
      <c r="N25" s="245">
        <f t="shared" si="8"/>
        <v>2.585693211659322E-3</v>
      </c>
      <c r="O25" s="245">
        <f t="shared" si="9"/>
        <v>7.7287969865612105E-5</v>
      </c>
      <c r="P25" s="245">
        <f t="shared" si="10"/>
        <v>2.5801825920659297E-5</v>
      </c>
      <c r="Q25" s="245">
        <f t="shared" si="11"/>
        <v>1.2999857954790116E-4</v>
      </c>
      <c r="R25" s="243">
        <f t="shared" si="28"/>
        <v>1.0000000000000007</v>
      </c>
      <c r="S25" s="250"/>
      <c r="T25" s="244">
        <f t="shared" si="13"/>
        <v>2.3289290507685348E-3</v>
      </c>
      <c r="U25" s="246">
        <f t="shared" si="18"/>
        <v>0.12180298935519436</v>
      </c>
      <c r="V25" s="246">
        <f t="shared" si="19"/>
        <v>2.1899532953251618E-6</v>
      </c>
      <c r="W25" s="246">
        <f t="shared" si="20"/>
        <v>1.060134216780322E-4</v>
      </c>
      <c r="X25" s="246">
        <f t="shared" si="21"/>
        <v>1.3834546605944567E-5</v>
      </c>
      <c r="Y25" s="246">
        <f t="shared" si="22"/>
        <v>1.8061278144461509E-6</v>
      </c>
      <c r="Z25" s="246">
        <f t="shared" si="14"/>
        <v>0.12192683340458811</v>
      </c>
      <c r="AA25" s="247">
        <f t="shared" si="15"/>
        <v>6.7507931440836944E-2</v>
      </c>
      <c r="AB25" s="122"/>
      <c r="AC25" s="244">
        <f t="shared" si="23"/>
        <v>0.63963807715498877</v>
      </c>
      <c r="AD25" s="245">
        <f t="shared" si="24"/>
        <v>0.545498660163938</v>
      </c>
      <c r="AE25" s="245">
        <f t="shared" si="25"/>
        <v>1.5956312809149678</v>
      </c>
      <c r="AF25" s="245">
        <f t="shared" si="26"/>
        <v>7.3972315958377347E-2</v>
      </c>
      <c r="AG25" s="245">
        <f t="shared" si="27"/>
        <v>1.5922306775638852E-2</v>
      </c>
      <c r="AH25" s="245">
        <f t="shared" si="16"/>
        <v>2.8706626409679106</v>
      </c>
      <c r="AI25" s="247">
        <f t="shared" si="17"/>
        <v>1.5894163027524439</v>
      </c>
    </row>
    <row r="26" spans="1:35">
      <c r="A26" s="122"/>
      <c r="B26" s="241">
        <v>22</v>
      </c>
      <c r="C26" s="248">
        <f>'Other parameters'!$D$19</f>
        <v>2.3103999999999998E-3</v>
      </c>
      <c r="D26" s="242">
        <f>'Other parameters'!$G$19</f>
        <v>52.3</v>
      </c>
      <c r="E26" s="248">
        <f t="shared" si="29"/>
        <v>2.0826787641011713E-4</v>
      </c>
      <c r="F26" s="248">
        <f t="shared" si="1"/>
        <v>0.10631249999999999</v>
      </c>
      <c r="G26" s="248">
        <f t="shared" si="2"/>
        <v>0</v>
      </c>
      <c r="H26" s="249">
        <f t="shared" si="3"/>
        <v>0.5375492759090631</v>
      </c>
      <c r="I26" s="122"/>
      <c r="J26" s="244">
        <f t="shared" si="4"/>
        <v>0.9946506416135259</v>
      </c>
      <c r="K26" s="245">
        <f t="shared" si="5"/>
        <v>2.0719692936328673E-4</v>
      </c>
      <c r="L26" s="245">
        <f t="shared" si="6"/>
        <v>1.8890866252396707E-3</v>
      </c>
      <c r="M26" s="245">
        <f t="shared" si="7"/>
        <v>2.0136571634957865E-4</v>
      </c>
      <c r="N26" s="245">
        <f t="shared" si="8"/>
        <v>2.7838081079961936E-3</v>
      </c>
      <c r="O26" s="245">
        <f t="shared" si="9"/>
        <v>8.8372257694266344E-5</v>
      </c>
      <c r="P26" s="245">
        <f t="shared" si="10"/>
        <v>2.9264930512748468E-5</v>
      </c>
      <c r="Q26" s="245">
        <f t="shared" si="11"/>
        <v>1.5026381931872962E-4</v>
      </c>
      <c r="R26" s="243">
        <f t="shared" si="28"/>
        <v>1.0000000000000004</v>
      </c>
      <c r="S26" s="250"/>
      <c r="T26" s="244">
        <f t="shared" si="13"/>
        <v>2.3306652397708282E-3</v>
      </c>
      <c r="U26" s="246">
        <f t="shared" si="18"/>
        <v>0.12189379204001431</v>
      </c>
      <c r="V26" s="246">
        <f t="shared" si="19"/>
        <v>2.0842291679927543E-6</v>
      </c>
      <c r="W26" s="246">
        <f t="shared" si="20"/>
        <v>1.1413613242784394E-4</v>
      </c>
      <c r="X26" s="246">
        <f t="shared" si="21"/>
        <v>1.5818634127273674E-5</v>
      </c>
      <c r="Y26" s="246">
        <f t="shared" si="22"/>
        <v>2.0485451358923931E-6</v>
      </c>
      <c r="Z26" s="246">
        <f t="shared" si="14"/>
        <v>0.12202787958087333</v>
      </c>
      <c r="AA26" s="247">
        <f t="shared" si="15"/>
        <v>6.55959983094168E-2</v>
      </c>
      <c r="AB26" s="122"/>
      <c r="AC26" s="244">
        <f t="shared" si="23"/>
        <v>0.60875834211216939</v>
      </c>
      <c r="AD26" s="245">
        <f t="shared" si="24"/>
        <v>0.54405694806902516</v>
      </c>
      <c r="AE26" s="245">
        <f t="shared" si="25"/>
        <v>1.7178879834444511</v>
      </c>
      <c r="AF26" s="245">
        <f t="shared" si="26"/>
        <v>8.458108783918232E-2</v>
      </c>
      <c r="AG26" s="245">
        <f t="shared" si="27"/>
        <v>1.8059388619417079E-2</v>
      </c>
      <c r="AH26" s="245">
        <f t="shared" si="16"/>
        <v>2.9733437500842448</v>
      </c>
      <c r="AI26" s="247">
        <f t="shared" si="17"/>
        <v>1.5983187798865242</v>
      </c>
    </row>
    <row r="27" spans="1:35">
      <c r="A27" s="122"/>
      <c r="B27" s="241">
        <v>23</v>
      </c>
      <c r="C27" s="248">
        <f>'Other parameters'!$D$19</f>
        <v>2.3103999999999998E-3</v>
      </c>
      <c r="D27" s="242">
        <f>'Other parameters'!$G$19</f>
        <v>52.3</v>
      </c>
      <c r="E27" s="248">
        <f t="shared" si="29"/>
        <v>1.8844856755076273E-4</v>
      </c>
      <c r="F27" s="248">
        <f t="shared" si="1"/>
        <v>0.10631249999999999</v>
      </c>
      <c r="G27" s="248">
        <f t="shared" si="2"/>
        <v>0</v>
      </c>
      <c r="H27" s="249">
        <f t="shared" si="3"/>
        <v>0.52189250088258554</v>
      </c>
      <c r="I27" s="122"/>
      <c r="J27" s="244">
        <f t="shared" si="4"/>
        <v>0.99446320112490039</v>
      </c>
      <c r="K27" s="245">
        <f t="shared" si="5"/>
        <v>1.8744048862551603E-4</v>
      </c>
      <c r="L27" s="245">
        <f t="shared" si="6"/>
        <v>1.8711422551436392E-3</v>
      </c>
      <c r="M27" s="245">
        <f t="shared" si="7"/>
        <v>2.0083352184579247E-4</v>
      </c>
      <c r="N27" s="245">
        <f t="shared" si="8"/>
        <v>2.9726800398411136E-3</v>
      </c>
      <c r="O27" s="245">
        <f t="shared" si="9"/>
        <v>9.9660505847636136E-5</v>
      </c>
      <c r="P27" s="245">
        <f t="shared" si="10"/>
        <v>3.2745185249526147E-5</v>
      </c>
      <c r="Q27" s="245">
        <f t="shared" si="11"/>
        <v>1.7229687854676635E-4</v>
      </c>
      <c r="R27" s="243">
        <f t="shared" si="28"/>
        <v>1.0000000000000002</v>
      </c>
      <c r="S27" s="250"/>
      <c r="T27" s="244">
        <f t="shared" si="13"/>
        <v>2.3324330592280366E-3</v>
      </c>
      <c r="U27" s="246">
        <f t="shared" si="18"/>
        <v>0.12198624899762631</v>
      </c>
      <c r="V27" s="246">
        <f t="shared" si="19"/>
        <v>1.9807293356097987E-6</v>
      </c>
      <c r="W27" s="246">
        <f t="shared" si="20"/>
        <v>1.2187988163348566E-4</v>
      </c>
      <c r="X27" s="246">
        <f t="shared" si="21"/>
        <v>1.7839230546726868E-5</v>
      </c>
      <c r="Y27" s="246">
        <f t="shared" si="22"/>
        <v>2.2921629674668306E-6</v>
      </c>
      <c r="Z27" s="246">
        <f t="shared" si="14"/>
        <v>0.12213024100210958</v>
      </c>
      <c r="AA27" s="247">
        <f t="shared" si="15"/>
        <v>6.3738856909983863E-2</v>
      </c>
      <c r="AB27" s="122"/>
      <c r="AC27" s="244">
        <f t="shared" si="23"/>
        <v>0.57852827560224962</v>
      </c>
      <c r="AD27" s="245">
        <f t="shared" si="24"/>
        <v>0.53888896948136811</v>
      </c>
      <c r="AE27" s="245">
        <f t="shared" si="25"/>
        <v>1.8344408525859512</v>
      </c>
      <c r="AF27" s="245">
        <f t="shared" si="26"/>
        <v>9.5385070146772541E-2</v>
      </c>
      <c r="AG27" s="245">
        <f t="shared" si="27"/>
        <v>2.0207053817482588E-2</v>
      </c>
      <c r="AH27" s="245">
        <f t="shared" si="16"/>
        <v>3.0674502216338242</v>
      </c>
      <c r="AI27" s="247">
        <f t="shared" si="17"/>
        <v>1.6008792675013177</v>
      </c>
    </row>
    <row r="28" spans="1:35">
      <c r="A28" s="122"/>
      <c r="B28" s="241">
        <v>24</v>
      </c>
      <c r="C28" s="248">
        <f>'Other parameters'!$D$19</f>
        <v>2.3103999999999998E-3</v>
      </c>
      <c r="D28" s="242">
        <f>'Other parameters'!$G$19</f>
        <v>52.3</v>
      </c>
      <c r="E28" s="248">
        <f t="shared" si="29"/>
        <v>1.7051531529520728E-4</v>
      </c>
      <c r="F28" s="248">
        <f t="shared" si="1"/>
        <v>0.10631249999999999</v>
      </c>
      <c r="G28" s="248">
        <f t="shared" si="2"/>
        <v>8.0000000000000016E-2</v>
      </c>
      <c r="H28" s="249">
        <f t="shared" si="3"/>
        <v>0.50669174842969467</v>
      </c>
      <c r="I28" s="122"/>
      <c r="J28" s="244">
        <f t="shared" si="4"/>
        <v>0.99429362991861103</v>
      </c>
      <c r="K28" s="245">
        <f t="shared" si="5"/>
        <v>1.6957120628929352E-4</v>
      </c>
      <c r="L28" s="245">
        <f t="shared" si="6"/>
        <v>1.8425206676576623E-3</v>
      </c>
      <c r="M28" s="245">
        <f t="shared" si="7"/>
        <v>1.9892581099995813E-4</v>
      </c>
      <c r="N28" s="245">
        <f t="shared" si="8"/>
        <v>3.1599462680534126E-3</v>
      </c>
      <c r="O28" s="245">
        <f t="shared" si="9"/>
        <v>1.0308022155725079E-4</v>
      </c>
      <c r="P28" s="245">
        <f t="shared" si="10"/>
        <v>3.6211943794143155E-5</v>
      </c>
      <c r="Q28" s="245">
        <f t="shared" si="11"/>
        <v>1.9611396303756274E-4</v>
      </c>
      <c r="R28" s="243">
        <f t="shared" si="28"/>
        <v>1.0000000000000002</v>
      </c>
      <c r="S28" s="250"/>
      <c r="T28" s="244">
        <f t="shared" si="13"/>
        <v>2.3342170844907963E-3</v>
      </c>
      <c r="U28" s="246">
        <f t="shared" si="18"/>
        <v>0.12207955351886864</v>
      </c>
      <c r="V28" s="246">
        <f t="shared" si="19"/>
        <v>1.8798395786098264E-6</v>
      </c>
      <c r="W28" s="246">
        <f t="shared" si="20"/>
        <v>1.2955779699018992E-4</v>
      </c>
      <c r="X28" s="246">
        <f t="shared" si="21"/>
        <v>1.8451359658747889E-5</v>
      </c>
      <c r="Y28" s="246">
        <f t="shared" si="22"/>
        <v>2.5348360655900213E-6</v>
      </c>
      <c r="Z28" s="246">
        <f t="shared" si="14"/>
        <v>0.12223197735116177</v>
      </c>
      <c r="AA28" s="247">
        <f t="shared" si="15"/>
        <v>6.1933934318078997E-2</v>
      </c>
      <c r="AB28" s="122"/>
      <c r="AC28" s="244">
        <f t="shared" si="23"/>
        <v>0.549060555760985</v>
      </c>
      <c r="AD28" s="245">
        <f t="shared" si="24"/>
        <v>0.53064595228540679</v>
      </c>
      <c r="AE28" s="245">
        <f t="shared" si="25"/>
        <v>1.9500028420157609</v>
      </c>
      <c r="AF28" s="245">
        <f t="shared" si="26"/>
        <v>9.8658080052444724E-2</v>
      </c>
      <c r="AG28" s="245">
        <f t="shared" si="27"/>
        <v>2.234639051536574E-2</v>
      </c>
      <c r="AH28" s="245">
        <f t="shared" si="16"/>
        <v>3.1507138206299632</v>
      </c>
      <c r="AI28" s="247">
        <f t="shared" si="17"/>
        <v>1.5964406945765994</v>
      </c>
    </row>
    <row r="29" spans="1:35">
      <c r="A29" s="122"/>
      <c r="B29" s="241">
        <v>25</v>
      </c>
      <c r="C29" s="248">
        <f>'Other parameters'!$D$20</f>
        <v>2.8233999999999998E-3</v>
      </c>
      <c r="D29" s="242">
        <f>'Other parameters'!$G$20</f>
        <v>47.9</v>
      </c>
      <c r="E29" s="248">
        <f t="shared" si="29"/>
        <v>1.5428863762730291E-4</v>
      </c>
      <c r="F29" s="248">
        <f t="shared" ref="F29:F60" si="30">IF(B29&lt;rf2age,0,(pA2_1a*EXP(-0.1*(B29-$B$28))))</f>
        <v>9.6195528004947933E-2</v>
      </c>
      <c r="G29" s="248">
        <f t="shared" si="2"/>
        <v>8.0000000000000016E-2</v>
      </c>
      <c r="H29" s="249">
        <f t="shared" si="3"/>
        <v>0.49193373633950943</v>
      </c>
      <c r="I29" s="122"/>
      <c r="J29" s="244">
        <f t="shared" si="4"/>
        <v>0.99414022170904937</v>
      </c>
      <c r="K29" s="245">
        <f t="shared" si="5"/>
        <v>1.5340820956164821E-4</v>
      </c>
      <c r="L29" s="245">
        <f t="shared" si="6"/>
        <v>1.8238289899945484E-3</v>
      </c>
      <c r="M29" s="245">
        <f t="shared" si="7"/>
        <v>1.77242248485358E-4</v>
      </c>
      <c r="N29" s="245">
        <f t="shared" si="8"/>
        <v>3.3376142437889348E-3</v>
      </c>
      <c r="O29" s="245">
        <f t="shared" si="9"/>
        <v>1.0730135186330737E-4</v>
      </c>
      <c r="P29" s="245">
        <f t="shared" si="10"/>
        <v>3.9662633628401776E-5</v>
      </c>
      <c r="Q29" s="245">
        <f t="shared" si="11"/>
        <v>2.207206136287331E-4</v>
      </c>
      <c r="R29" s="243">
        <f t="shared" si="28"/>
        <v>1.0000000000000004</v>
      </c>
      <c r="S29" s="250"/>
      <c r="T29" s="244">
        <f t="shared" si="13"/>
        <v>2.8480066505911701E-3</v>
      </c>
      <c r="U29" s="246">
        <f t="shared" si="18"/>
        <v>0.13641951856331705</v>
      </c>
      <c r="V29" s="246">
        <f t="shared" si="19"/>
        <v>1.6867702818726728E-6</v>
      </c>
      <c r="W29" s="246">
        <f t="shared" si="20"/>
        <v>1.3684218399534633E-4</v>
      </c>
      <c r="X29" s="246">
        <f t="shared" si="21"/>
        <v>1.9206941983532018E-5</v>
      </c>
      <c r="Y29" s="246">
        <f t="shared" si="22"/>
        <v>2.7763843539881246E-6</v>
      </c>
      <c r="Z29" s="246">
        <f t="shared" si="14"/>
        <v>0.13658003084393178</v>
      </c>
      <c r="AA29" s="247">
        <f t="shared" si="15"/>
        <v>6.7188324882420797E-2</v>
      </c>
      <c r="AB29" s="122"/>
      <c r="AC29" s="244">
        <f t="shared" si="23"/>
        <v>0.49266918249003921</v>
      </c>
      <c r="AD29" s="245">
        <f t="shared" si="24"/>
        <v>0.52526274911842996</v>
      </c>
      <c r="AE29" s="245">
        <f t="shared" si="25"/>
        <v>2.0596417498421515</v>
      </c>
      <c r="AF29" s="245">
        <f t="shared" si="26"/>
        <v>0.10269812386837149</v>
      </c>
      <c r="AG29" s="245">
        <f t="shared" si="27"/>
        <v>2.4475811212086737E-2</v>
      </c>
      <c r="AH29" s="245">
        <f t="shared" si="16"/>
        <v>3.2047476165310784</v>
      </c>
      <c r="AI29" s="247">
        <f t="shared" si="17"/>
        <v>1.5765234690252707</v>
      </c>
    </row>
    <row r="30" spans="1:35">
      <c r="A30" s="122"/>
      <c r="B30" s="241">
        <v>26</v>
      </c>
      <c r="C30" s="248">
        <f>'Other parameters'!$D$20</f>
        <v>2.8233999999999998E-3</v>
      </c>
      <c r="D30" s="242">
        <f>'Other parameters'!$G$20</f>
        <v>47.9</v>
      </c>
      <c r="E30" s="248">
        <f t="shared" si="29"/>
        <v>1.3960613250297457E-4</v>
      </c>
      <c r="F30" s="248">
        <f t="shared" si="30"/>
        <v>8.7041313186602937E-2</v>
      </c>
      <c r="G30" s="248">
        <f t="shared" si="2"/>
        <v>8.0000000000000016E-2</v>
      </c>
      <c r="H30" s="249">
        <f t="shared" si="3"/>
        <v>0.47760556926165965</v>
      </c>
      <c r="I30" s="122"/>
      <c r="J30" s="244">
        <f t="shared" si="4"/>
        <v>0.99400143363753091</v>
      </c>
      <c r="K30" s="245">
        <f t="shared" si="5"/>
        <v>1.3878807151845006E-4</v>
      </c>
      <c r="L30" s="245">
        <f t="shared" si="6"/>
        <v>1.8078106763076587E-3</v>
      </c>
      <c r="M30" s="245">
        <f t="shared" si="7"/>
        <v>1.5874847031692121E-4</v>
      </c>
      <c r="N30" s="245">
        <f t="shared" si="8"/>
        <v>3.4922295877833761E-3</v>
      </c>
      <c r="O30" s="245">
        <f t="shared" si="9"/>
        <v>1.1208259900121709E-4</v>
      </c>
      <c r="P30" s="245">
        <f t="shared" si="10"/>
        <v>4.3071088048845553E-5</v>
      </c>
      <c r="Q30" s="245">
        <f t="shared" si="11"/>
        <v>2.4583586949291324E-4</v>
      </c>
      <c r="R30" s="243">
        <f t="shared" si="28"/>
        <v>1.0000000000000002</v>
      </c>
      <c r="S30" s="250"/>
      <c r="T30" s="244">
        <f t="shared" si="13"/>
        <v>2.8485152558641799E-3</v>
      </c>
      <c r="U30" s="246">
        <f t="shared" si="18"/>
        <v>0.13644388075589423</v>
      </c>
      <c r="V30" s="246">
        <f t="shared" si="19"/>
        <v>1.5178439476642777E-6</v>
      </c>
      <c r="W30" s="246">
        <f t="shared" si="20"/>
        <v>1.4318141309911843E-4</v>
      </c>
      <c r="X30" s="246">
        <f t="shared" si="21"/>
        <v>2.0062785221217859E-5</v>
      </c>
      <c r="Y30" s="246">
        <f t="shared" si="22"/>
        <v>3.0149761634191889E-6</v>
      </c>
      <c r="Z30" s="246">
        <f t="shared" si="14"/>
        <v>0.13661165777432566</v>
      </c>
      <c r="AA30" s="247">
        <f t="shared" si="15"/>
        <v>6.524648857908584E-2</v>
      </c>
      <c r="AB30" s="122"/>
      <c r="AC30" s="244">
        <f t="shared" si="23"/>
        <v>0.4433294473347032</v>
      </c>
      <c r="AD30" s="245">
        <f t="shared" si="24"/>
        <v>0.52064947477660573</v>
      </c>
      <c r="AE30" s="245">
        <f t="shared" si="25"/>
        <v>2.1550548786211214</v>
      </c>
      <c r="AF30" s="245">
        <f t="shared" si="26"/>
        <v>0.10727425550406489</v>
      </c>
      <c r="AG30" s="245">
        <f t="shared" si="27"/>
        <v>2.6579168434942593E-2</v>
      </c>
      <c r="AH30" s="245">
        <f t="shared" si="16"/>
        <v>3.2528872246714382</v>
      </c>
      <c r="AI30" s="247">
        <f t="shared" si="17"/>
        <v>1.5535970546831823</v>
      </c>
    </row>
    <row r="31" spans="1:35">
      <c r="A31" s="122"/>
      <c r="B31" s="241">
        <v>27</v>
      </c>
      <c r="C31" s="248">
        <f>'Other parameters'!$D$20</f>
        <v>2.8233999999999998E-3</v>
      </c>
      <c r="D31" s="242">
        <f>'Other parameters'!$G$20</f>
        <v>47.9</v>
      </c>
      <c r="E31" s="248">
        <f t="shared" si="29"/>
        <v>1.2632085247597753E-4</v>
      </c>
      <c r="F31" s="248">
        <f t="shared" si="30"/>
        <v>7.8758237086225119E-2</v>
      </c>
      <c r="G31" s="248">
        <f t="shared" si="2"/>
        <v>8.0000000000000016E-2</v>
      </c>
      <c r="H31" s="249">
        <f t="shared" si="3"/>
        <v>0.46369472743850448</v>
      </c>
      <c r="I31" s="122"/>
      <c r="J31" s="244">
        <f t="shared" si="4"/>
        <v>0.99387587052907145</v>
      </c>
      <c r="K31" s="245">
        <f t="shared" si="5"/>
        <v>1.2556310845943672E-4</v>
      </c>
      <c r="L31" s="245">
        <f t="shared" si="6"/>
        <v>1.7941417817950343E-3</v>
      </c>
      <c r="M31" s="245">
        <f t="shared" si="7"/>
        <v>1.4237998185164755E-4</v>
      </c>
      <c r="N31" s="245">
        <f t="shared" si="8"/>
        <v>3.6269434278895455E-3</v>
      </c>
      <c r="O31" s="245">
        <f t="shared" si="9"/>
        <v>1.1712418537177836E-4</v>
      </c>
      <c r="P31" s="245">
        <f t="shared" si="10"/>
        <v>4.6375069367631216E-5</v>
      </c>
      <c r="Q31" s="245">
        <f t="shared" si="11"/>
        <v>2.7160191619374549E-4</v>
      </c>
      <c r="R31" s="243">
        <f t="shared" si="28"/>
        <v>1.0000000000000002</v>
      </c>
      <c r="S31" s="250"/>
      <c r="T31" s="244">
        <f t="shared" si="13"/>
        <v>2.8491660467008322E-3</v>
      </c>
      <c r="U31" s="246">
        <f t="shared" si="18"/>
        <v>0.13647505363696985</v>
      </c>
      <c r="V31" s="246">
        <f t="shared" si="19"/>
        <v>1.3668768059157233E-6</v>
      </c>
      <c r="W31" s="246">
        <f t="shared" si="20"/>
        <v>1.4870468054347137E-4</v>
      </c>
      <c r="X31" s="246">
        <f t="shared" si="21"/>
        <v>2.0965229181548325E-5</v>
      </c>
      <c r="Y31" s="246">
        <f t="shared" si="22"/>
        <v>3.2462548557341853E-6</v>
      </c>
      <c r="Z31" s="246">
        <f t="shared" si="14"/>
        <v>0.13664933667835652</v>
      </c>
      <c r="AA31" s="247">
        <f t="shared" si="15"/>
        <v>6.3363576925722961E-2</v>
      </c>
      <c r="AB31" s="122"/>
      <c r="AC31" s="244">
        <f t="shared" si="23"/>
        <v>0.39923520456351558</v>
      </c>
      <c r="AD31" s="245">
        <f t="shared" si="24"/>
        <v>0.51671283315696992</v>
      </c>
      <c r="AE31" s="245">
        <f t="shared" si="25"/>
        <v>2.2381867893506384</v>
      </c>
      <c r="AF31" s="245">
        <f t="shared" si="26"/>
        <v>0.11209955781932908</v>
      </c>
      <c r="AG31" s="245">
        <f t="shared" si="27"/>
        <v>2.8618055306765224E-2</v>
      </c>
      <c r="AH31" s="245">
        <f t="shared" si="16"/>
        <v>3.2948524401972183</v>
      </c>
      <c r="AI31" s="247">
        <f t="shared" si="17"/>
        <v>1.5278057042073405</v>
      </c>
    </row>
    <row r="32" spans="1:35">
      <c r="A32" s="122"/>
      <c r="B32" s="241">
        <v>28</v>
      </c>
      <c r="C32" s="248">
        <f>'Other parameters'!$D$20</f>
        <v>2.8233999999999998E-3</v>
      </c>
      <c r="D32" s="242">
        <f>'Other parameters'!$G$20</f>
        <v>47.9</v>
      </c>
      <c r="E32" s="248">
        <f t="shared" si="29"/>
        <v>1.1429983399846488E-4</v>
      </c>
      <c r="F32" s="248">
        <f t="shared" si="30"/>
        <v>7.1263399894163901E-2</v>
      </c>
      <c r="G32" s="248">
        <f t="shared" si="2"/>
        <v>8.0000000000000016E-2</v>
      </c>
      <c r="H32" s="249">
        <f t="shared" si="3"/>
        <v>0.45018905576553836</v>
      </c>
      <c r="I32" s="122"/>
      <c r="J32" s="244">
        <f t="shared" si="4"/>
        <v>0.99376227068205492</v>
      </c>
      <c r="K32" s="245">
        <f t="shared" si="5"/>
        <v>1.1359984701655263E-4</v>
      </c>
      <c r="L32" s="245">
        <f t="shared" si="6"/>
        <v>1.7824086921430207E-3</v>
      </c>
      <c r="M32" s="245">
        <f t="shared" si="7"/>
        <v>1.2785664326288727E-4</v>
      </c>
      <c r="N32" s="245">
        <f t="shared" si="8"/>
        <v>3.7440285540743085E-3</v>
      </c>
      <c r="O32" s="245">
        <f t="shared" si="9"/>
        <v>1.2221306960829363E-4</v>
      </c>
      <c r="P32" s="245">
        <f t="shared" si="10"/>
        <v>4.9532205169069626E-5</v>
      </c>
      <c r="Q32" s="245">
        <f t="shared" si="11"/>
        <v>2.980903066712395E-4</v>
      </c>
      <c r="R32" s="243">
        <f t="shared" si="28"/>
        <v>1.0000000000000002</v>
      </c>
      <c r="S32" s="250"/>
      <c r="T32" s="244">
        <f t="shared" si="13"/>
        <v>2.8498883904774937E-3</v>
      </c>
      <c r="U32" s="246">
        <f t="shared" si="18"/>
        <v>0.13650965390387196</v>
      </c>
      <c r="V32" s="246">
        <f t="shared" si="19"/>
        <v>1.2317588627405949E-6</v>
      </c>
      <c r="W32" s="246">
        <f t="shared" si="20"/>
        <v>1.5350517071704666E-4</v>
      </c>
      <c r="X32" s="246">
        <f t="shared" si="21"/>
        <v>2.187613945988456E-5</v>
      </c>
      <c r="Y32" s="246">
        <f t="shared" si="22"/>
        <v>3.467254361834874E-6</v>
      </c>
      <c r="Z32" s="246">
        <f t="shared" si="14"/>
        <v>0.13668973422727348</v>
      </c>
      <c r="AA32" s="247">
        <f t="shared" si="15"/>
        <v>6.1536222384618637E-2</v>
      </c>
      <c r="AB32" s="122"/>
      <c r="AC32" s="244">
        <f t="shared" si="23"/>
        <v>0.35977017051636545</v>
      </c>
      <c r="AD32" s="245">
        <f t="shared" si="24"/>
        <v>0.51333370333718997</v>
      </c>
      <c r="AE32" s="245">
        <f t="shared" si="25"/>
        <v>2.3104400207192559</v>
      </c>
      <c r="AF32" s="245">
        <f t="shared" si="26"/>
        <v>0.11697012892209784</v>
      </c>
      <c r="AG32" s="245">
        <f t="shared" si="27"/>
        <v>3.0566323809832867E-2</v>
      </c>
      <c r="AH32" s="245">
        <f t="shared" si="16"/>
        <v>3.3310803473047423</v>
      </c>
      <c r="AI32" s="247">
        <f t="shared" si="17"/>
        <v>1.4996159162322635</v>
      </c>
    </row>
    <row r="33" spans="1:35">
      <c r="A33" s="122"/>
      <c r="B33" s="241">
        <v>29</v>
      </c>
      <c r="C33" s="248">
        <f>'Other parameters'!$D$20</f>
        <v>2.8233999999999998E-3</v>
      </c>
      <c r="D33" s="242">
        <f>'Other parameters'!$G$20</f>
        <v>47.9</v>
      </c>
      <c r="E33" s="248">
        <f t="shared" si="29"/>
        <v>1.0342276667710974E-4</v>
      </c>
      <c r="F33" s="248">
        <f t="shared" si="30"/>
        <v>6.4481790760699334E-2</v>
      </c>
      <c r="G33" s="248">
        <f t="shared" si="2"/>
        <v>8.0000000000000016E-2</v>
      </c>
      <c r="H33" s="249">
        <f t="shared" si="3"/>
        <v>0.4370767531704256</v>
      </c>
      <c r="I33" s="122"/>
      <c r="J33" s="244">
        <f t="shared" si="4"/>
        <v>0.99365949303860168</v>
      </c>
      <c r="K33" s="245">
        <f t="shared" si="5"/>
        <v>1.0277764345326494E-4</v>
      </c>
      <c r="L33" s="245">
        <f t="shared" si="6"/>
        <v>1.7722864186749815E-3</v>
      </c>
      <c r="M33" s="245">
        <f t="shared" si="7"/>
        <v>1.1493290433681801E-4</v>
      </c>
      <c r="N33" s="245">
        <f t="shared" si="8"/>
        <v>3.8454658955854692E-3</v>
      </c>
      <c r="O33" s="245">
        <f t="shared" si="9"/>
        <v>1.2719811865320529E-4</v>
      </c>
      <c r="P33" s="245">
        <f t="shared" si="10"/>
        <v>5.2514030723963567E-5</v>
      </c>
      <c r="Q33" s="245">
        <f t="shared" si="11"/>
        <v>3.253319499709341E-4</v>
      </c>
      <c r="R33" s="243">
        <f t="shared" si="28"/>
        <v>1.0000000000000002</v>
      </c>
      <c r="S33" s="250"/>
      <c r="T33" s="244">
        <f t="shared" si="13"/>
        <v>2.8506416432996944E-3</v>
      </c>
      <c r="U33" s="246">
        <f t="shared" si="18"/>
        <v>0.13654573471405537</v>
      </c>
      <c r="V33" s="246">
        <f t="shared" si="19"/>
        <v>1.1106220273565329E-6</v>
      </c>
      <c r="W33" s="246">
        <f t="shared" si="20"/>
        <v>1.5766410171900425E-4</v>
      </c>
      <c r="X33" s="246">
        <f t="shared" si="21"/>
        <v>2.2768463238923745E-5</v>
      </c>
      <c r="Y33" s="246">
        <f t="shared" si="22"/>
        <v>3.6759821506774501E-6</v>
      </c>
      <c r="Z33" s="246">
        <f t="shared" si="14"/>
        <v>0.13673095388319131</v>
      </c>
      <c r="AA33" s="247">
        <f t="shared" si="15"/>
        <v>5.9761921381160453E-2</v>
      </c>
      <c r="AB33" s="122"/>
      <c r="AC33" s="244">
        <f t="shared" si="23"/>
        <v>0.32438871620722359</v>
      </c>
      <c r="AD33" s="245">
        <f t="shared" si="24"/>
        <v>0.51041848857839467</v>
      </c>
      <c r="AE33" s="245">
        <f t="shared" si="25"/>
        <v>2.3730370041657931</v>
      </c>
      <c r="AF33" s="245">
        <f t="shared" si="26"/>
        <v>0.12174131936298278</v>
      </c>
      <c r="AG33" s="245">
        <f t="shared" si="27"/>
        <v>3.2406408359757916E-2</v>
      </c>
      <c r="AH33" s="245">
        <f t="shared" si="16"/>
        <v>3.3619919366741522</v>
      </c>
      <c r="AI33" s="247">
        <f t="shared" si="17"/>
        <v>1.4694485198666896</v>
      </c>
    </row>
    <row r="34" spans="1:35">
      <c r="A34" s="122"/>
      <c r="B34" s="241">
        <v>30</v>
      </c>
      <c r="C34" s="248">
        <f>'Other parameters'!$D$21</f>
        <v>3.3604000000000004E-3</v>
      </c>
      <c r="D34" s="242">
        <f>'Other parameters'!$G$21</f>
        <v>43.5</v>
      </c>
      <c r="E34" s="248">
        <f t="shared" si="29"/>
        <v>9.3580789166251466E-5</v>
      </c>
      <c r="F34" s="248">
        <f t="shared" si="30"/>
        <v>5.8345537062246176E-2</v>
      </c>
      <c r="G34" s="248">
        <f t="shared" si="2"/>
        <v>8.0000000000000016E-2</v>
      </c>
      <c r="H34" s="249">
        <f t="shared" si="3"/>
        <v>0.42434636230138412</v>
      </c>
      <c r="I34" s="122"/>
      <c r="J34" s="244">
        <f t="shared" si="4"/>
        <v>0.99356650559908066</v>
      </c>
      <c r="K34" s="245">
        <f t="shared" si="5"/>
        <v>9.2987439521089699E-5</v>
      </c>
      <c r="L34" s="245">
        <f t="shared" si="6"/>
        <v>1.7635138862523944E-3</v>
      </c>
      <c r="M34" s="245">
        <f t="shared" si="7"/>
        <v>1.0340500292571668E-4</v>
      </c>
      <c r="N34" s="245">
        <f t="shared" si="8"/>
        <v>3.9329822157011902E-3</v>
      </c>
      <c r="O34" s="245">
        <f t="shared" si="9"/>
        <v>1.3197507492598731E-4</v>
      </c>
      <c r="P34" s="245">
        <f t="shared" si="10"/>
        <v>5.5302789138592092E-5</v>
      </c>
      <c r="Q34" s="245">
        <f t="shared" si="11"/>
        <v>3.5332799245475571E-4</v>
      </c>
      <c r="R34" s="243">
        <f t="shared" si="28"/>
        <v>1.0000000000000004</v>
      </c>
      <c r="S34" s="250"/>
      <c r="T34" s="244">
        <f t="shared" si="13"/>
        <v>3.3883960424838221E-3</v>
      </c>
      <c r="U34" s="246">
        <f t="shared" si="18"/>
        <v>0.14739522784804626</v>
      </c>
      <c r="V34" s="246">
        <f t="shared" si="19"/>
        <v>1.0018704872217906E-6</v>
      </c>
      <c r="W34" s="246">
        <f t="shared" si="20"/>
        <v>1.6125227084374882E-4</v>
      </c>
      <c r="X34" s="246">
        <f t="shared" si="21"/>
        <v>2.3623538411751727E-5</v>
      </c>
      <c r="Y34" s="246">
        <f t="shared" si="22"/>
        <v>3.8711952397014471E-6</v>
      </c>
      <c r="Z34" s="246">
        <f t="shared" si="14"/>
        <v>0.14758497672302867</v>
      </c>
      <c r="AA34" s="247">
        <f t="shared" si="15"/>
        <v>6.2627148002751667E-2</v>
      </c>
      <c r="AB34" s="122"/>
      <c r="AC34" s="244">
        <f t="shared" si="23"/>
        <v>0.29262473924574151</v>
      </c>
      <c r="AD34" s="245">
        <f t="shared" si="24"/>
        <v>0.50789199924068962</v>
      </c>
      <c r="AE34" s="245">
        <f t="shared" si="25"/>
        <v>2.4270433253092047</v>
      </c>
      <c r="AF34" s="245">
        <f t="shared" si="26"/>
        <v>0.12631334421166246</v>
      </c>
      <c r="AG34" s="245">
        <f t="shared" si="27"/>
        <v>3.4127351177425179E-2</v>
      </c>
      <c r="AH34" s="245">
        <f t="shared" si="16"/>
        <v>3.3880007591847234</v>
      </c>
      <c r="AI34" s="247">
        <f t="shared" si="17"/>
        <v>1.4376857976343651</v>
      </c>
    </row>
    <row r="35" spans="1:35">
      <c r="A35" s="122"/>
      <c r="B35" s="241">
        <v>31</v>
      </c>
      <c r="C35" s="248">
        <f>'Other parameters'!$D$21</f>
        <v>3.3604000000000004E-3</v>
      </c>
      <c r="D35" s="242">
        <f>'Other parameters'!$G$21</f>
        <v>43.5</v>
      </c>
      <c r="E35" s="248">
        <f t="shared" si="29"/>
        <v>8.4675399646958469E-5</v>
      </c>
      <c r="F35" s="248">
        <f t="shared" si="30"/>
        <v>5.2793225109324216E-2</v>
      </c>
      <c r="G35" s="248">
        <f t="shared" si="2"/>
        <v>8.0000000000000016E-2</v>
      </c>
      <c r="H35" s="249">
        <f t="shared" si="3"/>
        <v>0.41198675951590691</v>
      </c>
      <c r="I35" s="122"/>
      <c r="J35" s="244">
        <f t="shared" si="4"/>
        <v>0.99348237495814318</v>
      </c>
      <c r="K35" s="245">
        <f t="shared" si="5"/>
        <v>8.4130640937434158E-5</v>
      </c>
      <c r="L35" s="245">
        <f t="shared" si="6"/>
        <v>1.7558796883310253E-3</v>
      </c>
      <c r="M35" s="245">
        <f t="shared" si="7"/>
        <v>9.3101585580341841E-5</v>
      </c>
      <c r="N35" s="245">
        <f t="shared" si="8"/>
        <v>4.0080909231167789E-3</v>
      </c>
      <c r="O35" s="245">
        <f t="shared" si="9"/>
        <v>1.3647490765049229E-4</v>
      </c>
      <c r="P35" s="245">
        <f t="shared" si="10"/>
        <v>5.7888879180713581E-5</v>
      </c>
      <c r="Q35" s="245">
        <f t="shared" si="11"/>
        <v>3.8205841706037425E-4</v>
      </c>
      <c r="R35" s="243">
        <f t="shared" si="28"/>
        <v>1.0000000000000002</v>
      </c>
      <c r="S35" s="250"/>
      <c r="T35" s="244">
        <f t="shared" si="13"/>
        <v>3.3891304246056191E-3</v>
      </c>
      <c r="U35" s="246">
        <f t="shared" si="18"/>
        <v>0.14742717347034442</v>
      </c>
      <c r="V35" s="246">
        <f t="shared" si="19"/>
        <v>9.0412713911259983E-7</v>
      </c>
      <c r="W35" s="246">
        <f t="shared" si="20"/>
        <v>1.6433172784778794E-4</v>
      </c>
      <c r="X35" s="246">
        <f t="shared" si="21"/>
        <v>2.4429008469438119E-5</v>
      </c>
      <c r="Y35" s="246">
        <f t="shared" si="22"/>
        <v>4.0522215426499508E-6</v>
      </c>
      <c r="Z35" s="246">
        <f t="shared" si="14"/>
        <v>0.14762089055534341</v>
      </c>
      <c r="AA35" s="247">
        <f t="shared" si="15"/>
        <v>6.0817852336748281E-2</v>
      </c>
      <c r="AB35" s="122"/>
      <c r="AC35" s="244">
        <f t="shared" si="23"/>
        <v>0.26407601751148624</v>
      </c>
      <c r="AD35" s="245">
        <f t="shared" si="24"/>
        <v>0.50569335023933526</v>
      </c>
      <c r="AE35" s="245">
        <f t="shared" si="25"/>
        <v>2.4733929086553643</v>
      </c>
      <c r="AF35" s="245">
        <f t="shared" si="26"/>
        <v>0.13062013411228618</v>
      </c>
      <c r="AG35" s="245">
        <f t="shared" si="27"/>
        <v>3.5723227342418354E-2</v>
      </c>
      <c r="AH35" s="245">
        <f t="shared" si="16"/>
        <v>3.4095056378608901</v>
      </c>
      <c r="AI35" s="247">
        <f t="shared" si="17"/>
        <v>1.4046711792935234</v>
      </c>
    </row>
    <row r="36" spans="1:35">
      <c r="A36" s="122"/>
      <c r="B36" s="241">
        <v>32</v>
      </c>
      <c r="C36" s="248">
        <f>'Other parameters'!$D$21</f>
        <v>3.3604000000000004E-3</v>
      </c>
      <c r="D36" s="242">
        <f>'Other parameters'!$G$21</f>
        <v>43.5</v>
      </c>
      <c r="E36" s="248">
        <f t="shared" si="29"/>
        <v>7.6617469987716891E-5</v>
      </c>
      <c r="F36" s="248">
        <f t="shared" si="30"/>
        <v>4.7769285497712116E-2</v>
      </c>
      <c r="G36" s="248">
        <f t="shared" si="2"/>
        <v>8.0000000000000016E-2</v>
      </c>
      <c r="H36" s="249">
        <f t="shared" si="3"/>
        <v>0.39998714516107459</v>
      </c>
      <c r="I36" s="122"/>
      <c r="J36" s="244">
        <f t="shared" si="4"/>
        <v>0.99340625685209649</v>
      </c>
      <c r="K36" s="245">
        <f t="shared" si="5"/>
        <v>7.6118106046681235E-5</v>
      </c>
      <c r="L36" s="245">
        <f t="shared" si="6"/>
        <v>1.7492112862409794E-3</v>
      </c>
      <c r="M36" s="245">
        <f t="shared" si="7"/>
        <v>8.3877118131518521E-5</v>
      </c>
      <c r="N36" s="245">
        <f t="shared" si="8"/>
        <v>4.0721243444412141E-3</v>
      </c>
      <c r="O36" s="245">
        <f t="shared" si="9"/>
        <v>1.4065487959416946E-4</v>
      </c>
      <c r="P36" s="245">
        <f t="shared" si="10"/>
        <v>6.0268851988433084E-5</v>
      </c>
      <c r="Q36" s="245">
        <f t="shared" si="11"/>
        <v>4.1148856146084613E-4</v>
      </c>
      <c r="R36" s="243">
        <f t="shared" si="28"/>
        <v>1.0000000000000002</v>
      </c>
      <c r="S36" s="250"/>
      <c r="T36" s="244">
        <f t="shared" si="13"/>
        <v>3.3898301444004724E-3</v>
      </c>
      <c r="U36" s="246">
        <f t="shared" si="18"/>
        <v>0.14745761128142054</v>
      </c>
      <c r="V36" s="246">
        <f t="shared" si="19"/>
        <v>8.16194814848789E-7</v>
      </c>
      <c r="W36" s="246">
        <f t="shared" si="20"/>
        <v>1.6695709812208979E-4</v>
      </c>
      <c r="X36" s="246">
        <f t="shared" si="21"/>
        <v>2.5177223447356331E-5</v>
      </c>
      <c r="Y36" s="246">
        <f t="shared" si="22"/>
        <v>4.2188196391903164E-6</v>
      </c>
      <c r="Z36" s="246">
        <f t="shared" si="14"/>
        <v>0.14765478061744403</v>
      </c>
      <c r="AA36" s="247">
        <f t="shared" si="15"/>
        <v>5.9060014168556205E-2</v>
      </c>
      <c r="AB36" s="122"/>
      <c r="AC36" s="244">
        <f t="shared" si="23"/>
        <v>0.23839288402551764</v>
      </c>
      <c r="AD36" s="245">
        <f t="shared" si="24"/>
        <v>0.50377285043740205</v>
      </c>
      <c r="AE36" s="245">
        <f t="shared" si="25"/>
        <v>2.5129079329546733</v>
      </c>
      <c r="AF36" s="245">
        <f t="shared" si="26"/>
        <v>0.1346207852595796</v>
      </c>
      <c r="AG36" s="245">
        <f t="shared" si="27"/>
        <v>3.7191908562062059E-2</v>
      </c>
      <c r="AH36" s="245">
        <f t="shared" si="16"/>
        <v>3.4268863612392346</v>
      </c>
      <c r="AI36" s="247">
        <f t="shared" si="17"/>
        <v>1.3707104924235045</v>
      </c>
    </row>
    <row r="37" spans="1:35">
      <c r="A37" s="122"/>
      <c r="B37" s="241">
        <v>33</v>
      </c>
      <c r="C37" s="248">
        <f>'Other parameters'!$D$21</f>
        <v>3.3604000000000004E-3</v>
      </c>
      <c r="D37" s="242">
        <f>'Other parameters'!$G$21</f>
        <v>43.5</v>
      </c>
      <c r="E37" s="248">
        <f t="shared" si="29"/>
        <v>6.9326353720133391E-5</v>
      </c>
      <c r="F37" s="248">
        <f t="shared" si="30"/>
        <v>4.3223436951172436E-2</v>
      </c>
      <c r="G37" s="248">
        <f t="shared" ref="G37:G68" si="31">IF(B37&lt;rhdage,0,pVS_1a)</f>
        <v>8.0000000000000016E-2</v>
      </c>
      <c r="H37" s="249">
        <f t="shared" ref="H37:H68" si="32">1/(1+disc)^($B37-1)</f>
        <v>0.38833703413696569</v>
      </c>
      <c r="I37" s="122"/>
      <c r="J37" s="244">
        <f t="shared" ref="J37:J68" si="33">IF(B37&lt;rf1age,1,J36*(1-E37))</f>
        <v>0.99333738761854617</v>
      </c>
      <c r="K37" s="245">
        <f t="shared" ref="K37:K68" si="34">IF(B37&lt;rf1age,0,J36*E37)</f>
        <v>6.8869233550322129E-5</v>
      </c>
      <c r="L37" s="245">
        <f t="shared" ref="L37:L68" si="35">IF(B37&lt;rf1age,0,(K36*cpARF1_Remission)+(L36*(1-F37))+(M36*cpARF2_Remission))</f>
        <v>1.7433668200194671E-3</v>
      </c>
      <c r="M37" s="245">
        <f t="shared" ref="M37:M68" si="36">IF(B37&lt;rf1age,0,L36*F37)</f>
        <v>7.5606923745116214E-5</v>
      </c>
      <c r="N37" s="245">
        <f t="shared" ref="N37:N68" si="37">IF(B37&lt;rf1age,0,(K36*pARF1_RHDMild)+(M36*pARF2_RHDMild)+(N36*cpRHDMild_RHDMild)+(O36*G37))</f>
        <v>4.1262598176401346E-3</v>
      </c>
      <c r="O37" s="245">
        <f t="shared" ref="O37:O68" si="38">IF(B37&lt;rf1age,0,(N36*pRHDMild_RHDSevere)+(O36*(1-(G37+pRHDSevere_Death))))</f>
        <v>1.4449170405132029E-4</v>
      </c>
      <c r="P37" s="245">
        <f t="shared" ref="P37:P68" si="39">IF(B37&lt;rf1age,0,(N36*pRHDMild_Stroke)+(P36*(1-pStroke_Death)))</f>
        <v>6.2443839332520924E-5</v>
      </c>
      <c r="Q37" s="245">
        <f t="shared" ref="Q37:Q68" si="40">IF(B37&lt;rf1age,0,(K36*pARF1_Death)+(M36*pARF2_Death)+(O36*pRHDSevere_Death)+(P36*pStroke_Death)+Q36)</f>
        <v>4.4157404311528285E-4</v>
      </c>
      <c r="R37" s="243">
        <f t="shared" si="28"/>
        <v>1.0000000000000002</v>
      </c>
      <c r="S37" s="250"/>
      <c r="T37" s="244">
        <f t="shared" ref="T37:T68" si="41">((K36*pARF1_Death)+(M36*pARF2_Death)+(O36*pRHDSevere_Death)+(P36*pStroke_Death))+C37</f>
        <v>3.3904854816544372E-3</v>
      </c>
      <c r="U37" s="246">
        <f t="shared" si="18"/>
        <v>0.14748611845196802</v>
      </c>
      <c r="V37" s="246">
        <f t="shared" si="19"/>
        <v>7.3702631475097586E-7</v>
      </c>
      <c r="W37" s="246">
        <f t="shared" si="20"/>
        <v>1.6917665252324553E-4</v>
      </c>
      <c r="X37" s="246">
        <f t="shared" si="21"/>
        <v>2.5864015025186331E-5</v>
      </c>
      <c r="Y37" s="246">
        <f t="shared" si="22"/>
        <v>4.3710687532764648E-6</v>
      </c>
      <c r="Z37" s="246">
        <f t="shared" si="14"/>
        <v>0.1476862672145845</v>
      </c>
      <c r="AA37" s="247">
        <f t="shared" ref="AA37:AA68" si="42">Z37*H37</f>
        <v>5.7352046992871136E-2</v>
      </c>
      <c r="AB37" s="122"/>
      <c r="AC37" s="244">
        <f t="shared" si="23"/>
        <v>0.21526947437020311</v>
      </c>
      <c r="AD37" s="245">
        <f t="shared" si="24"/>
        <v>0.50208964416560653</v>
      </c>
      <c r="AE37" s="245">
        <f t="shared" si="25"/>
        <v>2.5463149334657271</v>
      </c>
      <c r="AF37" s="245">
        <f t="shared" si="26"/>
        <v>0.13829300994751864</v>
      </c>
      <c r="AG37" s="245">
        <f t="shared" si="27"/>
        <v>3.8534093252098667E-2</v>
      </c>
      <c r="AH37" s="245">
        <f t="shared" si="16"/>
        <v>3.4405011552011544</v>
      </c>
      <c r="AI37" s="247">
        <f t="shared" ref="AI37:AI68" si="43">AH37*H37</f>
        <v>1.3360740145556205</v>
      </c>
    </row>
    <row r="38" spans="1:35">
      <c r="A38" s="122"/>
      <c r="B38" s="241">
        <v>34</v>
      </c>
      <c r="C38" s="248">
        <f>'Other parameters'!$D$21</f>
        <v>3.3604000000000004E-3</v>
      </c>
      <c r="D38" s="242">
        <f>'Other parameters'!$G$21</f>
        <v>43.5</v>
      </c>
      <c r="E38" s="248">
        <f t="shared" si="29"/>
        <v>6.2729078901973133E-5</v>
      </c>
      <c r="F38" s="248">
        <f t="shared" si="30"/>
        <v>3.9110183089538959E-2</v>
      </c>
      <c r="G38" s="248">
        <f t="shared" si="31"/>
        <v>8.0000000000000016E-2</v>
      </c>
      <c r="H38" s="249">
        <f t="shared" si="32"/>
        <v>0.37702624673491814</v>
      </c>
      <c r="I38" s="122"/>
      <c r="J38" s="244">
        <f t="shared" si="33"/>
        <v>0.99327507647918201</v>
      </c>
      <c r="K38" s="245">
        <f t="shared" si="34"/>
        <v>6.2311139364203656E-5</v>
      </c>
      <c r="L38" s="245">
        <f t="shared" si="35"/>
        <v>1.7382288418067114E-3</v>
      </c>
      <c r="M38" s="245">
        <f t="shared" si="36"/>
        <v>6.8183395523188672E-5</v>
      </c>
      <c r="N38" s="245">
        <f t="shared" si="37"/>
        <v>4.1715410492385325E-3</v>
      </c>
      <c r="O38" s="245">
        <f t="shared" si="38"/>
        <v>1.4797631399517876E-4</v>
      </c>
      <c r="P38" s="245">
        <f t="shared" si="39"/>
        <v>6.441832278991759E-5</v>
      </c>
      <c r="Q38" s="245">
        <f t="shared" si="40"/>
        <v>4.7226445810063443E-4</v>
      </c>
      <c r="R38" s="243">
        <f t="shared" si="28"/>
        <v>1.0000000000000004</v>
      </c>
      <c r="S38" s="250"/>
      <c r="T38" s="244">
        <f t="shared" si="41"/>
        <v>3.3910904149853519E-3</v>
      </c>
      <c r="U38" s="246">
        <f t="shared" si="18"/>
        <v>0.14751243305186282</v>
      </c>
      <c r="V38" s="246">
        <f t="shared" si="19"/>
        <v>6.6570088756253308E-7</v>
      </c>
      <c r="W38" s="246">
        <f t="shared" si="20"/>
        <v>1.7103318301877983E-4</v>
      </c>
      <c r="X38" s="246">
        <f t="shared" si="21"/>
        <v>2.6487760205136995E-5</v>
      </c>
      <c r="Y38" s="246">
        <f t="shared" si="22"/>
        <v>4.509282595294232E-6</v>
      </c>
      <c r="Z38" s="246">
        <f t="shared" si="14"/>
        <v>0.14771512897856959</v>
      </c>
      <c r="AA38" s="247">
        <f t="shared" si="42"/>
        <v>5.5692480664754435E-2</v>
      </c>
      <c r="AB38" s="122"/>
      <c r="AC38" s="244">
        <f t="shared" si="23"/>
        <v>0.19443685698221458</v>
      </c>
      <c r="AD38" s="245">
        <f t="shared" si="24"/>
        <v>0.50060990644033287</v>
      </c>
      <c r="AE38" s="245">
        <f t="shared" si="25"/>
        <v>2.5742579814850983</v>
      </c>
      <c r="AF38" s="245">
        <f t="shared" si="26"/>
        <v>0.14162813012478559</v>
      </c>
      <c r="AG38" s="245">
        <f t="shared" si="27"/>
        <v>3.9752546993658149E-2</v>
      </c>
      <c r="AH38" s="245">
        <f t="shared" si="16"/>
        <v>3.4506854220260892</v>
      </c>
      <c r="AI38" s="247">
        <f t="shared" si="43"/>
        <v>1.3009989733293934</v>
      </c>
    </row>
    <row r="39" spans="1:35">
      <c r="A39" s="122"/>
      <c r="B39" s="241">
        <v>35</v>
      </c>
      <c r="C39" s="248">
        <f>'Other parameters'!$D$22</f>
        <v>4.1983999999999997E-3</v>
      </c>
      <c r="D39" s="242">
        <f>'Other parameters'!$G$22</f>
        <v>39.200000000000003</v>
      </c>
      <c r="E39" s="248">
        <f t="shared" si="29"/>
        <v>5.6759617789435369E-5</v>
      </c>
      <c r="F39" s="248">
        <f t="shared" si="30"/>
        <v>3.5388357085652078E-2</v>
      </c>
      <c r="G39" s="248">
        <f t="shared" si="31"/>
        <v>8.0000000000000016E-2</v>
      </c>
      <c r="H39" s="249">
        <f t="shared" si="32"/>
        <v>0.36604489974263904</v>
      </c>
      <c r="I39" s="122"/>
      <c r="J39" s="244">
        <f t="shared" si="33"/>
        <v>0.99321869856548128</v>
      </c>
      <c r="K39" s="245">
        <f t="shared" si="34"/>
        <v>5.6377913700730554E-5</v>
      </c>
      <c r="L39" s="245">
        <f t="shared" si="35"/>
        <v>1.7336994794917532E-3</v>
      </c>
      <c r="M39" s="245">
        <f t="shared" si="36"/>
        <v>6.1513062950435343E-5</v>
      </c>
      <c r="N39" s="245">
        <f t="shared" si="37"/>
        <v>4.2088957942510753E-3</v>
      </c>
      <c r="O39" s="245">
        <f t="shared" si="38"/>
        <v>1.5110987490486093E-4</v>
      </c>
      <c r="P39" s="245">
        <f t="shared" si="39"/>
        <v>6.6199172660188604E-5</v>
      </c>
      <c r="Q39" s="245">
        <f t="shared" si="40"/>
        <v>5.0350613656005377E-4</v>
      </c>
      <c r="R39" s="243">
        <f t="shared" si="28"/>
        <v>1.0000000000000004</v>
      </c>
      <c r="S39" s="250"/>
      <c r="T39" s="244">
        <f t="shared" si="41"/>
        <v>4.229641678459419E-3</v>
      </c>
      <c r="U39" s="246">
        <f t="shared" si="18"/>
        <v>0.16580195379560925</v>
      </c>
      <c r="V39" s="246">
        <f t="shared" si="19"/>
        <v>6.0140547540950933E-7</v>
      </c>
      <c r="W39" s="246">
        <f t="shared" si="20"/>
        <v>1.725647275642941E-4</v>
      </c>
      <c r="X39" s="246">
        <f t="shared" si="21"/>
        <v>2.7048667607970106E-5</v>
      </c>
      <c r="Y39" s="246">
        <f t="shared" si="22"/>
        <v>4.6339420862132026E-6</v>
      </c>
      <c r="Z39" s="246">
        <f t="shared" si="14"/>
        <v>0.16600680253834316</v>
      </c>
      <c r="AA39" s="247">
        <f t="shared" si="42"/>
        <v>6.0765943391743897E-2</v>
      </c>
      <c r="AB39" s="122"/>
      <c r="AC39" s="244">
        <f t="shared" si="23"/>
        <v>0.17565755521023718</v>
      </c>
      <c r="AD39" s="245">
        <f t="shared" si="24"/>
        <v>0.49930545009362493</v>
      </c>
      <c r="AE39" s="245">
        <f t="shared" si="25"/>
        <v>2.5973095946323386</v>
      </c>
      <c r="AF39" s="245">
        <f t="shared" si="26"/>
        <v>0.1446272612714424</v>
      </c>
      <c r="AG39" s="245">
        <f t="shared" si="27"/>
        <v>4.0851509448602386E-2</v>
      </c>
      <c r="AH39" s="245">
        <f t="shared" si="16"/>
        <v>3.4577513706562457</v>
      </c>
      <c r="AI39" s="247">
        <f t="shared" si="43"/>
        <v>1.2656922538068383</v>
      </c>
    </row>
    <row r="40" spans="1:35">
      <c r="A40" s="122"/>
      <c r="B40" s="241">
        <v>36</v>
      </c>
      <c r="C40" s="248">
        <f>'Other parameters'!$D$22</f>
        <v>4.1983999999999997E-3</v>
      </c>
      <c r="D40" s="242">
        <f>'Other parameters'!$G$22</f>
        <v>39.200000000000003</v>
      </c>
      <c r="E40" s="234">
        <v>0</v>
      </c>
      <c r="F40" s="248">
        <f t="shared" si="30"/>
        <v>3.2020709653915978E-2</v>
      </c>
      <c r="G40" s="248">
        <f t="shared" si="31"/>
        <v>8.0000000000000016E-2</v>
      </c>
      <c r="H40" s="249">
        <f t="shared" si="32"/>
        <v>0.35538339780838735</v>
      </c>
      <c r="I40" s="122"/>
      <c r="J40" s="244">
        <f t="shared" si="33"/>
        <v>0.99321869856548128</v>
      </c>
      <c r="K40" s="245">
        <f t="shared" si="34"/>
        <v>0</v>
      </c>
      <c r="L40" s="245">
        <f t="shared" si="35"/>
        <v>1.7296966738303758E-3</v>
      </c>
      <c r="M40" s="245">
        <f t="shared" si="36"/>
        <v>5.5514287659950687E-5</v>
      </c>
      <c r="N40" s="245">
        <f t="shared" si="37"/>
        <v>4.2391506425398353E-3</v>
      </c>
      <c r="O40" s="245">
        <f t="shared" si="38"/>
        <v>1.5390075681069961E-4</v>
      </c>
      <c r="P40" s="245">
        <f t="shared" si="39"/>
        <v>6.779490052480694E-5</v>
      </c>
      <c r="Q40" s="245">
        <f t="shared" si="40"/>
        <v>5.3524417315342892E-4</v>
      </c>
      <c r="R40" s="243">
        <f t="shared" si="28"/>
        <v>1.0000000000000004</v>
      </c>
      <c r="S40" s="250"/>
      <c r="T40" s="244">
        <f t="shared" si="41"/>
        <v>4.2301380365933746E-3</v>
      </c>
      <c r="U40" s="246">
        <f t="shared" si="18"/>
        <v>0.1658214110344603</v>
      </c>
      <c r="V40" s="246">
        <f t="shared" si="19"/>
        <v>2.8319891403514575E-7</v>
      </c>
      <c r="W40" s="246">
        <f t="shared" si="20"/>
        <v>1.7380517634413325E-4</v>
      </c>
      <c r="X40" s="246">
        <f t="shared" si="21"/>
        <v>2.7548235469115229E-5</v>
      </c>
      <c r="Y40" s="246">
        <f t="shared" si="22"/>
        <v>4.7456430367364864E-6</v>
      </c>
      <c r="Z40" s="246">
        <f t="shared" si="14"/>
        <v>0.16602779328822431</v>
      </c>
      <c r="AA40" s="247">
        <f t="shared" si="42"/>
        <v>5.9003521309397726E-2</v>
      </c>
      <c r="AB40" s="122"/>
      <c r="AC40" s="244">
        <f t="shared" si="23"/>
        <v>8.2716288613326527E-2</v>
      </c>
      <c r="AD40" s="245">
        <f t="shared" si="24"/>
        <v>0.49815264206314824</v>
      </c>
      <c r="AE40" s="245">
        <f t="shared" si="25"/>
        <v>2.6159798615113323</v>
      </c>
      <c r="AF40" s="245">
        <f t="shared" si="26"/>
        <v>0.14729841434352059</v>
      </c>
      <c r="AG40" s="245">
        <f t="shared" si="27"/>
        <v>4.1836233113858368E-2</v>
      </c>
      <c r="AH40" s="245">
        <f t="shared" si="16"/>
        <v>3.385983439645186</v>
      </c>
      <c r="AI40" s="247">
        <f t="shared" si="43"/>
        <v>1.2033222997040369</v>
      </c>
    </row>
    <row r="41" spans="1:35">
      <c r="A41" s="122"/>
      <c r="B41" s="241">
        <v>37</v>
      </c>
      <c r="C41" s="248">
        <f>'Other parameters'!$D$22</f>
        <v>4.1983999999999997E-3</v>
      </c>
      <c r="D41" s="242">
        <f>'Other parameters'!$G$22</f>
        <v>39.200000000000003</v>
      </c>
      <c r="E41" s="234">
        <v>0</v>
      </c>
      <c r="F41" s="248">
        <f t="shared" si="30"/>
        <v>2.8973536246928461E-2</v>
      </c>
      <c r="G41" s="248">
        <f t="shared" si="31"/>
        <v>8.0000000000000016E-2</v>
      </c>
      <c r="H41" s="249">
        <f t="shared" si="32"/>
        <v>0.34503242505668674</v>
      </c>
      <c r="I41" s="122"/>
      <c r="J41" s="244">
        <f t="shared" si="33"/>
        <v>0.99321869856548128</v>
      </c>
      <c r="K41" s="245">
        <f t="shared" si="34"/>
        <v>0</v>
      </c>
      <c r="L41" s="245">
        <f t="shared" si="35"/>
        <v>1.6940149593465471E-3</v>
      </c>
      <c r="M41" s="245">
        <f t="shared" si="36"/>
        <v>5.0115429275415992E-5</v>
      </c>
      <c r="N41" s="245">
        <f t="shared" si="37"/>
        <v>4.2446799172252778E-3</v>
      </c>
      <c r="O41" s="245">
        <f t="shared" si="38"/>
        <v>1.5636224570276267E-4</v>
      </c>
      <c r="P41" s="245">
        <f t="shared" si="39"/>
        <v>6.9215081073485511E-5</v>
      </c>
      <c r="Q41" s="245">
        <f t="shared" si="40"/>
        <v>5.6691380189560813E-4</v>
      </c>
      <c r="R41" s="243">
        <f t="shared" si="28"/>
        <v>1.0000000000000004</v>
      </c>
      <c r="S41" s="250"/>
      <c r="T41" s="244">
        <f t="shared" si="41"/>
        <v>4.2300696287421793E-3</v>
      </c>
      <c r="U41" s="246">
        <f t="shared" si="18"/>
        <v>0.16581872944669343</v>
      </c>
      <c r="V41" s="246">
        <f t="shared" si="19"/>
        <v>2.556573405776016E-7</v>
      </c>
      <c r="W41" s="246">
        <f t="shared" si="20"/>
        <v>1.7403187660623639E-4</v>
      </c>
      <c r="X41" s="246">
        <f t="shared" si="21"/>
        <v>2.7988841980794518E-5</v>
      </c>
      <c r="Y41" s="246">
        <f t="shared" si="22"/>
        <v>4.8450556751439861E-6</v>
      </c>
      <c r="Z41" s="246">
        <f t="shared" si="14"/>
        <v>0.16602585087829616</v>
      </c>
      <c r="AA41" s="247">
        <f t="shared" si="42"/>
        <v>5.7284301950638369E-2</v>
      </c>
      <c r="AB41" s="122"/>
      <c r="AC41" s="244">
        <f t="shared" si="23"/>
        <v>7.4671989620369833E-2</v>
      </c>
      <c r="AD41" s="245">
        <f t="shared" si="24"/>
        <v>0.48787630829180556</v>
      </c>
      <c r="AE41" s="245">
        <f t="shared" si="25"/>
        <v>2.6193919769197191</v>
      </c>
      <c r="AF41" s="245">
        <f t="shared" si="26"/>
        <v>0.14965430536211416</v>
      </c>
      <c r="AG41" s="245">
        <f t="shared" si="27"/>
        <v>4.2712626530447911E-2</v>
      </c>
      <c r="AH41" s="245">
        <f t="shared" si="16"/>
        <v>3.3743072067244566</v>
      </c>
      <c r="AI41" s="247">
        <f t="shared" si="43"/>
        <v>1.1642453984223942</v>
      </c>
    </row>
    <row r="42" spans="1:35">
      <c r="A42" s="122"/>
      <c r="B42" s="241">
        <v>38</v>
      </c>
      <c r="C42" s="248">
        <f>'Other parameters'!$D$22</f>
        <v>4.1983999999999997E-3</v>
      </c>
      <c r="D42" s="242">
        <f>'Other parameters'!$G$22</f>
        <v>39.200000000000003</v>
      </c>
      <c r="E42" s="234">
        <v>0</v>
      </c>
      <c r="F42" s="248">
        <f t="shared" si="30"/>
        <v>2.6216339729042033E-2</v>
      </c>
      <c r="G42" s="248">
        <f t="shared" si="31"/>
        <v>8.0000000000000016E-2</v>
      </c>
      <c r="H42" s="249">
        <f t="shared" si="32"/>
        <v>0.33498293694823961</v>
      </c>
      <c r="I42" s="122"/>
      <c r="J42" s="244">
        <f t="shared" si="33"/>
        <v>0.99321869856548128</v>
      </c>
      <c r="K42" s="245">
        <f t="shared" si="34"/>
        <v>0</v>
      </c>
      <c r="L42" s="245">
        <f t="shared" si="35"/>
        <v>1.6626340992778469E-3</v>
      </c>
      <c r="M42" s="245">
        <f t="shared" si="36"/>
        <v>4.4410871680308409E-5</v>
      </c>
      <c r="N42" s="245">
        <f t="shared" si="37"/>
        <v>4.2464579512922675E-3</v>
      </c>
      <c r="O42" s="245">
        <f t="shared" si="38"/>
        <v>1.5836349131461802E-4</v>
      </c>
      <c r="P42" s="245">
        <f t="shared" si="39"/>
        <v>7.0414711220822545E-5</v>
      </c>
      <c r="Q42" s="245">
        <f t="shared" si="40"/>
        <v>5.9902030973323387E-4</v>
      </c>
      <c r="R42" s="243">
        <f t="shared" si="28"/>
        <v>1.0000000000000002</v>
      </c>
      <c r="S42" s="250"/>
      <c r="T42" s="244">
        <f t="shared" si="41"/>
        <v>4.2305065078376254E-3</v>
      </c>
      <c r="U42" s="246">
        <f t="shared" si="18"/>
        <v>0.16583585510723492</v>
      </c>
      <c r="V42" s="246">
        <f t="shared" si="19"/>
        <v>2.2655628238009388E-7</v>
      </c>
      <c r="W42" s="246">
        <f t="shared" si="20"/>
        <v>1.7410477600298297E-4</v>
      </c>
      <c r="X42" s="246">
        <f t="shared" si="21"/>
        <v>2.8347064945316623E-5</v>
      </c>
      <c r="Y42" s="246">
        <f t="shared" si="22"/>
        <v>4.9290297854575787E-6</v>
      </c>
      <c r="Z42" s="246">
        <f t="shared" si="14"/>
        <v>0.16604346253425106</v>
      </c>
      <c r="AA42" s="247">
        <f t="shared" si="42"/>
        <v>5.5621726740778407E-2</v>
      </c>
      <c r="AB42" s="122"/>
      <c r="AC42" s="244">
        <f t="shared" si="23"/>
        <v>6.6172198803659529E-2</v>
      </c>
      <c r="AD42" s="245">
        <f t="shared" si="24"/>
        <v>0.47883862059201987</v>
      </c>
      <c r="AE42" s="245">
        <f t="shared" si="25"/>
        <v>2.6204892017424584</v>
      </c>
      <c r="AF42" s="245">
        <f t="shared" si="26"/>
        <v>0.15156969753722091</v>
      </c>
      <c r="AG42" s="245">
        <f t="shared" si="27"/>
        <v>4.3452918294369591E-2</v>
      </c>
      <c r="AH42" s="245">
        <f t="shared" si="16"/>
        <v>3.3605226369697281</v>
      </c>
      <c r="AI42" s="247">
        <f t="shared" si="43"/>
        <v>1.1257177426131624</v>
      </c>
    </row>
    <row r="43" spans="1:35">
      <c r="A43" s="122"/>
      <c r="B43" s="241">
        <v>39</v>
      </c>
      <c r="C43" s="248">
        <f>'Other parameters'!$D$22</f>
        <v>4.1983999999999997E-3</v>
      </c>
      <c r="D43" s="242">
        <f>'Other parameters'!$G$22</f>
        <v>39.200000000000003</v>
      </c>
      <c r="E43" s="234">
        <v>0</v>
      </c>
      <c r="F43" s="248">
        <f t="shared" si="30"/>
        <v>2.3721525150779944E-2</v>
      </c>
      <c r="G43" s="248">
        <f t="shared" si="31"/>
        <v>8.0000000000000016E-2</v>
      </c>
      <c r="H43" s="249">
        <f t="shared" si="32"/>
        <v>0.3252261523769317</v>
      </c>
      <c r="I43" s="122"/>
      <c r="J43" s="244">
        <f t="shared" si="33"/>
        <v>0.99321869856548128</v>
      </c>
      <c r="K43" s="245">
        <f t="shared" si="34"/>
        <v>0</v>
      </c>
      <c r="L43" s="245">
        <f t="shared" si="35"/>
        <v>1.6347407093121632E-3</v>
      </c>
      <c r="M43" s="245">
        <f t="shared" si="36"/>
        <v>3.9440216602563802E-5</v>
      </c>
      <c r="N43" s="245">
        <f t="shared" si="37"/>
        <v>4.2442691938198813E-3</v>
      </c>
      <c r="O43" s="245">
        <f t="shared" si="38"/>
        <v>1.5996874692725523E-4</v>
      </c>
      <c r="P43" s="245">
        <f t="shared" si="39"/>
        <v>7.1419347502188092E-5</v>
      </c>
      <c r="Q43" s="245">
        <f t="shared" si="40"/>
        <v>6.3146322035504462E-4</v>
      </c>
      <c r="R43" s="243">
        <f t="shared" si="28"/>
        <v>1.0000000000000004</v>
      </c>
      <c r="S43" s="250"/>
      <c r="T43" s="244">
        <f t="shared" si="41"/>
        <v>4.2308429106218109E-3</v>
      </c>
      <c r="U43" s="246">
        <f t="shared" si="18"/>
        <v>0.16584904209637499</v>
      </c>
      <c r="V43" s="246">
        <f t="shared" si="19"/>
        <v>2.0119913236705154E-7</v>
      </c>
      <c r="W43" s="246">
        <f t="shared" si="20"/>
        <v>1.7401503694661514E-4</v>
      </c>
      <c r="X43" s="246">
        <f t="shared" si="21"/>
        <v>2.8634405699978685E-5</v>
      </c>
      <c r="Y43" s="246">
        <f t="shared" si="22"/>
        <v>4.9993543251531666E-6</v>
      </c>
      <c r="Z43" s="246">
        <f t="shared" si="14"/>
        <v>0.16605689209247909</v>
      </c>
      <c r="AA43" s="247">
        <f t="shared" si="42"/>
        <v>5.4006044090908312E-2</v>
      </c>
      <c r="AB43" s="122"/>
      <c r="AC43" s="244">
        <f t="shared" si="23"/>
        <v>5.8765922737820067E-2</v>
      </c>
      <c r="AD43" s="245">
        <f t="shared" si="24"/>
        <v>0.47080532428190303</v>
      </c>
      <c r="AE43" s="245">
        <f t="shared" si="25"/>
        <v>2.6191385195062487</v>
      </c>
      <c r="AF43" s="245">
        <f t="shared" si="26"/>
        <v>0.15310608768407599</v>
      </c>
      <c r="AG43" s="245">
        <f t="shared" si="27"/>
        <v>4.4072879343600276E-2</v>
      </c>
      <c r="AH43" s="245">
        <f t="shared" si="16"/>
        <v>3.3458887335536485</v>
      </c>
      <c r="AI43" s="247">
        <f t="shared" si="43"/>
        <v>1.088170519094978</v>
      </c>
    </row>
    <row r="44" spans="1:35">
      <c r="A44" s="122"/>
      <c r="B44" s="241">
        <v>40</v>
      </c>
      <c r="C44" s="248">
        <f>'Other parameters'!$D$23</f>
        <v>5.1936000000000005E-3</v>
      </c>
      <c r="D44" s="242">
        <f>'Other parameters'!$G$23</f>
        <v>35</v>
      </c>
      <c r="E44" s="234">
        <v>0</v>
      </c>
      <c r="F44" s="248">
        <f t="shared" si="30"/>
        <v>2.1464123569306798E-2</v>
      </c>
      <c r="G44" s="248">
        <f t="shared" si="31"/>
        <v>8.0000000000000016E-2</v>
      </c>
      <c r="H44" s="249">
        <f t="shared" si="32"/>
        <v>0.31575354599702099</v>
      </c>
      <c r="I44" s="122"/>
      <c r="J44" s="244">
        <f t="shared" si="33"/>
        <v>0.99321869856548128</v>
      </c>
      <c r="K44" s="245">
        <f t="shared" si="34"/>
        <v>0</v>
      </c>
      <c r="L44" s="245">
        <f t="shared" si="35"/>
        <v>1.6099068890403773E-3</v>
      </c>
      <c r="M44" s="245">
        <f t="shared" si="36"/>
        <v>3.5088276588452513E-5</v>
      </c>
      <c r="N44" s="245">
        <f t="shared" si="37"/>
        <v>4.2386541246784842E-3</v>
      </c>
      <c r="O44" s="245">
        <f t="shared" si="38"/>
        <v>1.6122736451172913E-4</v>
      </c>
      <c r="P44" s="245">
        <f t="shared" si="39"/>
        <v>7.2249630614183843E-5</v>
      </c>
      <c r="Q44" s="245">
        <f t="shared" si="40"/>
        <v>6.6417514908586825E-4</v>
      </c>
      <c r="R44" s="243">
        <f t="shared" si="28"/>
        <v>1.0000000000000004</v>
      </c>
      <c r="S44" s="250"/>
      <c r="T44" s="244">
        <f t="shared" si="41"/>
        <v>5.226311928730824E-3</v>
      </c>
      <c r="U44" s="246">
        <f t="shared" si="18"/>
        <v>0.18292091750557884</v>
      </c>
      <c r="V44" s="246">
        <f t="shared" si="19"/>
        <v>1.7899827673342078E-7</v>
      </c>
      <c r="W44" s="246">
        <f t="shared" si="20"/>
        <v>1.7378481911181786E-4</v>
      </c>
      <c r="X44" s="246">
        <f t="shared" si="21"/>
        <v>2.8859698247599513E-5</v>
      </c>
      <c r="Y44" s="246">
        <f t="shared" si="22"/>
        <v>5.0574741429928699E-6</v>
      </c>
      <c r="Z44" s="246">
        <f t="shared" si="14"/>
        <v>0.18312879849535799</v>
      </c>
      <c r="AA44" s="247">
        <f t="shared" si="42"/>
        <v>5.7823567499083205E-2</v>
      </c>
      <c r="AB44" s="122"/>
      <c r="AC44" s="244">
        <f t="shared" si="23"/>
        <v>5.2281532116794247E-2</v>
      </c>
      <c r="AD44" s="245">
        <f t="shared" si="24"/>
        <v>0.46365318404362865</v>
      </c>
      <c r="AE44" s="245">
        <f t="shared" si="25"/>
        <v>2.6156734603390928</v>
      </c>
      <c r="AF44" s="245">
        <f t="shared" si="26"/>
        <v>0.15431071057417595</v>
      </c>
      <c r="AG44" s="245">
        <f t="shared" si="27"/>
        <v>4.4585247052012854E-2</v>
      </c>
      <c r="AH44" s="245">
        <f t="shared" si="16"/>
        <v>3.3305041341257042</v>
      </c>
      <c r="AI44" s="247">
        <f t="shared" si="43"/>
        <v>1.0516184903079291</v>
      </c>
    </row>
    <row r="45" spans="1:35">
      <c r="A45" s="122"/>
      <c r="B45" s="241">
        <v>41</v>
      </c>
      <c r="C45" s="248">
        <f>'Other parameters'!$D$23</f>
        <v>5.1936000000000005E-3</v>
      </c>
      <c r="D45" s="242">
        <f>'Other parameters'!$G$23</f>
        <v>35</v>
      </c>
      <c r="E45" s="234">
        <v>0</v>
      </c>
      <c r="F45" s="248">
        <f t="shared" si="30"/>
        <v>1.9421542150856345E-2</v>
      </c>
      <c r="G45" s="248">
        <f t="shared" si="31"/>
        <v>8.0000000000000016E-2</v>
      </c>
      <c r="H45" s="249">
        <f t="shared" si="32"/>
        <v>0.30655684077380685</v>
      </c>
      <c r="I45" s="122"/>
      <c r="J45" s="244">
        <f t="shared" si="33"/>
        <v>0.99321869856548128</v>
      </c>
      <c r="K45" s="245">
        <f t="shared" si="34"/>
        <v>0</v>
      </c>
      <c r="L45" s="245">
        <f t="shared" si="35"/>
        <v>1.5877629664489232E-3</v>
      </c>
      <c r="M45" s="245">
        <f t="shared" si="36"/>
        <v>3.1266874504451698E-5</v>
      </c>
      <c r="N45" s="245">
        <f t="shared" si="37"/>
        <v>4.2300682760431805E-3</v>
      </c>
      <c r="O45" s="245">
        <f t="shared" si="38"/>
        <v>1.6218291521092725E-4</v>
      </c>
      <c r="P45" s="245">
        <f t="shared" si="39"/>
        <v>7.292437881744037E-5</v>
      </c>
      <c r="Q45" s="245">
        <f t="shared" si="40"/>
        <v>6.9709602349417212E-4</v>
      </c>
      <c r="R45" s="243">
        <f t="shared" si="28"/>
        <v>1.0000000000000004</v>
      </c>
      <c r="S45" s="250"/>
      <c r="T45" s="244">
        <f t="shared" si="41"/>
        <v>5.2265208744083046E-3</v>
      </c>
      <c r="U45" s="246">
        <f t="shared" si="18"/>
        <v>0.18292823060429067</v>
      </c>
      <c r="V45" s="246">
        <f t="shared" si="19"/>
        <v>1.5950389130764128E-7</v>
      </c>
      <c r="W45" s="246">
        <f t="shared" si="20"/>
        <v>1.7343279931777042E-4</v>
      </c>
      <c r="X45" s="246">
        <f t="shared" si="21"/>
        <v>2.9030741822755979E-5</v>
      </c>
      <c r="Y45" s="246">
        <f t="shared" si="22"/>
        <v>5.104706517220826E-6</v>
      </c>
      <c r="Z45" s="246">
        <f t="shared" si="14"/>
        <v>0.18313595835583973</v>
      </c>
      <c r="AA45" s="247">
        <f t="shared" si="42"/>
        <v>5.6141580825649684E-2</v>
      </c>
      <c r="AB45" s="122"/>
      <c r="AC45" s="244">
        <f t="shared" si="23"/>
        <v>4.6587643011633026E-2</v>
      </c>
      <c r="AD45" s="245">
        <f t="shared" si="24"/>
        <v>0.45727573433728991</v>
      </c>
      <c r="AE45" s="245">
        <f t="shared" si="25"/>
        <v>2.6103751331462468</v>
      </c>
      <c r="AF45" s="245">
        <f t="shared" si="26"/>
        <v>0.15522526814837848</v>
      </c>
      <c r="AG45" s="245">
        <f t="shared" si="27"/>
        <v>4.5001634168242453E-2</v>
      </c>
      <c r="AH45" s="245">
        <f t="shared" si="16"/>
        <v>3.3144654128117907</v>
      </c>
      <c r="AI45" s="247">
        <f t="shared" si="43"/>
        <v>1.016072045805634</v>
      </c>
    </row>
    <row r="46" spans="1:35">
      <c r="A46" s="122"/>
      <c r="B46" s="241">
        <v>42</v>
      </c>
      <c r="C46" s="248">
        <f>'Other parameters'!$D$23</f>
        <v>5.1936000000000005E-3</v>
      </c>
      <c r="D46" s="242">
        <f>'Other parameters'!$G$23</f>
        <v>35</v>
      </c>
      <c r="E46" s="234">
        <v>0</v>
      </c>
      <c r="F46" s="248">
        <f t="shared" si="30"/>
        <v>1.7573338054057416E-2</v>
      </c>
      <c r="G46" s="248">
        <f t="shared" si="31"/>
        <v>8.0000000000000016E-2</v>
      </c>
      <c r="H46" s="249">
        <f t="shared" si="32"/>
        <v>0.29762800075126877</v>
      </c>
      <c r="I46" s="122"/>
      <c r="J46" s="244">
        <f t="shared" si="33"/>
        <v>0.99321869856548128</v>
      </c>
      <c r="K46" s="245">
        <f t="shared" si="34"/>
        <v>0</v>
      </c>
      <c r="L46" s="245">
        <f t="shared" si="35"/>
        <v>1.5679900584609609E-3</v>
      </c>
      <c r="M46" s="245">
        <f t="shared" si="36"/>
        <v>2.7902295359119949E-5</v>
      </c>
      <c r="N46" s="245">
        <f t="shared" si="37"/>
        <v>4.218902154235829E-3</v>
      </c>
      <c r="O46" s="245">
        <f t="shared" si="38"/>
        <v>1.6287369286519936E-4</v>
      </c>
      <c r="P46" s="245">
        <f t="shared" si="39"/>
        <v>7.3460636949847471E-5</v>
      </c>
      <c r="Q46" s="245">
        <f t="shared" si="40"/>
        <v>7.301725966481396E-4</v>
      </c>
      <c r="R46" s="243">
        <f t="shared" si="28"/>
        <v>1.0000000000000002</v>
      </c>
      <c r="S46" s="250"/>
      <c r="T46" s="244">
        <f t="shared" si="41"/>
        <v>5.2266765731539683E-3</v>
      </c>
      <c r="U46" s="246">
        <f t="shared" si="18"/>
        <v>0.1829336800603889</v>
      </c>
      <c r="V46" s="246">
        <f t="shared" si="19"/>
        <v>1.423399286539215E-7</v>
      </c>
      <c r="W46" s="246">
        <f t="shared" si="20"/>
        <v>1.72974988323669E-4</v>
      </c>
      <c r="X46" s="246">
        <f t="shared" si="21"/>
        <v>2.9154391022870684E-5</v>
      </c>
      <c r="Y46" s="246">
        <f t="shared" si="22"/>
        <v>5.1422445864893236E-6</v>
      </c>
      <c r="Z46" s="246">
        <f t="shared" si="14"/>
        <v>0.18314109402425058</v>
      </c>
      <c r="AA46" s="247">
        <f t="shared" si="42"/>
        <v>5.4507917669837834E-2</v>
      </c>
      <c r="AB46" s="122"/>
      <c r="AC46" s="244">
        <f t="shared" si="23"/>
        <v>4.1574420085088722E-2</v>
      </c>
      <c r="AD46" s="245">
        <f t="shared" si="24"/>
        <v>0.45158113683675671</v>
      </c>
      <c r="AE46" s="245">
        <f t="shared" si="25"/>
        <v>2.60348451937893</v>
      </c>
      <c r="AF46" s="245">
        <f t="shared" si="26"/>
        <v>0.15588641144128232</v>
      </c>
      <c r="AG46" s="245">
        <f t="shared" si="27"/>
        <v>4.5332559061750877E-2</v>
      </c>
      <c r="AH46" s="245">
        <f t="shared" si="16"/>
        <v>3.2978590468038083</v>
      </c>
      <c r="AI46" s="247">
        <f t="shared" si="43"/>
        <v>0.98153519485970231</v>
      </c>
    </row>
    <row r="47" spans="1:35">
      <c r="A47" s="122"/>
      <c r="B47" s="241">
        <v>43</v>
      </c>
      <c r="C47" s="248">
        <f>'Other parameters'!$D$23</f>
        <v>5.1936000000000005E-3</v>
      </c>
      <c r="D47" s="242">
        <f>'Other parameters'!$G$23</f>
        <v>35</v>
      </c>
      <c r="E47" s="234">
        <v>0</v>
      </c>
      <c r="F47" s="248">
        <f t="shared" si="30"/>
        <v>1.5901013831106387E-2</v>
      </c>
      <c r="G47" s="248">
        <f t="shared" si="31"/>
        <v>8.0000000000000016E-2</v>
      </c>
      <c r="H47" s="249">
        <f t="shared" si="32"/>
        <v>0.28895922403035801</v>
      </c>
      <c r="I47" s="122"/>
      <c r="J47" s="244">
        <f t="shared" si="33"/>
        <v>0.99321869856548128</v>
      </c>
      <c r="K47" s="245">
        <f t="shared" si="34"/>
        <v>0</v>
      </c>
      <c r="L47" s="245">
        <f t="shared" si="35"/>
        <v>1.5503120236477069E-3</v>
      </c>
      <c r="M47" s="245">
        <f t="shared" si="36"/>
        <v>2.4932631606625051E-5</v>
      </c>
      <c r="N47" s="245">
        <f t="shared" si="37"/>
        <v>4.2054919474453058E-3</v>
      </c>
      <c r="O47" s="245">
        <f t="shared" si="38"/>
        <v>1.6333327415023175E-4</v>
      </c>
      <c r="P47" s="245">
        <f t="shared" si="39"/>
        <v>7.3873777135130488E-5</v>
      </c>
      <c r="Q47" s="245">
        <f t="shared" si="40"/>
        <v>7.6335778053409644E-4</v>
      </c>
      <c r="R47" s="243">
        <f t="shared" si="28"/>
        <v>1.0000000000000004</v>
      </c>
      <c r="S47" s="250"/>
      <c r="T47" s="244">
        <f t="shared" si="41"/>
        <v>5.2267851838859571E-3</v>
      </c>
      <c r="U47" s="246">
        <f t="shared" si="18"/>
        <v>0.18293748143600849</v>
      </c>
      <c r="V47" s="246">
        <f t="shared" si="19"/>
        <v>1.2719057548365987E-7</v>
      </c>
      <c r="W47" s="246">
        <f t="shared" si="20"/>
        <v>1.7242516984525754E-4</v>
      </c>
      <c r="X47" s="246">
        <f t="shared" si="21"/>
        <v>2.9236656072891482E-5</v>
      </c>
      <c r="Y47" s="246">
        <f t="shared" si="22"/>
        <v>5.1711643994591349E-6</v>
      </c>
      <c r="Z47" s="246">
        <f t="shared" si="14"/>
        <v>0.18314444161690158</v>
      </c>
      <c r="AA47" s="247">
        <f t="shared" si="42"/>
        <v>5.2921275735093087E-2</v>
      </c>
      <c r="AB47" s="122"/>
      <c r="AC47" s="244">
        <f t="shared" si="23"/>
        <v>3.7149621093871328E-2</v>
      </c>
      <c r="AD47" s="245">
        <f t="shared" si="24"/>
        <v>0.4464898628105396</v>
      </c>
      <c r="AE47" s="245">
        <f t="shared" si="25"/>
        <v>2.5952090807684982</v>
      </c>
      <c r="AF47" s="245">
        <f t="shared" si="26"/>
        <v>0.1563262766891868</v>
      </c>
      <c r="AG47" s="245">
        <f t="shared" si="27"/>
        <v>4.5587507870089028E-2</v>
      </c>
      <c r="AH47" s="245">
        <f t="shared" si="16"/>
        <v>3.2807623492321847</v>
      </c>
      <c r="AI47" s="247">
        <f t="shared" si="43"/>
        <v>0.94800654266214646</v>
      </c>
    </row>
    <row r="48" spans="1:35">
      <c r="A48" s="122"/>
      <c r="B48" s="241">
        <v>44</v>
      </c>
      <c r="C48" s="248">
        <f>'Other parameters'!$D$23</f>
        <v>5.1936000000000005E-3</v>
      </c>
      <c r="D48" s="242">
        <f>'Other parameters'!$G$23</f>
        <v>35</v>
      </c>
      <c r="E48" s="234">
        <v>0</v>
      </c>
      <c r="F48" s="248">
        <f t="shared" si="30"/>
        <v>1.4387832299092386E-2</v>
      </c>
      <c r="G48" s="248">
        <f t="shared" si="31"/>
        <v>8.0000000000000016E-2</v>
      </c>
      <c r="H48" s="249">
        <f t="shared" si="32"/>
        <v>0.28054293595180391</v>
      </c>
      <c r="I48" s="122"/>
      <c r="J48" s="244">
        <f t="shared" si="33"/>
        <v>0.99321869856548128</v>
      </c>
      <c r="K48" s="245">
        <f t="shared" si="34"/>
        <v>0</v>
      </c>
      <c r="L48" s="245">
        <f t="shared" si="35"/>
        <v>1.5344888784579198E-3</v>
      </c>
      <c r="M48" s="245">
        <f t="shared" si="36"/>
        <v>2.2305629407509758E-5</v>
      </c>
      <c r="N48" s="245">
        <f t="shared" si="37"/>
        <v>4.1901282487832054E-3</v>
      </c>
      <c r="O48" s="245">
        <f t="shared" si="38"/>
        <v>1.6359104979580467E-4</v>
      </c>
      <c r="P48" s="245">
        <f t="shared" si="39"/>
        <v>7.4177614858082002E-5</v>
      </c>
      <c r="Q48" s="245">
        <f t="shared" si="40"/>
        <v>7.9661001321657465E-4</v>
      </c>
      <c r="R48" s="243">
        <f t="shared" si="28"/>
        <v>1.0000000000000004</v>
      </c>
      <c r="S48" s="250"/>
      <c r="T48" s="244">
        <f t="shared" si="41"/>
        <v>5.2268522326824789E-3</v>
      </c>
      <c r="U48" s="246">
        <f t="shared" si="18"/>
        <v>0.18293982814388676</v>
      </c>
      <c r="V48" s="246">
        <f t="shared" si="19"/>
        <v>1.137892656350224E-7</v>
      </c>
      <c r="W48" s="246">
        <f t="shared" si="20"/>
        <v>1.7179525820011142E-4</v>
      </c>
      <c r="X48" s="246">
        <f t="shared" si="21"/>
        <v>2.9282797913449036E-5</v>
      </c>
      <c r="Y48" s="246">
        <f t="shared" si="22"/>
        <v>5.1924330400657408E-6</v>
      </c>
      <c r="Z48" s="246">
        <f t="shared" si="14"/>
        <v>0.18314621242230603</v>
      </c>
      <c r="AA48" s="247">
        <f t="shared" si="42"/>
        <v>5.1380376141406475E-2</v>
      </c>
      <c r="AB48" s="122"/>
      <c r="AC48" s="244">
        <f t="shared" si="23"/>
        <v>3.3235387817189536E-2</v>
      </c>
      <c r="AD48" s="245">
        <f t="shared" si="24"/>
        <v>0.44193279699588089</v>
      </c>
      <c r="AE48" s="245">
        <f t="shared" si="25"/>
        <v>2.5857281423241161</v>
      </c>
      <c r="AF48" s="245">
        <f t="shared" si="26"/>
        <v>0.15657299375956465</v>
      </c>
      <c r="AG48" s="245">
        <f t="shared" si="27"/>
        <v>4.5775006128922408E-2</v>
      </c>
      <c r="AH48" s="245">
        <f t="shared" si="16"/>
        <v>3.2632443270256735</v>
      </c>
      <c r="AI48" s="247">
        <f t="shared" si="43"/>
        <v>0.91548014423185098</v>
      </c>
    </row>
    <row r="49" spans="1:35">
      <c r="A49" s="122"/>
      <c r="B49" s="241">
        <v>45</v>
      </c>
      <c r="C49" s="248">
        <f>'Other parameters'!$D$24</f>
        <v>5.7866000000000003E-3</v>
      </c>
      <c r="D49" s="242">
        <f>'Other parameters'!$G$24</f>
        <v>30.9</v>
      </c>
      <c r="E49" s="234">
        <v>0</v>
      </c>
      <c r="F49" s="248">
        <f t="shared" si="30"/>
        <v>1.3018649028645137E-2</v>
      </c>
      <c r="G49" s="248">
        <f t="shared" si="31"/>
        <v>8.0000000000000016E-2</v>
      </c>
      <c r="H49" s="249">
        <f t="shared" si="32"/>
        <v>0.27237178247747956</v>
      </c>
      <c r="I49" s="122"/>
      <c r="J49" s="244">
        <f t="shared" si="33"/>
        <v>0.99321869856548128</v>
      </c>
      <c r="K49" s="245">
        <f t="shared" si="34"/>
        <v>0</v>
      </c>
      <c r="L49" s="245">
        <f t="shared" si="35"/>
        <v>1.5203113699568693E-3</v>
      </c>
      <c r="M49" s="245">
        <f t="shared" si="36"/>
        <v>1.9976972147002963E-5</v>
      </c>
      <c r="N49" s="245">
        <f t="shared" si="37"/>
        <v>4.1730631749392769E-3</v>
      </c>
      <c r="O49" s="245">
        <f t="shared" si="38"/>
        <v>1.6367271689068217E-4</v>
      </c>
      <c r="P49" s="245">
        <f t="shared" si="39"/>
        <v>7.4384531874764119E-5</v>
      </c>
      <c r="Q49" s="245">
        <f t="shared" si="40"/>
        <v>8.298926687105001E-4</v>
      </c>
      <c r="R49" s="243">
        <f t="shared" si="28"/>
        <v>1.0000000000000004</v>
      </c>
      <c r="S49" s="250"/>
      <c r="T49" s="244">
        <f t="shared" si="41"/>
        <v>5.8198826554939258E-3</v>
      </c>
      <c r="U49" s="246">
        <f t="shared" si="18"/>
        <v>0.1798343740547623</v>
      </c>
      <c r="V49" s="246">
        <f t="shared" si="19"/>
        <v>1.0190992366498499E-7</v>
      </c>
      <c r="W49" s="246">
        <f t="shared" si="20"/>
        <v>1.7109559017251035E-4</v>
      </c>
      <c r="X49" s="246">
        <f t="shared" si="21"/>
        <v>2.9297416323432106E-5</v>
      </c>
      <c r="Y49" s="246">
        <f t="shared" si="22"/>
        <v>5.2069172312334884E-6</v>
      </c>
      <c r="Z49" s="246">
        <f t="shared" si="14"/>
        <v>0.18004007588841314</v>
      </c>
      <c r="AA49" s="247">
        <f t="shared" si="42"/>
        <v>4.9037836387107778E-2</v>
      </c>
      <c r="AB49" s="122"/>
      <c r="AC49" s="244">
        <f t="shared" si="23"/>
        <v>2.9765688499034416E-2</v>
      </c>
      <c r="AD49" s="245">
        <f t="shared" si="24"/>
        <v>0.43784967454757834</v>
      </c>
      <c r="AE49" s="245">
        <f t="shared" si="25"/>
        <v>2.5751972852550278</v>
      </c>
      <c r="AF49" s="245">
        <f t="shared" si="26"/>
        <v>0.15665115733607191</v>
      </c>
      <c r="AG49" s="245">
        <f t="shared" si="27"/>
        <v>4.5902694619916938E-2</v>
      </c>
      <c r="AH49" s="245">
        <f t="shared" si="16"/>
        <v>3.2453665002576293</v>
      </c>
      <c r="AI49" s="247">
        <f t="shared" si="43"/>
        <v>0.88394625846787012</v>
      </c>
    </row>
    <row r="50" spans="1:35">
      <c r="A50" s="122"/>
      <c r="B50" s="241">
        <v>46</v>
      </c>
      <c r="C50" s="248">
        <f>'Other parameters'!$D$24</f>
        <v>5.7866000000000003E-3</v>
      </c>
      <c r="D50" s="242">
        <f>'Other parameters'!$G$24</f>
        <v>30.9</v>
      </c>
      <c r="E50" s="234">
        <v>0</v>
      </c>
      <c r="F50" s="248">
        <f t="shared" si="30"/>
        <v>1.1779760773395619E-2</v>
      </c>
      <c r="G50" s="248">
        <f t="shared" si="31"/>
        <v>8.0000000000000016E-2</v>
      </c>
      <c r="H50" s="249">
        <f t="shared" si="32"/>
        <v>0.26443862376454325</v>
      </c>
      <c r="I50" s="122"/>
      <c r="J50" s="244">
        <f t="shared" si="33"/>
        <v>0.99321869856548128</v>
      </c>
      <c r="K50" s="245">
        <f t="shared" si="34"/>
        <v>0</v>
      </c>
      <c r="L50" s="245">
        <f t="shared" si="35"/>
        <v>1.5075964784759248E-3</v>
      </c>
      <c r="M50" s="245">
        <f t="shared" si="36"/>
        <v>1.7908904239165284E-5</v>
      </c>
      <c r="N50" s="245">
        <f t="shared" si="37"/>
        <v>4.1545162098436585E-3</v>
      </c>
      <c r="O50" s="245">
        <f t="shared" si="38"/>
        <v>1.6360072737870869E-4</v>
      </c>
      <c r="P50" s="245">
        <f t="shared" si="39"/>
        <v>7.4505599993776687E-5</v>
      </c>
      <c r="Q50" s="245">
        <f t="shared" si="40"/>
        <v>8.6317351458786099E-4</v>
      </c>
      <c r="R50" s="243">
        <f t="shared" si="28"/>
        <v>1.0000000000000002</v>
      </c>
      <c r="S50" s="250"/>
      <c r="T50" s="244">
        <f t="shared" si="41"/>
        <v>5.8198808458773616E-3</v>
      </c>
      <c r="U50" s="246">
        <f t="shared" si="18"/>
        <v>0.17983431813761047</v>
      </c>
      <c r="V50" s="246">
        <f t="shared" si="19"/>
        <v>9.1359944365276064E-8</v>
      </c>
      <c r="W50" s="246">
        <f t="shared" si="20"/>
        <v>1.7033516460359001E-4</v>
      </c>
      <c r="X50" s="246">
        <f t="shared" si="21"/>
        <v>2.9284530200788855E-5</v>
      </c>
      <c r="Y50" s="246">
        <f t="shared" si="22"/>
        <v>5.2153919995643683E-6</v>
      </c>
      <c r="Z50" s="246">
        <f t="shared" si="14"/>
        <v>0.1800392445843588</v>
      </c>
      <c r="AA50" s="247">
        <f t="shared" si="42"/>
        <v>4.7609330061495835E-2</v>
      </c>
      <c r="AB50" s="122"/>
      <c r="AC50" s="244">
        <f t="shared" si="23"/>
        <v>2.6684267316356272E-2</v>
      </c>
      <c r="AD50" s="245">
        <f t="shared" si="24"/>
        <v>0.43418778580106637</v>
      </c>
      <c r="AE50" s="245">
        <f t="shared" si="25"/>
        <v>2.5637519530945219</v>
      </c>
      <c r="AF50" s="245">
        <f t="shared" si="26"/>
        <v>0.15658225617416208</v>
      </c>
      <c r="AG50" s="245">
        <f t="shared" si="27"/>
        <v>4.5977405756159592E-2</v>
      </c>
      <c r="AH50" s="245">
        <f t="shared" si="16"/>
        <v>3.2271836681422661</v>
      </c>
      <c r="AI50" s="247">
        <f t="shared" si="43"/>
        <v>0.85339200783895131</v>
      </c>
    </row>
    <row r="51" spans="1:35">
      <c r="A51" s="122"/>
      <c r="B51" s="241">
        <v>47</v>
      </c>
      <c r="C51" s="248">
        <f>'Other parameters'!$D$24</f>
        <v>5.7866000000000003E-3</v>
      </c>
      <c r="D51" s="242">
        <f>'Other parameters'!$G$24</f>
        <v>30.9</v>
      </c>
      <c r="E51" s="234">
        <v>0</v>
      </c>
      <c r="F51" s="248">
        <f t="shared" si="30"/>
        <v>1.0658768323280568E-2</v>
      </c>
      <c r="G51" s="248">
        <f t="shared" si="31"/>
        <v>8.0000000000000016E-2</v>
      </c>
      <c r="H51" s="249">
        <f t="shared" si="32"/>
        <v>0.25673652792674101</v>
      </c>
      <c r="I51" s="122"/>
      <c r="J51" s="244">
        <f t="shared" si="33"/>
        <v>0.99321869856548128</v>
      </c>
      <c r="K51" s="245">
        <f t="shared" si="34"/>
        <v>0</v>
      </c>
      <c r="L51" s="245">
        <f t="shared" si="35"/>
        <v>1.4961836719890394E-3</v>
      </c>
      <c r="M51" s="245">
        <f t="shared" si="36"/>
        <v>1.6069121589068524E-5</v>
      </c>
      <c r="N51" s="245">
        <f t="shared" si="37"/>
        <v>4.1346790288987493E-3</v>
      </c>
      <c r="O51" s="245">
        <f t="shared" si="38"/>
        <v>1.6339469149751211E-4</v>
      </c>
      <c r="P51" s="245">
        <f t="shared" si="39"/>
        <v>7.455070175078191E-5</v>
      </c>
      <c r="Q51" s="245">
        <f t="shared" si="40"/>
        <v>8.9642421879394362E-4</v>
      </c>
      <c r="R51" s="243">
        <f t="shared" si="28"/>
        <v>1.0000000000000002</v>
      </c>
      <c r="S51" s="250"/>
      <c r="T51" s="244">
        <f t="shared" si="41"/>
        <v>5.8198507042060829E-3</v>
      </c>
      <c r="U51" s="246">
        <f t="shared" si="18"/>
        <v>0.17983338675996796</v>
      </c>
      <c r="V51" s="246">
        <f t="shared" si="19"/>
        <v>8.1974532599576971E-8</v>
      </c>
      <c r="W51" s="246">
        <f t="shared" si="20"/>
        <v>1.6952184018484873E-4</v>
      </c>
      <c r="X51" s="246">
        <f t="shared" si="21"/>
        <v>2.9247649778054665E-5</v>
      </c>
      <c r="Y51" s="246">
        <f t="shared" si="22"/>
        <v>5.2185491225547339E-6</v>
      </c>
      <c r="Z51" s="246">
        <f t="shared" si="14"/>
        <v>0.18003745677358601</v>
      </c>
      <c r="AA51" s="247">
        <f t="shared" si="42"/>
        <v>4.6222191548811194E-2</v>
      </c>
      <c r="AB51" s="122"/>
      <c r="AC51" s="244">
        <f t="shared" si="23"/>
        <v>2.3942991167712101E-2</v>
      </c>
      <c r="AD51" s="245">
        <f t="shared" si="24"/>
        <v>0.43090089753284333</v>
      </c>
      <c r="AE51" s="245">
        <f t="shared" si="25"/>
        <v>2.5515104287334185</v>
      </c>
      <c r="AF51" s="245">
        <f t="shared" si="26"/>
        <v>0.15638505923226884</v>
      </c>
      <c r="AG51" s="245">
        <f t="shared" si="27"/>
        <v>4.6005238050407515E-2</v>
      </c>
      <c r="AH51" s="245">
        <f t="shared" si="16"/>
        <v>3.2087446147166498</v>
      </c>
      <c r="AI51" s="247">
        <f t="shared" si="43"/>
        <v>0.823801951385981</v>
      </c>
    </row>
    <row r="52" spans="1:35">
      <c r="A52" s="122"/>
      <c r="B52" s="241">
        <v>48</v>
      </c>
      <c r="C52" s="248">
        <f>'Other parameters'!$D$24</f>
        <v>5.7866000000000003E-3</v>
      </c>
      <c r="D52" s="242">
        <f>'Other parameters'!$G$24</f>
        <v>30.9</v>
      </c>
      <c r="E52" s="234">
        <v>0</v>
      </c>
      <c r="F52" s="248">
        <f t="shared" si="30"/>
        <v>9.644452409080663E-3</v>
      </c>
      <c r="G52" s="248">
        <f t="shared" si="31"/>
        <v>8.0000000000000016E-2</v>
      </c>
      <c r="H52" s="249">
        <f t="shared" si="32"/>
        <v>0.24925876497741845</v>
      </c>
      <c r="I52" s="122"/>
      <c r="J52" s="244">
        <f t="shared" si="33"/>
        <v>0.99321869856548128</v>
      </c>
      <c r="K52" s="245">
        <f t="shared" si="34"/>
        <v>0</v>
      </c>
      <c r="L52" s="245">
        <f t="shared" si="35"/>
        <v>1.4859317713824553E-3</v>
      </c>
      <c r="M52" s="245">
        <f t="shared" si="36"/>
        <v>1.4429872219741843E-5</v>
      </c>
      <c r="N52" s="245">
        <f t="shared" si="37"/>
        <v>4.1137195034130847E-3</v>
      </c>
      <c r="O52" s="245">
        <f t="shared" si="38"/>
        <v>1.6307173721758406E-4</v>
      </c>
      <c r="P52" s="245">
        <f t="shared" si="39"/>
        <v>7.45286454309343E-5</v>
      </c>
      <c r="Q52" s="245">
        <f t="shared" si="40"/>
        <v>9.2961990485529455E-4</v>
      </c>
      <c r="R52" s="243">
        <f t="shared" si="28"/>
        <v>1.0000000000000004</v>
      </c>
      <c r="S52" s="250"/>
      <c r="T52" s="244">
        <f t="shared" si="41"/>
        <v>5.819795686061351E-3</v>
      </c>
      <c r="U52" s="246">
        <f t="shared" si="18"/>
        <v>0.17983168669929572</v>
      </c>
      <c r="V52" s="246">
        <f t="shared" si="19"/>
        <v>7.361211526892963E-8</v>
      </c>
      <c r="W52" s="246">
        <f t="shared" si="20"/>
        <v>1.6866249963993647E-4</v>
      </c>
      <c r="X52" s="246">
        <f t="shared" si="21"/>
        <v>2.9189840961947545E-5</v>
      </c>
      <c r="Y52" s="246">
        <f t="shared" si="22"/>
        <v>5.2170051801654017E-6</v>
      </c>
      <c r="Z52" s="246">
        <f t="shared" si="14"/>
        <v>0.18003482965719303</v>
      </c>
      <c r="AA52" s="247">
        <f t="shared" si="42"/>
        <v>4.4875259293271845E-2</v>
      </c>
      <c r="AB52" s="122"/>
      <c r="AC52" s="244">
        <f t="shared" si="23"/>
        <v>2.1500509607415345E-2</v>
      </c>
      <c r="AD52" s="245">
        <f t="shared" si="24"/>
        <v>0.42794835015814714</v>
      </c>
      <c r="AE52" s="245">
        <f t="shared" si="25"/>
        <v>2.5385763055562145</v>
      </c>
      <c r="AF52" s="245">
        <f t="shared" si="26"/>
        <v>0.1560759596909497</v>
      </c>
      <c r="AG52" s="245">
        <f t="shared" si="27"/>
        <v>4.599162709542956E-2</v>
      </c>
      <c r="AH52" s="245">
        <f t="shared" si="16"/>
        <v>3.1900927521081566</v>
      </c>
      <c r="AI52" s="247">
        <f t="shared" si="43"/>
        <v>0.79515857955389302</v>
      </c>
    </row>
    <row r="53" spans="1:35">
      <c r="A53" s="122"/>
      <c r="B53" s="241">
        <v>49</v>
      </c>
      <c r="C53" s="248">
        <f>'Other parameters'!$D$24</f>
        <v>5.7866000000000003E-3</v>
      </c>
      <c r="D53" s="242">
        <f>'Other parameters'!$G$24</f>
        <v>30.9</v>
      </c>
      <c r="E53" s="234">
        <v>0</v>
      </c>
      <c r="F53" s="248">
        <f t="shared" si="30"/>
        <v>8.7266614162032404E-3</v>
      </c>
      <c r="G53" s="248">
        <f t="shared" si="31"/>
        <v>8.0000000000000016E-2</v>
      </c>
      <c r="H53" s="249">
        <f t="shared" si="32"/>
        <v>0.24199880094894996</v>
      </c>
      <c r="I53" s="122"/>
      <c r="J53" s="244">
        <f t="shared" si="33"/>
        <v>0.99321869856548128</v>
      </c>
      <c r="K53" s="245">
        <f t="shared" si="34"/>
        <v>0</v>
      </c>
      <c r="L53" s="245">
        <f t="shared" si="35"/>
        <v>1.4767163147031543E-3</v>
      </c>
      <c r="M53" s="245">
        <f t="shared" si="36"/>
        <v>1.2967223456433807E-5</v>
      </c>
      <c r="N53" s="245">
        <f t="shared" si="37"/>
        <v>4.0917850420773292E-3</v>
      </c>
      <c r="O53" s="245">
        <f t="shared" si="38"/>
        <v>1.6264682812433578E-4</v>
      </c>
      <c r="P53" s="245">
        <f t="shared" si="39"/>
        <v>7.444727291898815E-5</v>
      </c>
      <c r="Q53" s="245">
        <f t="shared" si="40"/>
        <v>9.6273875323885344E-4</v>
      </c>
      <c r="R53" s="243">
        <f t="shared" si="28"/>
        <v>1.0000000000000004</v>
      </c>
      <c r="S53" s="250"/>
      <c r="T53" s="244">
        <f t="shared" si="41"/>
        <v>5.8197188483835594E-3</v>
      </c>
      <c r="U53" s="246">
        <f t="shared" si="18"/>
        <v>0.17982931241505198</v>
      </c>
      <c r="V53" s="246">
        <f t="shared" si="19"/>
        <v>6.6150602947615761E-8</v>
      </c>
      <c r="W53" s="246">
        <f t="shared" si="20"/>
        <v>1.6776318672517051E-4</v>
      </c>
      <c r="X53" s="246">
        <f t="shared" si="21"/>
        <v>2.9113782234256102E-5</v>
      </c>
      <c r="Y53" s="246">
        <f t="shared" si="22"/>
        <v>5.2113091043291709E-6</v>
      </c>
      <c r="Z53" s="246">
        <f t="shared" si="14"/>
        <v>0.18003146684371868</v>
      </c>
      <c r="AA53" s="247">
        <f t="shared" si="42"/>
        <v>4.3567399109260559E-2</v>
      </c>
      <c r="AB53" s="122"/>
      <c r="AC53" s="244">
        <f t="shared" si="23"/>
        <v>1.9321162950086374E-2</v>
      </c>
      <c r="AD53" s="245">
        <f t="shared" si="24"/>
        <v>0.42529429863450841</v>
      </c>
      <c r="AE53" s="245">
        <f t="shared" si="25"/>
        <v>2.52504054946592</v>
      </c>
      <c r="AF53" s="245">
        <f t="shared" si="26"/>
        <v>0.15566927919780177</v>
      </c>
      <c r="AG53" s="245">
        <f t="shared" si="27"/>
        <v>4.5941412118307587E-2</v>
      </c>
      <c r="AH53" s="245">
        <f t="shared" si="16"/>
        <v>3.1712667023666241</v>
      </c>
      <c r="AI53" s="247">
        <f t="shared" si="43"/>
        <v>0.76744273946205366</v>
      </c>
    </row>
    <row r="54" spans="1:35">
      <c r="A54" s="122"/>
      <c r="B54" s="241">
        <v>50</v>
      </c>
      <c r="C54" s="248">
        <f>'Other parameters'!$D$25</f>
        <v>7.5960000000000003E-3</v>
      </c>
      <c r="D54" s="242">
        <f>'Other parameters'!$G$25</f>
        <v>26.7</v>
      </c>
      <c r="E54" s="234">
        <v>0</v>
      </c>
      <c r="F54" s="248">
        <f t="shared" si="30"/>
        <v>7.8962097839113694E-3</v>
      </c>
      <c r="G54" s="248">
        <f t="shared" si="31"/>
        <v>8.0000000000000016E-2</v>
      </c>
      <c r="H54" s="249">
        <f t="shared" si="32"/>
        <v>0.2349502921834466</v>
      </c>
      <c r="I54" s="122"/>
      <c r="J54" s="244">
        <f t="shared" si="33"/>
        <v>0.99321869856548128</v>
      </c>
      <c r="K54" s="245">
        <f t="shared" si="34"/>
        <v>0</v>
      </c>
      <c r="L54" s="245">
        <f t="shared" si="35"/>
        <v>1.4684273309896064E-3</v>
      </c>
      <c r="M54" s="245">
        <f t="shared" si="36"/>
        <v>1.1660461812220587E-5</v>
      </c>
      <c r="N54" s="245">
        <f t="shared" si="37"/>
        <v>4.0690053933907736E-3</v>
      </c>
      <c r="O54" s="245">
        <f t="shared" si="38"/>
        <v>1.6213304294334009E-4</v>
      </c>
      <c r="P54" s="245">
        <f t="shared" si="39"/>
        <v>7.4313559582158881E-5</v>
      </c>
      <c r="Q54" s="245">
        <f t="shared" si="40"/>
        <v>9.957616458009951E-4</v>
      </c>
      <c r="R54" s="243">
        <f t="shared" si="28"/>
        <v>1.0000000000000004</v>
      </c>
      <c r="S54" s="250"/>
      <c r="T54" s="244">
        <f t="shared" si="41"/>
        <v>7.6290228925621423E-3</v>
      </c>
      <c r="U54" s="246">
        <f t="shared" si="18"/>
        <v>0.2036949112314092</v>
      </c>
      <c r="V54" s="246">
        <f t="shared" si="19"/>
        <v>5.9484328477684208E-8</v>
      </c>
      <c r="W54" s="246">
        <f t="shared" si="20"/>
        <v>1.6682922112902173E-4</v>
      </c>
      <c r="X54" s="246">
        <f t="shared" si="21"/>
        <v>2.9021814686857874E-5</v>
      </c>
      <c r="Y54" s="246">
        <f t="shared" si="22"/>
        <v>5.2019491707511221E-6</v>
      </c>
      <c r="Z54" s="246">
        <f t="shared" si="14"/>
        <v>0.20389602370072432</v>
      </c>
      <c r="AA54" s="247">
        <f t="shared" si="42"/>
        <v>4.7905430343528128E-2</v>
      </c>
      <c r="AB54" s="122"/>
      <c r="AC54" s="244">
        <f t="shared" si="23"/>
        <v>1.7374088100208674E-2</v>
      </c>
      <c r="AD54" s="245">
        <f t="shared" si="24"/>
        <v>0.42290707132500666</v>
      </c>
      <c r="AE54" s="245">
        <f t="shared" si="25"/>
        <v>2.5109832282614466</v>
      </c>
      <c r="AF54" s="245">
        <f t="shared" si="26"/>
        <v>0.15517753540107079</v>
      </c>
      <c r="AG54" s="245">
        <f t="shared" si="27"/>
        <v>4.5858897618150249E-2</v>
      </c>
      <c r="AH54" s="245">
        <f t="shared" si="16"/>
        <v>3.1523008207058831</v>
      </c>
      <c r="AI54" s="247">
        <f t="shared" si="43"/>
        <v>0.74063399887496573</v>
      </c>
    </row>
    <row r="55" spans="1:35">
      <c r="A55" s="122"/>
      <c r="B55" s="241">
        <v>51</v>
      </c>
      <c r="C55" s="248">
        <f>'Other parameters'!$D$25</f>
        <v>7.5960000000000003E-3</v>
      </c>
      <c r="D55" s="242">
        <f>'Other parameters'!$G$25</f>
        <v>26.7</v>
      </c>
      <c r="E55" s="234">
        <v>0</v>
      </c>
      <c r="F55" s="248">
        <f t="shared" si="30"/>
        <v>7.144786073144645E-3</v>
      </c>
      <c r="G55" s="248">
        <f t="shared" si="31"/>
        <v>8.0000000000000016E-2</v>
      </c>
      <c r="H55" s="249">
        <f t="shared" si="32"/>
        <v>0.22810707978975397</v>
      </c>
      <c r="I55" s="122"/>
      <c r="J55" s="244">
        <f t="shared" si="33"/>
        <v>0.99321869856548128</v>
      </c>
      <c r="K55" s="245">
        <f t="shared" si="34"/>
        <v>0</v>
      </c>
      <c r="L55" s="245">
        <f t="shared" si="35"/>
        <v>1.4609674519169042E-3</v>
      </c>
      <c r="M55" s="245">
        <f t="shared" si="36"/>
        <v>1.0491599143879502E-5</v>
      </c>
      <c r="N55" s="245">
        <f t="shared" si="37"/>
        <v>4.0454950074598692E-3</v>
      </c>
      <c r="O55" s="245">
        <f t="shared" si="38"/>
        <v>1.6154182024705649E-4</v>
      </c>
      <c r="P55" s="245">
        <f t="shared" si="39"/>
        <v>7.413370589600734E-5</v>
      </c>
      <c r="Q55" s="245">
        <f t="shared" si="40"/>
        <v>1.0286718498553776E-3</v>
      </c>
      <c r="R55" s="243">
        <f t="shared" si="28"/>
        <v>1.0000000000000004</v>
      </c>
      <c r="S55" s="250"/>
      <c r="T55" s="244">
        <f t="shared" si="41"/>
        <v>7.6289102040543828E-3</v>
      </c>
      <c r="U55" s="246">
        <f t="shared" si="18"/>
        <v>0.20369190244825203</v>
      </c>
      <c r="V55" s="246">
        <f t="shared" si="19"/>
        <v>5.3521527687407218E-8</v>
      </c>
      <c r="W55" s="246">
        <f t="shared" si="20"/>
        <v>1.6586529530585465E-4</v>
      </c>
      <c r="X55" s="246">
        <f t="shared" si="21"/>
        <v>2.891598582422311E-5</v>
      </c>
      <c r="Y55" s="246">
        <f t="shared" si="22"/>
        <v>5.1893594127205146E-6</v>
      </c>
      <c r="Z55" s="246">
        <f t="shared" si="14"/>
        <v>0.20389192661032249</v>
      </c>
      <c r="AA55" s="247">
        <f t="shared" si="42"/>
        <v>4.6509191971787496E-2</v>
      </c>
      <c r="AB55" s="122"/>
      <c r="AC55" s="244">
        <f t="shared" si="23"/>
        <v>1.5632482724380458E-2</v>
      </c>
      <c r="AD55" s="245">
        <f t="shared" si="24"/>
        <v>0.42075862615206838</v>
      </c>
      <c r="AE55" s="245">
        <f t="shared" si="25"/>
        <v>2.4964749691034855</v>
      </c>
      <c r="AF55" s="245">
        <f t="shared" si="26"/>
        <v>0.15461167615845778</v>
      </c>
      <c r="AG55" s="245">
        <f t="shared" si="27"/>
        <v>4.5747909908426129E-2</v>
      </c>
      <c r="AH55" s="245">
        <f t="shared" si="16"/>
        <v>3.1332256640468179</v>
      </c>
      <c r="AI55" s="247">
        <f t="shared" si="43"/>
        <v>0.71471095654803241</v>
      </c>
    </row>
    <row r="56" spans="1:35">
      <c r="A56" s="122"/>
      <c r="B56" s="241">
        <v>52</v>
      </c>
      <c r="C56" s="248">
        <f>'Other parameters'!$D$25</f>
        <v>7.5960000000000003E-3</v>
      </c>
      <c r="D56" s="242">
        <f>'Other parameters'!$G$25</f>
        <v>26.7</v>
      </c>
      <c r="E56" s="234">
        <v>0</v>
      </c>
      <c r="F56" s="248">
        <f t="shared" si="30"/>
        <v>6.4648697828434826E-3</v>
      </c>
      <c r="G56" s="248">
        <f t="shared" si="31"/>
        <v>8.0000000000000016E-2</v>
      </c>
      <c r="H56" s="249">
        <f t="shared" si="32"/>
        <v>0.22146318426189707</v>
      </c>
      <c r="I56" s="122"/>
      <c r="J56" s="244">
        <f t="shared" si="33"/>
        <v>0.99321869856548128</v>
      </c>
      <c r="K56" s="245">
        <f t="shared" si="34"/>
        <v>0</v>
      </c>
      <c r="L56" s="245">
        <f t="shared" si="35"/>
        <v>1.4542503033606975E-3</v>
      </c>
      <c r="M56" s="245">
        <f t="shared" si="36"/>
        <v>9.4449643336154324E-6</v>
      </c>
      <c r="N56" s="245">
        <f t="shared" si="37"/>
        <v>4.0213550357575453E-3</v>
      </c>
      <c r="O56" s="245">
        <f t="shared" si="38"/>
        <v>1.6088317194563125E-4</v>
      </c>
      <c r="P56" s="245">
        <f t="shared" si="39"/>
        <v>7.3913220867834081E-5</v>
      </c>
      <c r="Q56" s="245">
        <f t="shared" si="40"/>
        <v>1.0614547382537705E-3</v>
      </c>
      <c r="R56" s="243">
        <f t="shared" si="28"/>
        <v>1.0000000000000002</v>
      </c>
      <c r="S56" s="250"/>
      <c r="T56" s="244">
        <f t="shared" si="41"/>
        <v>7.6287828883983928E-3</v>
      </c>
      <c r="U56" s="246">
        <f t="shared" si="18"/>
        <v>0.20368850312023709</v>
      </c>
      <c r="V56" s="246">
        <f t="shared" si="19"/>
        <v>4.8182256408745036E-8</v>
      </c>
      <c r="W56" s="246">
        <f t="shared" si="20"/>
        <v>1.6487555646605936E-4</v>
      </c>
      <c r="X56" s="246">
        <f t="shared" si="21"/>
        <v>2.8798087778267993E-5</v>
      </c>
      <c r="Y56" s="246">
        <f t="shared" si="22"/>
        <v>5.173925460748386E-6</v>
      </c>
      <c r="Z56" s="246">
        <f t="shared" si="14"/>
        <v>0.20388739887219859</v>
      </c>
      <c r="AA56" s="247">
        <f t="shared" si="42"/>
        <v>4.5153552585112618E-2</v>
      </c>
      <c r="AB56" s="122"/>
      <c r="AC56" s="244">
        <f t="shared" si="23"/>
        <v>1.4072996857086994E-2</v>
      </c>
      <c r="AD56" s="245">
        <f t="shared" si="24"/>
        <v>0.4188240873678809</v>
      </c>
      <c r="AE56" s="245">
        <f t="shared" si="25"/>
        <v>2.4815781925659812</v>
      </c>
      <c r="AF56" s="245">
        <f t="shared" si="26"/>
        <v>0.15398128386916368</v>
      </c>
      <c r="AG56" s="245">
        <f t="shared" si="27"/>
        <v>4.5611848597540416E-2</v>
      </c>
      <c r="AH56" s="245">
        <f t="shared" si="16"/>
        <v>3.1140684092576532</v>
      </c>
      <c r="AI56" s="247">
        <f t="shared" si="43"/>
        <v>0.68965150592358038</v>
      </c>
    </row>
    <row r="57" spans="1:35">
      <c r="A57" s="122"/>
      <c r="B57" s="241">
        <v>53</v>
      </c>
      <c r="C57" s="248">
        <f>'Other parameters'!$D$25</f>
        <v>7.5960000000000003E-3</v>
      </c>
      <c r="D57" s="242">
        <f>'Other parameters'!$G$25</f>
        <v>26.7</v>
      </c>
      <c r="E57" s="234">
        <v>0</v>
      </c>
      <c r="F57" s="248">
        <f t="shared" si="30"/>
        <v>5.8496560822467909E-3</v>
      </c>
      <c r="G57" s="248">
        <f t="shared" si="31"/>
        <v>8.0000000000000016E-2</v>
      </c>
      <c r="H57" s="249">
        <f t="shared" si="32"/>
        <v>0.215012800254269</v>
      </c>
      <c r="I57" s="122"/>
      <c r="J57" s="244">
        <f t="shared" si="33"/>
        <v>0.99321869856548128</v>
      </c>
      <c r="K57" s="245">
        <f t="shared" si="34"/>
        <v>0</v>
      </c>
      <c r="L57" s="245">
        <f t="shared" si="35"/>
        <v>1.4481991299552745E-3</v>
      </c>
      <c r="M57" s="245">
        <f t="shared" si="36"/>
        <v>8.506864132163145E-6</v>
      </c>
      <c r="N57" s="245">
        <f t="shared" si="37"/>
        <v>3.9966750319175301E-3</v>
      </c>
      <c r="O57" s="245">
        <f t="shared" si="38"/>
        <v>1.6016586905635952E-4</v>
      </c>
      <c r="P57" s="245">
        <f t="shared" si="39"/>
        <v>7.3656997539191523E-5</v>
      </c>
      <c r="Q57" s="245">
        <f t="shared" si="40"/>
        <v>1.0940975419185749E-3</v>
      </c>
      <c r="R57" s="243">
        <f t="shared" si="28"/>
        <v>1.0000000000000002</v>
      </c>
      <c r="S57" s="250"/>
      <c r="T57" s="244">
        <f t="shared" si="41"/>
        <v>7.6286428036648046E-3</v>
      </c>
      <c r="U57" s="246">
        <f t="shared" si="18"/>
        <v>0.20368476285785028</v>
      </c>
      <c r="V57" s="246">
        <f t="shared" si="19"/>
        <v>4.3396660312569252E-8</v>
      </c>
      <c r="W57" s="246">
        <f t="shared" si="20"/>
        <v>1.6386367630861874E-4</v>
      </c>
      <c r="X57" s="246">
        <f t="shared" si="21"/>
        <v>2.8669690561088353E-5</v>
      </c>
      <c r="Y57" s="246">
        <f t="shared" si="22"/>
        <v>5.1559898277434068E-6</v>
      </c>
      <c r="Z57" s="246">
        <f t="shared" si="14"/>
        <v>0.20388249561120805</v>
      </c>
      <c r="AA57" s="247">
        <f t="shared" si="42"/>
        <v>4.3837346304194551E-2</v>
      </c>
      <c r="AB57" s="122"/>
      <c r="AC57" s="244">
        <f t="shared" si="23"/>
        <v>1.2675227556923086E-2</v>
      </c>
      <c r="AD57" s="245">
        <f t="shared" si="24"/>
        <v>0.41708134942711905</v>
      </c>
      <c r="AE57" s="245">
        <f t="shared" si="25"/>
        <v>2.4663481621963079</v>
      </c>
      <c r="AF57" s="245">
        <f t="shared" si="26"/>
        <v>0.15329475327384171</v>
      </c>
      <c r="AG57" s="245">
        <f t="shared" si="27"/>
        <v>4.5453733181435092E-2</v>
      </c>
      <c r="AH57" s="245">
        <f t="shared" si="16"/>
        <v>3.0948532256356271</v>
      </c>
      <c r="AI57" s="247">
        <f t="shared" si="43"/>
        <v>0.66543305841987321</v>
      </c>
    </row>
    <row r="58" spans="1:35">
      <c r="A58" s="122"/>
      <c r="B58" s="241">
        <v>54</v>
      </c>
      <c r="C58" s="248">
        <f>'Other parameters'!$D$25</f>
        <v>7.5960000000000003E-3</v>
      </c>
      <c r="D58" s="242">
        <f>'Other parameters'!$G$25</f>
        <v>26.7</v>
      </c>
      <c r="E58" s="234">
        <v>0</v>
      </c>
      <c r="F58" s="248">
        <f t="shared" si="30"/>
        <v>5.2929877058585347E-3</v>
      </c>
      <c r="G58" s="248">
        <f t="shared" si="31"/>
        <v>8.0000000000000016E-2</v>
      </c>
      <c r="H58" s="249">
        <f t="shared" si="32"/>
        <v>0.20875029150899907</v>
      </c>
      <c r="I58" s="122"/>
      <c r="J58" s="244">
        <f t="shared" si="33"/>
        <v>0.99321869856548128</v>
      </c>
      <c r="K58" s="245">
        <f t="shared" si="34"/>
        <v>0</v>
      </c>
      <c r="L58" s="245">
        <f t="shared" si="35"/>
        <v>1.4427456144391487E-3</v>
      </c>
      <c r="M58" s="245">
        <f t="shared" si="36"/>
        <v>7.6653001904882935E-6</v>
      </c>
      <c r="N58" s="245">
        <f t="shared" si="37"/>
        <v>3.9715344044394122E-3</v>
      </c>
      <c r="O58" s="245">
        <f t="shared" si="38"/>
        <v>1.5939760303605645E-4</v>
      </c>
      <c r="P58" s="245">
        <f t="shared" si="39"/>
        <v>7.3369380991679945E-5</v>
      </c>
      <c r="Q58" s="245">
        <f t="shared" si="40"/>
        <v>1.126589131422308E-3</v>
      </c>
      <c r="R58" s="243">
        <f t="shared" si="28"/>
        <v>1.0000000000000004</v>
      </c>
      <c r="S58" s="250"/>
      <c r="T58" s="244">
        <f t="shared" si="41"/>
        <v>7.6284915895037334E-3</v>
      </c>
      <c r="U58" s="246">
        <f t="shared" si="18"/>
        <v>0.20368072543974969</v>
      </c>
      <c r="V58" s="246">
        <f t="shared" si="19"/>
        <v>3.9103531382710149E-8</v>
      </c>
      <c r="W58" s="246">
        <f t="shared" si="20"/>
        <v>1.6283291058201589E-4</v>
      </c>
      <c r="X58" s="246">
        <f t="shared" si="21"/>
        <v>2.8532170943454105E-5</v>
      </c>
      <c r="Y58" s="246">
        <f t="shared" si="22"/>
        <v>5.1358566694175962E-6</v>
      </c>
      <c r="Z58" s="246">
        <f t="shared" si="14"/>
        <v>0.20387726548147597</v>
      </c>
      <c r="AA58" s="247">
        <f t="shared" si="42"/>
        <v>4.2559438601315704E-2</v>
      </c>
      <c r="AB58" s="122"/>
      <c r="AC58" s="244">
        <f t="shared" si="23"/>
        <v>1.1421297283827557E-2</v>
      </c>
      <c r="AD58" s="245">
        <f t="shared" si="24"/>
        <v>0.41551073695847485</v>
      </c>
      <c r="AE58" s="245">
        <f t="shared" si="25"/>
        <v>2.4508338809795611</v>
      </c>
      <c r="AF58" s="245">
        <f t="shared" si="26"/>
        <v>0.15255944586580963</v>
      </c>
      <c r="AG58" s="245">
        <f t="shared" si="27"/>
        <v>4.5276245009965695E-2</v>
      </c>
      <c r="AH58" s="245">
        <f t="shared" si="16"/>
        <v>3.075601606097639</v>
      </c>
      <c r="AI58" s="247">
        <f t="shared" si="43"/>
        <v>0.64203273183842791</v>
      </c>
    </row>
    <row r="59" spans="1:35">
      <c r="A59" s="122"/>
      <c r="B59" s="241">
        <v>55</v>
      </c>
      <c r="C59" s="248">
        <f>'Other parameters'!$D$26</f>
        <v>9.7777999999999997E-3</v>
      </c>
      <c r="D59" s="242">
        <f>'Other parameters'!$G$26</f>
        <v>22.7</v>
      </c>
      <c r="E59" s="234">
        <v>0</v>
      </c>
      <c r="F59" s="248">
        <f t="shared" si="30"/>
        <v>4.7892933294651132E-3</v>
      </c>
      <c r="G59" s="248">
        <f t="shared" si="31"/>
        <v>8.0000000000000016E-2</v>
      </c>
      <c r="H59" s="249">
        <f t="shared" si="32"/>
        <v>0.20267018593106703</v>
      </c>
      <c r="I59" s="122"/>
      <c r="J59" s="244">
        <f t="shared" si="33"/>
        <v>0.99321869856548128</v>
      </c>
      <c r="K59" s="245">
        <f t="shared" si="34"/>
        <v>0</v>
      </c>
      <c r="L59" s="245">
        <f t="shared" si="35"/>
        <v>1.4378288605413272E-3</v>
      </c>
      <c r="M59" s="245">
        <f t="shared" si="36"/>
        <v>6.9097319473484609E-6</v>
      </c>
      <c r="N59" s="245">
        <f t="shared" si="37"/>
        <v>3.946003662541408E-3</v>
      </c>
      <c r="O59" s="245">
        <f t="shared" si="38"/>
        <v>1.585851256954951E-4</v>
      </c>
      <c r="P59" s="245">
        <f t="shared" si="39"/>
        <v>7.305422936227865E-5</v>
      </c>
      <c r="Q59" s="245">
        <f t="shared" si="40"/>
        <v>1.1589198244312353E-3</v>
      </c>
      <c r="R59" s="243">
        <f t="shared" si="28"/>
        <v>1.0000000000000004</v>
      </c>
      <c r="S59" s="250"/>
      <c r="T59" s="244">
        <f t="shared" si="41"/>
        <v>9.8101306930089265E-3</v>
      </c>
      <c r="U59" s="246">
        <f t="shared" si="18"/>
        <v>0.22268996673130262</v>
      </c>
      <c r="V59" s="246">
        <f t="shared" si="19"/>
        <v>3.52490983177064E-8</v>
      </c>
      <c r="W59" s="246">
        <f t="shared" si="20"/>
        <v>1.6178615016419773E-4</v>
      </c>
      <c r="X59" s="246">
        <f t="shared" si="21"/>
        <v>2.838673749949362E-5</v>
      </c>
      <c r="Y59" s="246">
        <f t="shared" si="22"/>
        <v>5.113796055359506E-6</v>
      </c>
      <c r="Z59" s="246">
        <f t="shared" si="14"/>
        <v>0.22288528866412</v>
      </c>
      <c r="AA59" s="247">
        <f t="shared" si="42"/>
        <v>4.5172202894856746E-2</v>
      </c>
      <c r="AB59" s="122"/>
      <c r="AC59" s="244">
        <f t="shared" si="23"/>
        <v>1.0295500601549207E-2</v>
      </c>
      <c r="AD59" s="245">
        <f t="shared" si="24"/>
        <v>0.41409471183590224</v>
      </c>
      <c r="AE59" s="245">
        <f t="shared" si="25"/>
        <v>2.4350788601543032</v>
      </c>
      <c r="AF59" s="245">
        <f t="shared" si="26"/>
        <v>0.15178182380315836</v>
      </c>
      <c r="AG59" s="245">
        <f t="shared" si="27"/>
        <v>4.5081764939462157E-2</v>
      </c>
      <c r="AH59" s="245">
        <f t="shared" si="16"/>
        <v>3.0563326613343751</v>
      </c>
      <c r="AI59" s="247">
        <f t="shared" si="43"/>
        <v>0.61942750873983077</v>
      </c>
    </row>
    <row r="60" spans="1:35">
      <c r="A60" s="122"/>
      <c r="B60" s="241">
        <v>56</v>
      </c>
      <c r="C60" s="248">
        <f>'Other parameters'!$D$26</f>
        <v>9.7777999999999997E-3</v>
      </c>
      <c r="D60" s="242">
        <f>'Other parameters'!$G$26</f>
        <v>22.7</v>
      </c>
      <c r="E60" s="234">
        <v>0</v>
      </c>
      <c r="F60" s="248">
        <f t="shared" si="30"/>
        <v>4.3335318104500576E-3</v>
      </c>
      <c r="G60" s="248">
        <f t="shared" si="31"/>
        <v>8.0000000000000016E-2</v>
      </c>
      <c r="H60" s="249">
        <f t="shared" si="32"/>
        <v>0.19676717080686118</v>
      </c>
      <c r="I60" s="122"/>
      <c r="J60" s="244">
        <f t="shared" si="33"/>
        <v>0.99321869856548128</v>
      </c>
      <c r="K60" s="245">
        <f t="shared" si="34"/>
        <v>0</v>
      </c>
      <c r="L60" s="245">
        <f t="shared" si="35"/>
        <v>1.4333945137424988E-3</v>
      </c>
      <c r="M60" s="245">
        <f t="shared" si="36"/>
        <v>6.2308771051390008E-6</v>
      </c>
      <c r="N60" s="245">
        <f t="shared" si="37"/>
        <v>3.9201454887449758E-3</v>
      </c>
      <c r="O60" s="245">
        <f t="shared" si="38"/>
        <v>1.5773437042699017E-4</v>
      </c>
      <c r="P60" s="245">
        <f t="shared" si="39"/>
        <v>7.2714968413868826E-5</v>
      </c>
      <c r="Q60" s="245">
        <f t="shared" si="40"/>
        <v>1.1910812160856198E-3</v>
      </c>
      <c r="R60" s="243">
        <f t="shared" si="28"/>
        <v>1.0000000000000004</v>
      </c>
      <c r="S60" s="250"/>
      <c r="T60" s="244">
        <f t="shared" si="41"/>
        <v>9.8099613916543833E-3</v>
      </c>
      <c r="U60" s="246">
        <f t="shared" si="18"/>
        <v>0.22268612359055448</v>
      </c>
      <c r="V60" s="246">
        <f t="shared" si="19"/>
        <v>3.1786008684298139E-8</v>
      </c>
      <c r="W60" s="246">
        <f t="shared" si="20"/>
        <v>1.6072596503854402E-4</v>
      </c>
      <c r="X60" s="246">
        <f t="shared" si="21"/>
        <v>2.8234452306431239E-5</v>
      </c>
      <c r="Y60" s="246">
        <f t="shared" si="22"/>
        <v>5.090047788970818E-6</v>
      </c>
      <c r="Z60" s="246">
        <f t="shared" si="14"/>
        <v>0.22288020584169713</v>
      </c>
      <c r="AA60" s="247">
        <f t="shared" si="42"/>
        <v>4.3855507532321598E-2</v>
      </c>
      <c r="AB60" s="122"/>
      <c r="AC60" s="244">
        <f t="shared" si="23"/>
        <v>9.2840068866571115E-3</v>
      </c>
      <c r="AD60" s="245">
        <f t="shared" si="24"/>
        <v>0.41281761995783967</v>
      </c>
      <c r="AE60" s="245">
        <f t="shared" si="25"/>
        <v>2.4191217811045247</v>
      </c>
      <c r="AF60" s="245">
        <f t="shared" si="26"/>
        <v>0.15096756593567229</v>
      </c>
      <c r="AG60" s="245">
        <f t="shared" si="27"/>
        <v>4.4872407008198452E-2</v>
      </c>
      <c r="AH60" s="245">
        <f t="shared" si="16"/>
        <v>3.0370633808928922</v>
      </c>
      <c r="AI60" s="247">
        <f t="shared" si="43"/>
        <v>0.59759436901941498</v>
      </c>
    </row>
    <row r="61" spans="1:35">
      <c r="A61" s="122"/>
      <c r="B61" s="241">
        <v>57</v>
      </c>
      <c r="C61" s="248">
        <f>'Other parameters'!$D$26</f>
        <v>9.7777999999999997E-3</v>
      </c>
      <c r="D61" s="242">
        <f>'Other parameters'!$G$26</f>
        <v>22.7</v>
      </c>
      <c r="E61" s="234">
        <v>0</v>
      </c>
      <c r="F61" s="248">
        <f t="shared" ref="F61:F92" si="44">IF(B61&lt;rf2age,0,(pA2_1a*EXP(-0.1*(B61-$B$28))))</f>
        <v>3.9211417343443262E-3</v>
      </c>
      <c r="G61" s="248">
        <f t="shared" si="31"/>
        <v>8.0000000000000016E-2</v>
      </c>
      <c r="H61" s="249">
        <f t="shared" si="32"/>
        <v>0.19103608816200118</v>
      </c>
      <c r="I61" s="122"/>
      <c r="J61" s="244">
        <f t="shared" si="33"/>
        <v>0.99321869856548128</v>
      </c>
      <c r="K61" s="245">
        <f t="shared" si="34"/>
        <v>0</v>
      </c>
      <c r="L61" s="245">
        <f t="shared" si="35"/>
        <v>1.4293939987402189E-3</v>
      </c>
      <c r="M61" s="245">
        <f t="shared" si="36"/>
        <v>5.6205430496159035E-6</v>
      </c>
      <c r="N61" s="245">
        <f t="shared" si="37"/>
        <v>3.8940156656708347E-3</v>
      </c>
      <c r="O61" s="245">
        <f t="shared" si="38"/>
        <v>1.568505571857844E-4</v>
      </c>
      <c r="P61" s="245">
        <f t="shared" si="39"/>
        <v>7.2354640216426035E-5</v>
      </c>
      <c r="Q61" s="245">
        <f t="shared" si="40"/>
        <v>1.2230660296562125E-3</v>
      </c>
      <c r="R61" s="243">
        <f t="shared" si="28"/>
        <v>1.0000000000000004</v>
      </c>
      <c r="S61" s="250"/>
      <c r="T61" s="244">
        <f t="shared" si="41"/>
        <v>9.8097848135705931E-3</v>
      </c>
      <c r="U61" s="246">
        <f t="shared" si="18"/>
        <v>0.22268211526805246</v>
      </c>
      <c r="V61" s="246">
        <f t="shared" si="19"/>
        <v>2.8672468927081681E-8</v>
      </c>
      <c r="W61" s="246">
        <f t="shared" si="20"/>
        <v>1.5965464229250422E-4</v>
      </c>
      <c r="X61" s="246">
        <f t="shared" si="21"/>
        <v>2.8076249736255405E-5</v>
      </c>
      <c r="Y61" s="246">
        <f t="shared" si="22"/>
        <v>5.0648248151498233E-6</v>
      </c>
      <c r="Z61" s="246">
        <f t="shared" si="14"/>
        <v>0.2228749396573653</v>
      </c>
      <c r="AA61" s="247">
        <f t="shared" si="42"/>
        <v>4.2577156621485132E-2</v>
      </c>
      <c r="AB61" s="122"/>
      <c r="AC61" s="244">
        <f t="shared" si="23"/>
        <v>8.374609143927696E-3</v>
      </c>
      <c r="AD61" s="245">
        <f t="shared" si="24"/>
        <v>0.41166547163718303</v>
      </c>
      <c r="AE61" s="245">
        <f t="shared" si="25"/>
        <v>2.4029970672854724</v>
      </c>
      <c r="AF61" s="245">
        <f t="shared" si="26"/>
        <v>0.15012166828251425</v>
      </c>
      <c r="AG61" s="245">
        <f t="shared" si="27"/>
        <v>4.4650048477556506E-2</v>
      </c>
      <c r="AH61" s="245">
        <f t="shared" si="16"/>
        <v>3.0178088648266539</v>
      </c>
      <c r="AI61" s="247">
        <f t="shared" si="43"/>
        <v>0.57651040035709333</v>
      </c>
    </row>
    <row r="62" spans="1:35">
      <c r="A62" s="122"/>
      <c r="B62" s="241">
        <v>58</v>
      </c>
      <c r="C62" s="248">
        <f>'Other parameters'!$D$26</f>
        <v>9.7777999999999997E-3</v>
      </c>
      <c r="D62" s="242">
        <f>'Other parameters'!$G$26</f>
        <v>22.7</v>
      </c>
      <c r="E62" s="234">
        <v>0</v>
      </c>
      <c r="F62" s="248">
        <f t="shared" si="44"/>
        <v>3.5479957626571644E-3</v>
      </c>
      <c r="G62" s="248">
        <f t="shared" si="31"/>
        <v>8.0000000000000016E-2</v>
      </c>
      <c r="H62" s="249">
        <f t="shared" si="32"/>
        <v>0.18547193025437006</v>
      </c>
      <c r="I62" s="122"/>
      <c r="J62" s="244">
        <f t="shared" si="33"/>
        <v>0.99321869856548128</v>
      </c>
      <c r="K62" s="245">
        <f t="shared" si="34"/>
        <v>0</v>
      </c>
      <c r="L62" s="245">
        <f t="shared" si="35"/>
        <v>1.4257838560824212E-3</v>
      </c>
      <c r="M62" s="245">
        <f t="shared" si="36"/>
        <v>5.0714838506978774E-6</v>
      </c>
      <c r="N62" s="245">
        <f t="shared" si="37"/>
        <v>3.8676638796341783E-3</v>
      </c>
      <c r="O62" s="245">
        <f t="shared" si="38"/>
        <v>1.5593828338603116E-4</v>
      </c>
      <c r="P62" s="245">
        <f t="shared" si="39"/>
        <v>7.1975946484192915E-5</v>
      </c>
      <c r="Q62" s="245">
        <f t="shared" si="40"/>
        <v>1.254867985081571E-3</v>
      </c>
      <c r="R62" s="243">
        <f t="shared" si="28"/>
        <v>1.0000000000000004</v>
      </c>
      <c r="S62" s="250"/>
      <c r="T62" s="244">
        <f t="shared" si="41"/>
        <v>9.809601955425358E-3</v>
      </c>
      <c r="U62" s="246">
        <f t="shared" si="18"/>
        <v>0.22267796438815562</v>
      </c>
      <c r="V62" s="246">
        <f t="shared" si="19"/>
        <v>2.587151487671082E-8</v>
      </c>
      <c r="W62" s="246">
        <f t="shared" si="20"/>
        <v>1.5857421906500133E-4</v>
      </c>
      <c r="X62" s="246">
        <f t="shared" si="21"/>
        <v>2.7912952726099577E-5</v>
      </c>
      <c r="Y62" s="246">
        <f t="shared" si="22"/>
        <v>5.0383162538935047E-6</v>
      </c>
      <c r="Z62" s="246">
        <f t="shared" si="14"/>
        <v>0.22286951574771552</v>
      </c>
      <c r="AA62" s="247">
        <f t="shared" si="42"/>
        <v>4.1336039280585525E-2</v>
      </c>
      <c r="AB62" s="122"/>
      <c r="AC62" s="244">
        <f t="shared" si="23"/>
        <v>7.5565109375398372E-3</v>
      </c>
      <c r="AD62" s="245">
        <f t="shared" si="24"/>
        <v>0.41062575055173733</v>
      </c>
      <c r="AE62" s="245">
        <f t="shared" si="25"/>
        <v>2.3867353801222517</v>
      </c>
      <c r="AF62" s="245">
        <f t="shared" si="26"/>
        <v>0.14924853102877042</v>
      </c>
      <c r="AG62" s="245">
        <f t="shared" si="27"/>
        <v>4.4416356575395451E-2</v>
      </c>
      <c r="AH62" s="245">
        <f t="shared" si="16"/>
        <v>2.9985825292156947</v>
      </c>
      <c r="AI62" s="247">
        <f t="shared" si="43"/>
        <v>0.5561528897206659</v>
      </c>
    </row>
    <row r="63" spans="1:35">
      <c r="A63" s="122"/>
      <c r="B63" s="241">
        <v>59</v>
      </c>
      <c r="C63" s="248">
        <f>'Other parameters'!$D$26</f>
        <v>9.7777999999999997E-3</v>
      </c>
      <c r="D63" s="242">
        <f>'Other parameters'!$G$26</f>
        <v>22.7</v>
      </c>
      <c r="E63" s="234">
        <v>0</v>
      </c>
      <c r="F63" s="248">
        <f t="shared" si="44"/>
        <v>3.2103593250852355E-3</v>
      </c>
      <c r="G63" s="248">
        <f t="shared" si="31"/>
        <v>8.0000000000000016E-2</v>
      </c>
      <c r="H63" s="249">
        <f t="shared" si="32"/>
        <v>0.18006983519841754</v>
      </c>
      <c r="I63" s="122"/>
      <c r="J63" s="244">
        <f t="shared" si="33"/>
        <v>0.99321869856548128</v>
      </c>
      <c r="K63" s="245">
        <f t="shared" si="34"/>
        <v>0</v>
      </c>
      <c r="L63" s="245">
        <f t="shared" si="35"/>
        <v>1.4225251633856724E-3</v>
      </c>
      <c r="M63" s="245">
        <f t="shared" si="36"/>
        <v>4.5772784979301866E-6</v>
      </c>
      <c r="N63" s="245">
        <f t="shared" si="37"/>
        <v>3.841134419689393E-3</v>
      </c>
      <c r="O63" s="245">
        <f t="shared" si="38"/>
        <v>1.5500160261042796E-4</v>
      </c>
      <c r="P63" s="245">
        <f t="shared" si="39"/>
        <v>7.1581287090969763E-5</v>
      </c>
      <c r="Q63" s="245">
        <f t="shared" si="40"/>
        <v>1.286481683244699E-3</v>
      </c>
      <c r="R63" s="243">
        <f t="shared" si="28"/>
        <v>1.0000000000000002</v>
      </c>
      <c r="S63" s="250"/>
      <c r="T63" s="244">
        <f t="shared" si="41"/>
        <v>9.8094136981631275E-3</v>
      </c>
      <c r="U63" s="246">
        <f t="shared" si="18"/>
        <v>0.222673690948303</v>
      </c>
      <c r="V63" s="246">
        <f t="shared" si="19"/>
        <v>2.3350390583961669E-8</v>
      </c>
      <c r="W63" s="246">
        <f t="shared" si="20"/>
        <v>1.5748651120726511E-4</v>
      </c>
      <c r="X63" s="246">
        <f t="shared" si="21"/>
        <v>2.7745286867266605E-5</v>
      </c>
      <c r="Y63" s="246">
        <f t="shared" si="22"/>
        <v>5.010690096367884E-6</v>
      </c>
      <c r="Z63" s="246">
        <f t="shared" si="14"/>
        <v>0.22286395678686449</v>
      </c>
      <c r="AA63" s="247">
        <f t="shared" si="42"/>
        <v>4.0131075970277937E-2</v>
      </c>
      <c r="AB63" s="122"/>
      <c r="AC63" s="244">
        <f t="shared" si="23"/>
        <v>6.8201449619159776E-3</v>
      </c>
      <c r="AD63" s="245">
        <f t="shared" si="24"/>
        <v>0.40968724705507364</v>
      </c>
      <c r="AE63" s="245">
        <f t="shared" si="25"/>
        <v>2.3703640503903247</v>
      </c>
      <c r="AF63" s="245">
        <f t="shared" si="26"/>
        <v>0.14835203385844062</v>
      </c>
      <c r="AG63" s="245">
        <f t="shared" si="27"/>
        <v>4.4172812263837444E-2</v>
      </c>
      <c r="AH63" s="245">
        <f t="shared" si="16"/>
        <v>2.9793962885295926</v>
      </c>
      <c r="AI63" s="247">
        <f t="shared" si="43"/>
        <v>0.53649939866630059</v>
      </c>
    </row>
    <row r="64" spans="1:35">
      <c r="A64" s="122"/>
      <c r="B64" s="241">
        <v>60</v>
      </c>
      <c r="C64" s="248">
        <f>'Other parameters'!$D$27</f>
        <v>1.46842E-2</v>
      </c>
      <c r="D64" s="242">
        <f>'Other parameters'!$G$27</f>
        <v>18.7</v>
      </c>
      <c r="E64" s="234">
        <v>0</v>
      </c>
      <c r="F64" s="248">
        <f t="shared" si="44"/>
        <v>2.90485324267779E-3</v>
      </c>
      <c r="G64" s="248">
        <f t="shared" si="31"/>
        <v>8.0000000000000016E-2</v>
      </c>
      <c r="H64" s="249">
        <f t="shared" si="32"/>
        <v>0.17482508271691022</v>
      </c>
      <c r="I64" s="122"/>
      <c r="J64" s="244">
        <f t="shared" si="33"/>
        <v>0.99321869856548128</v>
      </c>
      <c r="K64" s="245">
        <f t="shared" si="34"/>
        <v>0</v>
      </c>
      <c r="L64" s="245">
        <f t="shared" si="35"/>
        <v>1.4195830289614828E-3</v>
      </c>
      <c r="M64" s="245">
        <f t="shared" si="36"/>
        <v>4.1322268336516235E-6</v>
      </c>
      <c r="N64" s="245">
        <f t="shared" si="37"/>
        <v>3.8144667875913999E-3</v>
      </c>
      <c r="O64" s="245">
        <f t="shared" si="38"/>
        <v>1.5404409279288326E-4</v>
      </c>
      <c r="P64" s="245">
        <f t="shared" si="39"/>
        <v>7.1172794254521977E-5</v>
      </c>
      <c r="Q64" s="245">
        <f t="shared" si="40"/>
        <v>1.3179025040851531E-3</v>
      </c>
      <c r="R64" s="243">
        <f t="shared" si="28"/>
        <v>1.0000000000000004</v>
      </c>
      <c r="S64" s="250"/>
      <c r="T64" s="244">
        <f t="shared" si="41"/>
        <v>1.4715620820840453E-2</v>
      </c>
      <c r="U64" s="246">
        <f t="shared" si="18"/>
        <v>0.27518210934971649</v>
      </c>
      <c r="V64" s="246">
        <f t="shared" si="19"/>
        <v>2.1080017436326914E-8</v>
      </c>
      <c r="W64" s="246">
        <f t="shared" si="20"/>
        <v>1.5639313829124741E-4</v>
      </c>
      <c r="X64" s="246">
        <f t="shared" si="21"/>
        <v>2.7573892609926103E-5</v>
      </c>
      <c r="Y64" s="246">
        <f t="shared" si="22"/>
        <v>4.9820955978165391E-6</v>
      </c>
      <c r="Z64" s="246">
        <f t="shared" si="14"/>
        <v>0.27537107955623291</v>
      </c>
      <c r="AA64" s="247">
        <f t="shared" si="42"/>
        <v>4.8141771761263281E-2</v>
      </c>
      <c r="AB64" s="122"/>
      <c r="AC64" s="244">
        <f t="shared" si="23"/>
        <v>6.1570179821409188E-3</v>
      </c>
      <c r="AD64" s="245">
        <f t="shared" si="24"/>
        <v>0.40883991234090705</v>
      </c>
      <c r="AE64" s="245">
        <f t="shared" si="25"/>
        <v>2.3539074546226528</v>
      </c>
      <c r="AF64" s="245">
        <f t="shared" si="26"/>
        <v>0.14743560121206856</v>
      </c>
      <c r="AG64" s="245">
        <f t="shared" si="27"/>
        <v>4.3920731334465515E-2</v>
      </c>
      <c r="AH64" s="245">
        <f t="shared" si="16"/>
        <v>2.9602607174922348</v>
      </c>
      <c r="AI64" s="247">
        <f t="shared" si="43"/>
        <v>0.5175278247991999</v>
      </c>
    </row>
    <row r="65" spans="1:35">
      <c r="A65" s="122"/>
      <c r="B65" s="241">
        <v>61</v>
      </c>
      <c r="C65" s="248">
        <f>'Other parameters'!$D$27</f>
        <v>1.46842E-2</v>
      </c>
      <c r="D65" s="242">
        <f>'Other parameters'!$G$27</f>
        <v>18.7</v>
      </c>
      <c r="E65" s="234">
        <v>0</v>
      </c>
      <c r="F65" s="248">
        <f t="shared" si="44"/>
        <v>2.6284199078779559E-3</v>
      </c>
      <c r="G65" s="248">
        <f t="shared" si="31"/>
        <v>8.0000000000000016E-2</v>
      </c>
      <c r="H65" s="249">
        <f t="shared" si="32"/>
        <v>0.1697330900164177</v>
      </c>
      <c r="I65" s="122"/>
      <c r="J65" s="244">
        <f t="shared" si="33"/>
        <v>0.99321869856548128</v>
      </c>
      <c r="K65" s="245">
        <f t="shared" si="34"/>
        <v>0</v>
      </c>
      <c r="L65" s="245">
        <f t="shared" si="35"/>
        <v>1.4169261476440242E-3</v>
      </c>
      <c r="M65" s="245">
        <f t="shared" si="36"/>
        <v>3.7312602942080503E-6</v>
      </c>
      <c r="N65" s="245">
        <f t="shared" si="37"/>
        <v>3.787696231556302E-3</v>
      </c>
      <c r="O65" s="245">
        <f t="shared" si="38"/>
        <v>1.5306891531751942E-4</v>
      </c>
      <c r="P65" s="245">
        <f t="shared" si="39"/>
        <v>7.0752362845597443E-5</v>
      </c>
      <c r="Q65" s="245">
        <f t="shared" si="40"/>
        <v>1.3491265168614416E-3</v>
      </c>
      <c r="R65" s="243">
        <f t="shared" si="28"/>
        <v>1.0000000000000002</v>
      </c>
      <c r="S65" s="250"/>
      <c r="T65" s="244">
        <f t="shared" si="41"/>
        <v>1.4715424012776288E-2</v>
      </c>
      <c r="U65" s="246">
        <f t="shared" si="18"/>
        <v>0.27517842903891659</v>
      </c>
      <c r="V65" s="246">
        <f t="shared" si="19"/>
        <v>1.9034538815932577E-8</v>
      </c>
      <c r="W65" s="246">
        <f t="shared" si="20"/>
        <v>1.5529554549380839E-4</v>
      </c>
      <c r="X65" s="246">
        <f t="shared" si="21"/>
        <v>2.7399335841835973E-5</v>
      </c>
      <c r="Y65" s="246">
        <f t="shared" si="22"/>
        <v>4.9526653991918212E-6</v>
      </c>
      <c r="Z65" s="246">
        <f t="shared" si="14"/>
        <v>0.27536609562019027</v>
      </c>
      <c r="AA65" s="247">
        <f t="shared" si="42"/>
        <v>4.6738738295371236E-2</v>
      </c>
      <c r="AB65" s="122"/>
      <c r="AC65" s="244">
        <f t="shared" si="23"/>
        <v>5.5595778383699945E-3</v>
      </c>
      <c r="AD65" s="245">
        <f t="shared" si="24"/>
        <v>0.40807473052147897</v>
      </c>
      <c r="AE65" s="245">
        <f t="shared" si="25"/>
        <v>2.3373873444933939</v>
      </c>
      <c r="AF65" s="245">
        <f t="shared" si="26"/>
        <v>0.14650225885039783</v>
      </c>
      <c r="AG65" s="245">
        <f t="shared" si="27"/>
        <v>4.3661283112018182E-2</v>
      </c>
      <c r="AH65" s="245">
        <f t="shared" si="16"/>
        <v>2.9411851948156587</v>
      </c>
      <c r="AI65" s="247">
        <f t="shared" si="43"/>
        <v>0.4992164514266012</v>
      </c>
    </row>
    <row r="66" spans="1:35">
      <c r="A66" s="122"/>
      <c r="B66" s="241">
        <v>62</v>
      </c>
      <c r="C66" s="248">
        <f>'Other parameters'!$D$27</f>
        <v>1.46842E-2</v>
      </c>
      <c r="D66" s="242">
        <f>'Other parameters'!$G$27</f>
        <v>18.7</v>
      </c>
      <c r="E66" s="234">
        <v>0</v>
      </c>
      <c r="F66" s="248">
        <f t="shared" si="44"/>
        <v>2.3782926829586043E-3</v>
      </c>
      <c r="G66" s="248">
        <f t="shared" si="31"/>
        <v>8.0000000000000016E-2</v>
      </c>
      <c r="H66" s="249">
        <f t="shared" si="32"/>
        <v>0.16478940778292983</v>
      </c>
      <c r="I66" s="122"/>
      <c r="J66" s="244">
        <f t="shared" si="33"/>
        <v>0.99321869856548128</v>
      </c>
      <c r="K66" s="245">
        <f t="shared" si="34"/>
        <v>0</v>
      </c>
      <c r="L66" s="245">
        <f t="shared" si="35"/>
        <v>1.4145264102312836E-3</v>
      </c>
      <c r="M66" s="245">
        <f t="shared" si="36"/>
        <v>3.3698650892345057E-6</v>
      </c>
      <c r="N66" s="245">
        <f t="shared" si="37"/>
        <v>3.7608542145968452E-3</v>
      </c>
      <c r="O66" s="245">
        <f t="shared" si="38"/>
        <v>1.5207886628479711E-4</v>
      </c>
      <c r="P66" s="245">
        <f t="shared" si="39"/>
        <v>7.0321677239701947E-5</v>
      </c>
      <c r="Q66" s="245">
        <f t="shared" si="40"/>
        <v>1.3801504010772306E-3</v>
      </c>
      <c r="R66" s="243">
        <f t="shared" si="28"/>
        <v>1.0000000000000004</v>
      </c>
      <c r="S66" s="250"/>
      <c r="T66" s="244">
        <f t="shared" si="41"/>
        <v>1.4715223884215789E-2</v>
      </c>
      <c r="U66" s="246">
        <f t="shared" si="18"/>
        <v>0.27517468663483524</v>
      </c>
      <c r="V66" s="246">
        <f t="shared" si="19"/>
        <v>1.7190928208642878E-8</v>
      </c>
      <c r="W66" s="246">
        <f t="shared" si="20"/>
        <v>1.5419502279847067E-4</v>
      </c>
      <c r="X66" s="246">
        <f t="shared" si="21"/>
        <v>2.7222117064978684E-5</v>
      </c>
      <c r="Y66" s="246">
        <f t="shared" si="22"/>
        <v>4.922517406779137E-6</v>
      </c>
      <c r="Z66" s="246">
        <f t="shared" si="14"/>
        <v>0.27536104348303364</v>
      </c>
      <c r="AA66" s="247">
        <f t="shared" si="42"/>
        <v>4.5376583282058701E-2</v>
      </c>
      <c r="AB66" s="122"/>
      <c r="AC66" s="244">
        <f t="shared" si="23"/>
        <v>5.0210989829594134E-3</v>
      </c>
      <c r="AD66" s="245">
        <f t="shared" si="24"/>
        <v>0.40738360614660968</v>
      </c>
      <c r="AE66" s="245">
        <f t="shared" si="25"/>
        <v>2.3208231358277134</v>
      </c>
      <c r="AF66" s="245">
        <f t="shared" si="26"/>
        <v>0.14555468292117932</v>
      </c>
      <c r="AG66" s="245">
        <f t="shared" si="27"/>
        <v>4.339550702462007E-2</v>
      </c>
      <c r="AH66" s="245">
        <f t="shared" si="16"/>
        <v>2.9221780309030816</v>
      </c>
      <c r="AI66" s="247">
        <f t="shared" si="43"/>
        <v>0.48154398714880686</v>
      </c>
    </row>
    <row r="67" spans="1:35">
      <c r="A67" s="122"/>
      <c r="B67" s="241">
        <v>63</v>
      </c>
      <c r="C67" s="248">
        <f>'Other parameters'!$D$27</f>
        <v>1.46842E-2</v>
      </c>
      <c r="D67" s="242">
        <f>'Other parameters'!$G$27</f>
        <v>18.7</v>
      </c>
      <c r="E67" s="234">
        <v>0</v>
      </c>
      <c r="F67" s="248">
        <f t="shared" si="44"/>
        <v>2.151968210582078E-3</v>
      </c>
      <c r="G67" s="248">
        <f t="shared" si="31"/>
        <v>8.0000000000000016E-2</v>
      </c>
      <c r="H67" s="249">
        <f t="shared" si="32"/>
        <v>0.15998971629410663</v>
      </c>
      <c r="I67" s="122"/>
      <c r="J67" s="244">
        <f t="shared" si="33"/>
        <v>0.99321869856548128</v>
      </c>
      <c r="K67" s="245">
        <f t="shared" si="34"/>
        <v>0</v>
      </c>
      <c r="L67" s="245">
        <f t="shared" si="35"/>
        <v>1.4123585592866379E-3</v>
      </c>
      <c r="M67" s="245">
        <f t="shared" si="36"/>
        <v>3.0440158678465057E-6</v>
      </c>
      <c r="N67" s="245">
        <f t="shared" si="37"/>
        <v>3.7339688264830364E-3</v>
      </c>
      <c r="O67" s="245">
        <f t="shared" si="38"/>
        <v>1.5107642102558786E-4</v>
      </c>
      <c r="P67" s="245">
        <f t="shared" si="39"/>
        <v>6.9882235092338601E-5</v>
      </c>
      <c r="Q67" s="245">
        <f t="shared" si="40"/>
        <v>1.410971376763645E-3</v>
      </c>
      <c r="R67" s="243">
        <f t="shared" si="28"/>
        <v>1.0000000000000004</v>
      </c>
      <c r="S67" s="250"/>
      <c r="T67" s="244">
        <f t="shared" si="41"/>
        <v>1.4715020975686414E-2</v>
      </c>
      <c r="U67" s="246">
        <f t="shared" si="18"/>
        <v>0.27517089224533592</v>
      </c>
      <c r="V67" s="246">
        <f t="shared" si="19"/>
        <v>1.5528650810767656E-8</v>
      </c>
      <c r="W67" s="246">
        <f t="shared" si="20"/>
        <v>1.5309272188580449E-4</v>
      </c>
      <c r="X67" s="246">
        <f t="shared" si="21"/>
        <v>2.7042679363580226E-5</v>
      </c>
      <c r="Y67" s="246">
        <f t="shared" si="22"/>
        <v>4.8917564564637022E-6</v>
      </c>
      <c r="Z67" s="246">
        <f t="shared" si="14"/>
        <v>0.27535593493169258</v>
      </c>
      <c r="AA67" s="247">
        <f t="shared" si="42"/>
        <v>4.405411790961998E-2</v>
      </c>
      <c r="AB67" s="122"/>
      <c r="AC67" s="244">
        <f t="shared" si="23"/>
        <v>4.5355836430912939E-3</v>
      </c>
      <c r="AD67" s="245">
        <f t="shared" si="24"/>
        <v>0.40675926507455173</v>
      </c>
      <c r="AE67" s="245">
        <f t="shared" si="25"/>
        <v>2.3042321628226818</v>
      </c>
      <c r="AF67" s="245">
        <f t="shared" si="26"/>
        <v>0.14459524256359016</v>
      </c>
      <c r="AG67" s="245">
        <f t="shared" si="27"/>
        <v>4.3124327275482155E-2</v>
      </c>
      <c r="AH67" s="245">
        <f t="shared" si="16"/>
        <v>2.9032465813793973</v>
      </c>
      <c r="AI67" s="247">
        <f t="shared" si="43"/>
        <v>0.46448959688672475</v>
      </c>
    </row>
    <row r="68" spans="1:35">
      <c r="A68" s="122"/>
      <c r="B68" s="241">
        <v>64</v>
      </c>
      <c r="C68" s="248">
        <f>'Other parameters'!$D$27</f>
        <v>1.46842E-2</v>
      </c>
      <c r="D68" s="242">
        <f>'Other parameters'!$G$27</f>
        <v>18.7</v>
      </c>
      <c r="E68" s="234">
        <v>0</v>
      </c>
      <c r="F68" s="248">
        <f t="shared" si="44"/>
        <v>1.9471813593585521E-3</v>
      </c>
      <c r="G68" s="248">
        <f t="shared" si="31"/>
        <v>8.0000000000000016E-2</v>
      </c>
      <c r="H68" s="249">
        <f t="shared" si="32"/>
        <v>0.15532982164476369</v>
      </c>
      <c r="I68" s="122"/>
      <c r="J68" s="244">
        <f t="shared" si="33"/>
        <v>0.99321869856548128</v>
      </c>
      <c r="K68" s="245">
        <f t="shared" si="34"/>
        <v>0</v>
      </c>
      <c r="L68" s="245">
        <f t="shared" si="35"/>
        <v>1.4103998851529046E-3</v>
      </c>
      <c r="M68" s="245">
        <f t="shared" si="36"/>
        <v>2.750118259373442E-6</v>
      </c>
      <c r="N68" s="245">
        <f t="shared" si="37"/>
        <v>3.7070651469600859E-3</v>
      </c>
      <c r="O68" s="245">
        <f t="shared" si="38"/>
        <v>1.5006377279506446E-4</v>
      </c>
      <c r="P68" s="245">
        <f t="shared" si="39"/>
        <v>6.9435368382042876E-5</v>
      </c>
      <c r="Q68" s="245">
        <f t="shared" si="40"/>
        <v>1.441587142969621E-3</v>
      </c>
      <c r="R68" s="243">
        <f t="shared" si="28"/>
        <v>1.0000000000000002</v>
      </c>
      <c r="S68" s="250"/>
      <c r="T68" s="244">
        <f t="shared" si="41"/>
        <v>1.4714815766205976E-2</v>
      </c>
      <c r="U68" s="246">
        <f t="shared" si="18"/>
        <v>0.27516705482805176</v>
      </c>
      <c r="V68" s="246">
        <f t="shared" si="19"/>
        <v>1.4029370408091368E-8</v>
      </c>
      <c r="W68" s="246">
        <f t="shared" si="20"/>
        <v>1.5198967102536353E-4</v>
      </c>
      <c r="X68" s="246">
        <f t="shared" si="21"/>
        <v>2.6861415330316538E-5</v>
      </c>
      <c r="Y68" s="246">
        <f t="shared" si="22"/>
        <v>4.8604757867430016E-6</v>
      </c>
      <c r="Z68" s="246">
        <f t="shared" si="14"/>
        <v>0.27535078041956457</v>
      </c>
      <c r="AA68" s="247">
        <f t="shared" si="42"/>
        <v>4.2770187612317455E-2</v>
      </c>
      <c r="AB68" s="122"/>
      <c r="AC68" s="244">
        <f t="shared" si="23"/>
        <v>4.0976762064664288E-3</v>
      </c>
      <c r="AD68" s="245">
        <f t="shared" si="24"/>
        <v>0.40619516692403657</v>
      </c>
      <c r="AE68" s="245">
        <f t="shared" si="25"/>
        <v>2.2876299021890691</v>
      </c>
      <c r="AF68" s="245">
        <f t="shared" si="26"/>
        <v>0.1436260369421562</v>
      </c>
      <c r="AG68" s="245">
        <f t="shared" si="27"/>
        <v>4.2848565828558657E-2</v>
      </c>
      <c r="AH68" s="245">
        <f t="shared" si="16"/>
        <v>2.8843973480902867</v>
      </c>
      <c r="AI68" s="247">
        <f t="shared" si="43"/>
        <v>0.44803292563149361</v>
      </c>
    </row>
    <row r="69" spans="1:35">
      <c r="A69" s="122"/>
      <c r="B69" s="241">
        <v>65</v>
      </c>
      <c r="C69" s="248">
        <f>'Other parameters'!$D$28</f>
        <v>2.30286E-2</v>
      </c>
      <c r="D69" s="242">
        <f>'Other parameters'!$G$28</f>
        <v>15</v>
      </c>
      <c r="E69" s="234">
        <v>0</v>
      </c>
      <c r="F69" s="248">
        <f t="shared" si="44"/>
        <v>1.7618825536497415E-3</v>
      </c>
      <c r="G69" s="248">
        <f t="shared" ref="G69:G104" si="45">IF(B69&lt;rhdage,0,pVS_1a)</f>
        <v>8.0000000000000016E-2</v>
      </c>
      <c r="H69" s="249">
        <f t="shared" ref="H69:H104" si="46">1/(1+disc)^($B69-1)</f>
        <v>0.15080565208229488</v>
      </c>
      <c r="I69" s="122"/>
      <c r="J69" s="244">
        <f t="shared" ref="J69:J104" si="47">IF(B69&lt;rf1age,1,J68*(1-E69))</f>
        <v>0.99321869856548128</v>
      </c>
      <c r="K69" s="245">
        <f t="shared" ref="K69:K104" si="48">IF(B69&lt;rf1age,0,J68*E69)</f>
        <v>0</v>
      </c>
      <c r="L69" s="245">
        <f t="shared" ref="L69:L104" si="49">IF(B69&lt;rf1age,0,(K68*cpARF1_Remission)+(L68*(1-F69))+(M68*cpARF2_Remission))</f>
        <v>1.4086299569490211E-3</v>
      </c>
      <c r="M69" s="245">
        <f t="shared" ref="M69:M104" si="50">IF(B69&lt;rf1age,0,L68*F69)</f>
        <v>2.4849589513205018E-6</v>
      </c>
      <c r="N69" s="245">
        <f t="shared" ref="N69:N104" si="51">IF(B69&lt;rf1age,0,(K68*pARF1_RHDMild)+(M68*pARF2_RHDMild)+(N68*cpRHDMild_RHDMild)+(O68*G69))</f>
        <v>3.6801655666852972E-3</v>
      </c>
      <c r="O69" s="245">
        <f t="shared" ref="O69:O104" si="52">IF(B69&lt;rf1age,0,(N68*pRHDMild_RHDSevere)+(O68*(1-(G69+pRHDSevere_Death))))</f>
        <v>1.4904286644847899E-4</v>
      </c>
      <c r="P69" s="245">
        <f t="shared" ref="P69:P104" si="53">IF(B69&lt;rf1age,0,(N68*pRHDMild_Stroke)+(P68*(1-pStroke_Death)))</f>
        <v>6.8982262030981803E-5</v>
      </c>
      <c r="Q69" s="245">
        <f t="shared" ref="Q69:Q104" si="54">IF(B69&lt;rf1age,0,(K68*pARF1_Death)+(M68*pARF2_Death)+(O68*pRHDSevere_Death)+(P68*pStroke_Death)+Q68)</f>
        <v>1.4719958234539927E-3</v>
      </c>
      <c r="R69" s="243">
        <f t="shared" si="28"/>
        <v>1.0000000000000002</v>
      </c>
      <c r="S69" s="250"/>
      <c r="T69" s="244">
        <f t="shared" ref="T69:T103" si="55">((K68*pARF1_Death)+(M68*pARF2_Death)+(O68*pRHDSevere_Death)+(P68*pStroke_Death))+C69</f>
        <v>2.3059008680484373E-2</v>
      </c>
      <c r="U69" s="246">
        <f t="shared" si="18"/>
        <v>0.34588513020726558</v>
      </c>
      <c r="V69" s="246">
        <f t="shared" ref="V69:V104" si="56">($K69+$M69)*wAR</f>
        <v>1.2676694705092534E-8</v>
      </c>
      <c r="W69" s="246">
        <f t="shared" ref="W69:W104" si="57">$N69*wRM</f>
        <v>1.5088678823409719E-4</v>
      </c>
      <c r="X69" s="246">
        <f t="shared" ref="X69:X104" si="58">$O69*wRH</f>
        <v>2.6678673094277737E-5</v>
      </c>
      <c r="Y69" s="246">
        <f t="shared" ref="Y69:Y104" si="59">$P69*wRS</f>
        <v>4.8287583421687265E-6</v>
      </c>
      <c r="Z69" s="246">
        <f t="shared" ref="Z69:Z104" si="60">SUM(U69:Y69)</f>
        <v>0.34606753710363086</v>
      </c>
      <c r="AA69" s="247">
        <f t="shared" ref="AA69:AA100" si="61">Z69*H69</f>
        <v>5.2188940597426826E-2</v>
      </c>
      <c r="AB69" s="122"/>
      <c r="AC69" s="244">
        <f t="shared" ref="AC69:AC104" si="62">($K69+$M69)*cARF</f>
        <v>3.7025888374675477E-3</v>
      </c>
      <c r="AD69" s="245">
        <f t="shared" ref="AD69:AD104" si="63">$L69*cRFR</f>
        <v>0.40568542760131809</v>
      </c>
      <c r="AE69" s="245">
        <f t="shared" ref="AE69:AE104" si="64">$N69*cRM</f>
        <v>2.2710301712014971</v>
      </c>
      <c r="AF69" s="245">
        <f t="shared" ref="AF69:AF104" si="65">$O69*cRH</f>
        <v>0.14264892747783925</v>
      </c>
      <c r="AG69" s="245">
        <f t="shared" ref="AG69:AG104" si="66">$P69*cRS</f>
        <v>4.2568953899318869E-2</v>
      </c>
      <c r="AH69" s="245">
        <f t="shared" ref="AH69:AH104" si="67">SUM(AC69:AG69)</f>
        <v>2.8656360690174409</v>
      </c>
      <c r="AI69" s="247">
        <f t="shared" ref="AI69:AI100" si="68">AH69*H69</f>
        <v>0.43215411601871934</v>
      </c>
    </row>
    <row r="70" spans="1:35">
      <c r="A70" s="122"/>
      <c r="B70" s="241">
        <v>66</v>
      </c>
      <c r="C70" s="248">
        <f>'Other parameters'!$D$28</f>
        <v>2.30286E-2</v>
      </c>
      <c r="D70" s="242">
        <f>'Other parameters'!$G$28</f>
        <v>15</v>
      </c>
      <c r="E70" s="234">
        <v>0</v>
      </c>
      <c r="F70" s="248">
        <f t="shared" si="44"/>
        <v>1.5942172607270357E-3</v>
      </c>
      <c r="G70" s="248">
        <f t="shared" si="45"/>
        <v>8.0000000000000016E-2</v>
      </c>
      <c r="H70" s="249">
        <f t="shared" si="46"/>
        <v>0.14641325444882999</v>
      </c>
      <c r="I70" s="122"/>
      <c r="J70" s="244">
        <f t="shared" si="47"/>
        <v>0.99321869856548128</v>
      </c>
      <c r="K70" s="245">
        <f t="shared" si="48"/>
        <v>0</v>
      </c>
      <c r="L70" s="245">
        <f t="shared" si="49"/>
        <v>1.4070303840850191E-3</v>
      </c>
      <c r="M70" s="245">
        <f t="shared" si="50"/>
        <v>2.2456621913453105E-6</v>
      </c>
      <c r="N70" s="245">
        <f t="shared" si="51"/>
        <v>3.6532900713755817E-3</v>
      </c>
      <c r="O70" s="245">
        <f t="shared" si="52"/>
        <v>1.4801542778831615E-4</v>
      </c>
      <c r="P70" s="245">
        <f t="shared" si="53"/>
        <v>6.8523970380576871E-5</v>
      </c>
      <c r="Q70" s="245">
        <f t="shared" si="54"/>
        <v>1.5021959186982529E-3</v>
      </c>
      <c r="R70" s="243">
        <f t="shared" si="28"/>
        <v>1.0000000000000004</v>
      </c>
      <c r="S70" s="250"/>
      <c r="T70" s="244">
        <f t="shared" si="55"/>
        <v>2.3058800095244261E-2</v>
      </c>
      <c r="U70" s="246">
        <f t="shared" ref="U70:U104" si="69">$D70*T70</f>
        <v>0.34588200142866393</v>
      </c>
      <c r="V70" s="246">
        <f t="shared" si="56"/>
        <v>1.1455953425438271E-8</v>
      </c>
      <c r="W70" s="246">
        <f t="shared" si="57"/>
        <v>1.4978489292639886E-4</v>
      </c>
      <c r="X70" s="246">
        <f t="shared" si="58"/>
        <v>2.649476157410859E-5</v>
      </c>
      <c r="Y70" s="246">
        <f t="shared" si="59"/>
        <v>4.7966779266403814E-6</v>
      </c>
      <c r="Z70" s="246">
        <f t="shared" si="60"/>
        <v>0.34606308921704448</v>
      </c>
      <c r="AA70" s="247">
        <f t="shared" si="61"/>
        <v>5.0668223136883288E-2</v>
      </c>
      <c r="AB70" s="122"/>
      <c r="AC70" s="244">
        <f t="shared" si="62"/>
        <v>3.3460366651045124E-3</v>
      </c>
      <c r="AD70" s="245">
        <f t="shared" si="63"/>
        <v>0.4052247506164855</v>
      </c>
      <c r="AE70" s="245">
        <f t="shared" si="64"/>
        <v>2.2544453030458715</v>
      </c>
      <c r="AF70" s="245">
        <f t="shared" si="65"/>
        <v>0.14166556593619739</v>
      </c>
      <c r="AG70" s="245">
        <f t="shared" si="66"/>
        <v>4.2286142121853991E-2</v>
      </c>
      <c r="AH70" s="245">
        <f t="shared" si="67"/>
        <v>2.8469677983855131</v>
      </c>
      <c r="AI70" s="247">
        <f t="shared" si="68"/>
        <v>0.41683382067264346</v>
      </c>
    </row>
    <row r="71" spans="1:35">
      <c r="A71" s="122"/>
      <c r="B71" s="241">
        <v>67</v>
      </c>
      <c r="C71" s="248">
        <f>'Other parameters'!$D$28</f>
        <v>2.30286E-2</v>
      </c>
      <c r="D71" s="242">
        <f>'Other parameters'!$G$28</f>
        <v>15</v>
      </c>
      <c r="E71" s="234">
        <v>0</v>
      </c>
      <c r="F71" s="248">
        <f t="shared" si="44"/>
        <v>1.4425074299846117E-3</v>
      </c>
      <c r="G71" s="248">
        <f t="shared" si="45"/>
        <v>8.0000000000000016E-2</v>
      </c>
      <c r="H71" s="249">
        <f t="shared" si="46"/>
        <v>0.14214879072701941</v>
      </c>
      <c r="I71" s="122"/>
      <c r="J71" s="244">
        <f t="shared" si="47"/>
        <v>0.99321869856548128</v>
      </c>
      <c r="K71" s="245">
        <f t="shared" si="48"/>
        <v>0</v>
      </c>
      <c r="L71" s="245">
        <f t="shared" si="49"/>
        <v>1.405584604471512E-3</v>
      </c>
      <c r="M71" s="245">
        <f t="shared" si="50"/>
        <v>2.029651783256742E-6</v>
      </c>
      <c r="N71" s="245">
        <f t="shared" si="51"/>
        <v>3.6264564938503414E-3</v>
      </c>
      <c r="O71" s="245">
        <f t="shared" si="52"/>
        <v>1.4698298917502505E-4</v>
      </c>
      <c r="P71" s="245">
        <f t="shared" si="53"/>
        <v>6.8061431769781181E-5</v>
      </c>
      <c r="Q71" s="245">
        <f t="shared" si="54"/>
        <v>1.5321862634691756E-3</v>
      </c>
      <c r="R71" s="243">
        <f t="shared" si="28"/>
        <v>1.0000000000000002</v>
      </c>
      <c r="S71" s="250"/>
      <c r="T71" s="244">
        <f t="shared" si="55"/>
        <v>2.3058590344770924E-2</v>
      </c>
      <c r="U71" s="246">
        <f t="shared" si="69"/>
        <v>0.34587885517156386</v>
      </c>
      <c r="V71" s="246">
        <f t="shared" si="56"/>
        <v>1.0354004439517956E-8</v>
      </c>
      <c r="W71" s="246">
        <f t="shared" si="57"/>
        <v>1.48684716247864E-4</v>
      </c>
      <c r="X71" s="246">
        <f t="shared" si="58"/>
        <v>2.6309955062329483E-5</v>
      </c>
      <c r="Y71" s="246">
        <f t="shared" si="59"/>
        <v>4.7643002238846835E-6</v>
      </c>
      <c r="Z71" s="246">
        <f t="shared" si="60"/>
        <v>0.34605862449710234</v>
      </c>
      <c r="AA71" s="247">
        <f t="shared" si="61"/>
        <v>4.9191814992918796E-2</v>
      </c>
      <c r="AB71" s="122"/>
      <c r="AC71" s="244">
        <f t="shared" si="62"/>
        <v>3.0241811570525454E-3</v>
      </c>
      <c r="AD71" s="245">
        <f t="shared" si="63"/>
        <v>0.40480836608779547</v>
      </c>
      <c r="AE71" s="245">
        <f t="shared" si="64"/>
        <v>2.2378863023550459</v>
      </c>
      <c r="AF71" s="245">
        <f t="shared" si="65"/>
        <v>0.14067741893941649</v>
      </c>
      <c r="AG71" s="245">
        <f t="shared" si="66"/>
        <v>4.2000709545131971E-2</v>
      </c>
      <c r="AH71" s="245">
        <f t="shared" si="67"/>
        <v>2.8283969780844425</v>
      </c>
      <c r="AI71" s="247">
        <f t="shared" si="68"/>
        <v>0.40205321013065953</v>
      </c>
    </row>
    <row r="72" spans="1:35">
      <c r="A72" s="122"/>
      <c r="B72" s="241">
        <v>68</v>
      </c>
      <c r="C72" s="248">
        <f>'Other parameters'!$D$28</f>
        <v>2.30286E-2</v>
      </c>
      <c r="D72" s="242">
        <f>'Other parameters'!$G$28</f>
        <v>15</v>
      </c>
      <c r="E72" s="234">
        <v>0</v>
      </c>
      <c r="F72" s="248">
        <f t="shared" si="44"/>
        <v>1.3052346984449631E-3</v>
      </c>
      <c r="G72" s="248">
        <f t="shared" si="45"/>
        <v>8.0000000000000016E-2</v>
      </c>
      <c r="H72" s="249">
        <f t="shared" si="46"/>
        <v>0.1380085346864266</v>
      </c>
      <c r="I72" s="122"/>
      <c r="J72" s="244">
        <f t="shared" si="47"/>
        <v>0.99321869856548128</v>
      </c>
      <c r="K72" s="245">
        <f t="shared" si="48"/>
        <v>0</v>
      </c>
      <c r="L72" s="245">
        <f t="shared" si="49"/>
        <v>1.4042776961378026E-3</v>
      </c>
      <c r="M72" s="245">
        <f t="shared" si="50"/>
        <v>1.8346177973562566E-6</v>
      </c>
      <c r="N72" s="245">
        <f t="shared" si="51"/>
        <v>3.5996807379805756E-3</v>
      </c>
      <c r="O72" s="245">
        <f t="shared" si="52"/>
        <v>1.4594691190971716E-4</v>
      </c>
      <c r="P72" s="245">
        <f t="shared" si="53"/>
        <v>6.7595481436368235E-5</v>
      </c>
      <c r="Q72" s="245">
        <f t="shared" si="54"/>
        <v>1.5619659892572722E-3</v>
      </c>
      <c r="R72" s="243">
        <f t="shared" si="28"/>
        <v>1.0000000000000004</v>
      </c>
      <c r="S72" s="250"/>
      <c r="T72" s="244">
        <f t="shared" si="55"/>
        <v>2.3058379725788097E-2</v>
      </c>
      <c r="U72" s="246">
        <f t="shared" si="69"/>
        <v>0.34587569588682143</v>
      </c>
      <c r="V72" s="246">
        <f t="shared" si="56"/>
        <v>9.3590639415817822E-9</v>
      </c>
      <c r="W72" s="246">
        <f t="shared" si="57"/>
        <v>1.475869102572036E-4</v>
      </c>
      <c r="X72" s="246">
        <f t="shared" si="58"/>
        <v>2.6124497231839371E-5</v>
      </c>
      <c r="Y72" s="246">
        <f t="shared" si="59"/>
        <v>4.7316837005457769E-6</v>
      </c>
      <c r="Z72" s="246">
        <f t="shared" si="60"/>
        <v>0.34605414833707493</v>
      </c>
      <c r="AA72" s="247">
        <f t="shared" si="61"/>
        <v>4.7758425934159021E-2</v>
      </c>
      <c r="AB72" s="122"/>
      <c r="AC72" s="244">
        <f t="shared" si="62"/>
        <v>2.7335805180608223E-3</v>
      </c>
      <c r="AD72" s="245">
        <f t="shared" si="63"/>
        <v>0.40443197648768714</v>
      </c>
      <c r="AE72" s="245">
        <f t="shared" si="64"/>
        <v>2.2213629834078135</v>
      </c>
      <c r="AF72" s="245">
        <f t="shared" si="65"/>
        <v>0.13968578938879031</v>
      </c>
      <c r="AG72" s="245">
        <f t="shared" si="66"/>
        <v>4.1713171594382842E-2</v>
      </c>
      <c r="AH72" s="245">
        <f t="shared" si="67"/>
        <v>2.8099275013967344</v>
      </c>
      <c r="AI72" s="247">
        <f t="shared" si="68"/>
        <v>0.38779397704285523</v>
      </c>
    </row>
    <row r="73" spans="1:35">
      <c r="A73" s="122"/>
      <c r="B73" s="241">
        <v>69</v>
      </c>
      <c r="C73" s="248">
        <f>'Other parameters'!$D$28</f>
        <v>2.30286E-2</v>
      </c>
      <c r="D73" s="242">
        <f>'Other parameters'!$G$28</f>
        <v>15</v>
      </c>
      <c r="E73" s="234">
        <v>0</v>
      </c>
      <c r="F73" s="248">
        <f t="shared" si="44"/>
        <v>1.181025194471885E-3</v>
      </c>
      <c r="G73" s="248">
        <f t="shared" si="45"/>
        <v>8.0000000000000016E-2</v>
      </c>
      <c r="H73" s="249">
        <f t="shared" si="46"/>
        <v>0.13398886862759865</v>
      </c>
      <c r="I73" s="122"/>
      <c r="J73" s="244">
        <f t="shared" si="47"/>
        <v>0.99321869856548128</v>
      </c>
      <c r="K73" s="245">
        <f t="shared" si="48"/>
        <v>0</v>
      </c>
      <c r="L73" s="245">
        <f t="shared" si="49"/>
        <v>1.4030962094259416E-3</v>
      </c>
      <c r="M73" s="245">
        <f t="shared" si="50"/>
        <v>1.658487339173679E-6</v>
      </c>
      <c r="N73" s="245">
        <f t="shared" si="51"/>
        <v>3.5729769779901453E-3</v>
      </c>
      <c r="O73" s="245">
        <f t="shared" si="52"/>
        <v>1.44908405825178E-4</v>
      </c>
      <c r="P73" s="245">
        <f t="shared" si="53"/>
        <v>6.7126862936845848E-5</v>
      </c>
      <c r="Q73" s="245">
        <f t="shared" si="54"/>
        <v>1.5915344910018075E-3</v>
      </c>
      <c r="R73" s="243">
        <f t="shared" si="28"/>
        <v>1.0000000000000004</v>
      </c>
      <c r="S73" s="250"/>
      <c r="T73" s="244">
        <f t="shared" si="55"/>
        <v>2.3058168501744535E-2</v>
      </c>
      <c r="U73" s="246">
        <f t="shared" si="69"/>
        <v>0.34587252752616804</v>
      </c>
      <c r="V73" s="246">
        <f t="shared" si="56"/>
        <v>8.4605573302503854E-9</v>
      </c>
      <c r="W73" s="246">
        <f t="shared" si="57"/>
        <v>1.4649205609759596E-4</v>
      </c>
      <c r="X73" s="246">
        <f t="shared" si="58"/>
        <v>2.5938604642706862E-5</v>
      </c>
      <c r="Y73" s="246">
        <f t="shared" si="59"/>
        <v>4.6988804055792096E-6</v>
      </c>
      <c r="Z73" s="246">
        <f t="shared" si="60"/>
        <v>0.3460496655278712</v>
      </c>
      <c r="AA73" s="247">
        <f t="shared" si="61"/>
        <v>4.6366803173038387E-2</v>
      </c>
      <c r="AB73" s="122"/>
      <c r="AC73" s="244">
        <f t="shared" si="62"/>
        <v>2.4711461353687817E-3</v>
      </c>
      <c r="AD73" s="245">
        <f t="shared" si="63"/>
        <v>0.40409170831467117</v>
      </c>
      <c r="AE73" s="245">
        <f t="shared" si="64"/>
        <v>2.2048840931177187</v>
      </c>
      <c r="AF73" s="245">
        <f t="shared" si="65"/>
        <v>0.13869183521527786</v>
      </c>
      <c r="AG73" s="245">
        <f t="shared" si="66"/>
        <v>4.1423987118327572E-2</v>
      </c>
      <c r="AH73" s="245">
        <f t="shared" si="67"/>
        <v>2.7915627699013643</v>
      </c>
      <c r="AI73" s="247">
        <f t="shared" si="68"/>
        <v>0.3740383372420093</v>
      </c>
    </row>
    <row r="74" spans="1:35">
      <c r="A74" s="122"/>
      <c r="B74" s="241">
        <v>70</v>
      </c>
      <c r="C74" s="248">
        <f>'Other parameters'!$D$29</f>
        <v>3.7466800000000001E-2</v>
      </c>
      <c r="D74" s="242">
        <f>'Other parameters'!$G$29</f>
        <v>11.6</v>
      </c>
      <c r="E74" s="234">
        <v>0</v>
      </c>
      <c r="F74" s="248">
        <f t="shared" si="44"/>
        <v>1.0686357876013568E-3</v>
      </c>
      <c r="G74" s="248">
        <f t="shared" si="45"/>
        <v>8.0000000000000016E-2</v>
      </c>
      <c r="H74" s="249">
        <f t="shared" si="46"/>
        <v>0.13008628022096957</v>
      </c>
      <c r="I74" s="122"/>
      <c r="J74" s="244">
        <f t="shared" si="47"/>
        <v>0.99321869856548128</v>
      </c>
      <c r="K74" s="245">
        <f t="shared" si="48"/>
        <v>0</v>
      </c>
      <c r="L74" s="245">
        <f t="shared" si="49"/>
        <v>1.4020280173112866E-3</v>
      </c>
      <c r="M74" s="245">
        <f t="shared" si="50"/>
        <v>1.4993988228403693E-6</v>
      </c>
      <c r="N74" s="245">
        <f t="shared" si="51"/>
        <v>3.5463578360797384E-3</v>
      </c>
      <c r="O74" s="245">
        <f t="shared" si="52"/>
        <v>1.4386854645973604E-4</v>
      </c>
      <c r="P74" s="245">
        <f t="shared" si="53"/>
        <v>6.665623825829911E-5</v>
      </c>
      <c r="Q74" s="245">
        <f t="shared" si="54"/>
        <v>1.6208913975871914E-3</v>
      </c>
      <c r="R74" s="243">
        <f t="shared" si="28"/>
        <v>1.0000000000000004</v>
      </c>
      <c r="S74" s="250"/>
      <c r="T74" s="244">
        <f t="shared" si="55"/>
        <v>3.7496156906585386E-2</v>
      </c>
      <c r="U74" s="246">
        <f t="shared" si="69"/>
        <v>0.43495542011639049</v>
      </c>
      <c r="V74" s="246">
        <f t="shared" si="56"/>
        <v>7.6489879674760762E-9</v>
      </c>
      <c r="W74" s="246">
        <f t="shared" si="57"/>
        <v>1.4540067127926927E-4</v>
      </c>
      <c r="X74" s="246">
        <f t="shared" si="58"/>
        <v>2.5752469816292749E-5</v>
      </c>
      <c r="Y74" s="246">
        <f t="shared" si="59"/>
        <v>4.6659366780809382E-6</v>
      </c>
      <c r="Z74" s="246">
        <f t="shared" si="60"/>
        <v>0.43513124684315208</v>
      </c>
      <c r="AA74" s="247">
        <f t="shared" si="61"/>
        <v>5.6604605309738161E-2</v>
      </c>
      <c r="AB74" s="122"/>
      <c r="AC74" s="244">
        <f t="shared" si="62"/>
        <v>2.2341042460321502E-3</v>
      </c>
      <c r="AD74" s="245">
        <f t="shared" si="63"/>
        <v>0.40378406898565056</v>
      </c>
      <c r="AE74" s="245">
        <f t="shared" si="64"/>
        <v>2.1884574206448066</v>
      </c>
      <c r="AF74" s="245">
        <f t="shared" si="65"/>
        <v>0.13769658581661337</v>
      </c>
      <c r="AG74" s="245">
        <f t="shared" si="66"/>
        <v>4.113356462919638E-2</v>
      </c>
      <c r="AH74" s="245">
        <f t="shared" si="67"/>
        <v>2.7733057443222995</v>
      </c>
      <c r="AI74" s="247">
        <f t="shared" si="68"/>
        <v>0.36076902819433526</v>
      </c>
    </row>
    <row r="75" spans="1:35">
      <c r="A75" s="122"/>
      <c r="B75" s="241">
        <v>71</v>
      </c>
      <c r="C75" s="248">
        <f>'Other parameters'!$D$29</f>
        <v>3.7466800000000001E-2</v>
      </c>
      <c r="D75" s="242">
        <f>'Other parameters'!$G$29</f>
        <v>11.6</v>
      </c>
      <c r="E75" s="234">
        <v>0</v>
      </c>
      <c r="F75" s="248">
        <f t="shared" si="44"/>
        <v>9.6694164687403635E-4</v>
      </c>
      <c r="G75" s="248">
        <f t="shared" si="45"/>
        <v>8.0000000000000016E-2</v>
      </c>
      <c r="H75" s="249">
        <f t="shared" si="46"/>
        <v>0.12629735943783454</v>
      </c>
      <c r="I75" s="122"/>
      <c r="J75" s="244">
        <f t="shared" si="47"/>
        <v>0.99321869856548128</v>
      </c>
      <c r="K75" s="245">
        <f t="shared" si="48"/>
        <v>0</v>
      </c>
      <c r="L75" s="245">
        <f t="shared" si="49"/>
        <v>1.4010621817252024E-3</v>
      </c>
      <c r="M75" s="245">
        <f t="shared" si="50"/>
        <v>1.3556792800225154E-6</v>
      </c>
      <c r="N75" s="245">
        <f t="shared" si="51"/>
        <v>3.5198345409425784E-3</v>
      </c>
      <c r="O75" s="245">
        <f t="shared" si="52"/>
        <v>1.42828290135584E-4</v>
      </c>
      <c r="P75" s="245">
        <f t="shared" si="53"/>
        <v>6.6184196775453003E-5</v>
      </c>
      <c r="Q75" s="245">
        <f t="shared" si="54"/>
        <v>1.6500365456602513E-3</v>
      </c>
      <c r="R75" s="243">
        <f t="shared" si="28"/>
        <v>1.0000000000000004</v>
      </c>
      <c r="S75" s="250"/>
      <c r="T75" s="244">
        <f t="shared" si="55"/>
        <v>3.7495945148073064E-2</v>
      </c>
      <c r="U75" s="246">
        <f t="shared" si="69"/>
        <v>0.43495296371764752</v>
      </c>
      <c r="V75" s="246">
        <f t="shared" si="56"/>
        <v>6.9158214230189697E-9</v>
      </c>
      <c r="W75" s="246">
        <f t="shared" si="57"/>
        <v>1.4431321617864573E-4</v>
      </c>
      <c r="X75" s="246">
        <f t="shared" si="58"/>
        <v>2.5566263934269533E-5</v>
      </c>
      <c r="Y75" s="246">
        <f t="shared" si="59"/>
        <v>4.6328937742817102E-6</v>
      </c>
      <c r="Z75" s="246">
        <f t="shared" si="60"/>
        <v>0.43512748300735615</v>
      </c>
      <c r="AA75" s="247">
        <f t="shared" si="61"/>
        <v>5.49554521226603E-2</v>
      </c>
      <c r="AB75" s="122"/>
      <c r="AC75" s="244">
        <f t="shared" si="62"/>
        <v>2.0199621272335481E-3</v>
      </c>
      <c r="AD75" s="245">
        <f t="shared" si="63"/>
        <v>0.40350590833685829</v>
      </c>
      <c r="AE75" s="245">
        <f t="shared" si="64"/>
        <v>2.1720898952156653</v>
      </c>
      <c r="AF75" s="245">
        <f t="shared" si="65"/>
        <v>0.13670095648876746</v>
      </c>
      <c r="AG75" s="245">
        <f t="shared" si="66"/>
        <v>4.0842267830132048E-2</v>
      </c>
      <c r="AH75" s="245">
        <f t="shared" si="67"/>
        <v>2.7551589899986566</v>
      </c>
      <c r="AI75" s="247">
        <f t="shared" si="68"/>
        <v>0.34796930526824155</v>
      </c>
    </row>
    <row r="76" spans="1:35">
      <c r="A76" s="122"/>
      <c r="B76" s="241">
        <v>72</v>
      </c>
      <c r="C76" s="248">
        <f>'Other parameters'!$D$29</f>
        <v>3.7466800000000001E-2</v>
      </c>
      <c r="D76" s="242">
        <f>'Other parameters'!$G$29</f>
        <v>11.6</v>
      </c>
      <c r="E76" s="234">
        <v>0</v>
      </c>
      <c r="F76" s="248">
        <f t="shared" si="44"/>
        <v>8.7492498314894118E-4</v>
      </c>
      <c r="G76" s="248">
        <f t="shared" si="45"/>
        <v>8.0000000000000016E-2</v>
      </c>
      <c r="H76" s="249">
        <f t="shared" si="46"/>
        <v>0.12261879557071313</v>
      </c>
      <c r="I76" s="122"/>
      <c r="J76" s="244">
        <f t="shared" si="47"/>
        <v>0.99321869856548128</v>
      </c>
      <c r="K76" s="245">
        <f t="shared" si="48"/>
        <v>0</v>
      </c>
      <c r="L76" s="245">
        <f t="shared" si="49"/>
        <v>1.4001888340322718E-3</v>
      </c>
      <c r="M76" s="245">
        <f t="shared" si="50"/>
        <v>1.2258243057365415E-6</v>
      </c>
      <c r="N76" s="245">
        <f t="shared" si="51"/>
        <v>3.4934170694005833E-3</v>
      </c>
      <c r="O76" s="245">
        <f t="shared" si="52"/>
        <v>1.4178848721783211E-4</v>
      </c>
      <c r="P76" s="245">
        <f t="shared" si="53"/>
        <v>6.5711263188367985E-5</v>
      </c>
      <c r="Q76" s="245">
        <f t="shared" si="54"/>
        <v>1.6789699563743003E-3</v>
      </c>
      <c r="R76" s="243">
        <f t="shared" si="28"/>
        <v>1.0000000000000002</v>
      </c>
      <c r="S76" s="250"/>
      <c r="T76" s="244">
        <f t="shared" si="55"/>
        <v>3.7495733410714049E-2</v>
      </c>
      <c r="U76" s="246">
        <f t="shared" si="69"/>
        <v>0.43495050756428294</v>
      </c>
      <c r="V76" s="246">
        <f t="shared" si="56"/>
        <v>6.2533831706340836E-9</v>
      </c>
      <c r="W76" s="246">
        <f t="shared" si="57"/>
        <v>1.4323009984542392E-4</v>
      </c>
      <c r="X76" s="246">
        <f t="shared" si="58"/>
        <v>2.5380139211991948E-5</v>
      </c>
      <c r="Y76" s="246">
        <f t="shared" si="59"/>
        <v>4.599788423185759E-6</v>
      </c>
      <c r="Z76" s="246">
        <f t="shared" si="60"/>
        <v>0.43512372384514669</v>
      </c>
      <c r="AA76" s="247">
        <f t="shared" si="61"/>
        <v>5.3354346942135478E-2</v>
      </c>
      <c r="AB76" s="122"/>
      <c r="AC76" s="244">
        <f t="shared" si="62"/>
        <v>1.8264782155474467E-3</v>
      </c>
      <c r="AD76" s="245">
        <f t="shared" si="63"/>
        <v>0.40325438420129428</v>
      </c>
      <c r="AE76" s="245">
        <f t="shared" si="64"/>
        <v>2.1557876735271</v>
      </c>
      <c r="AF76" s="245">
        <f t="shared" si="65"/>
        <v>0.13570576111618712</v>
      </c>
      <c r="AG76" s="245">
        <f t="shared" si="66"/>
        <v>4.0550420513541886E-2</v>
      </c>
      <c r="AH76" s="245">
        <f t="shared" si="67"/>
        <v>2.7371247175736708</v>
      </c>
      <c r="AI76" s="247">
        <f t="shared" si="68"/>
        <v>0.33562293619571187</v>
      </c>
    </row>
    <row r="77" spans="1:35">
      <c r="A77" s="122"/>
      <c r="B77" s="241">
        <v>73</v>
      </c>
      <c r="C77" s="248">
        <f>'Other parameters'!$D$29</f>
        <v>3.7466800000000001E-2</v>
      </c>
      <c r="D77" s="242">
        <f>'Other parameters'!$G$29</f>
        <v>11.6</v>
      </c>
      <c r="E77" s="234">
        <v>0</v>
      </c>
      <c r="F77" s="248">
        <f t="shared" si="44"/>
        <v>7.9166486272764364E-4</v>
      </c>
      <c r="G77" s="248">
        <f t="shared" si="45"/>
        <v>8.0000000000000016E-2</v>
      </c>
      <c r="H77" s="249">
        <f t="shared" si="46"/>
        <v>0.1190473743404982</v>
      </c>
      <c r="I77" s="122"/>
      <c r="J77" s="244">
        <f t="shared" si="47"/>
        <v>0.99321869856548128</v>
      </c>
      <c r="K77" s="245">
        <f t="shared" si="48"/>
        <v>0</v>
      </c>
      <c r="L77" s="245">
        <f t="shared" si="49"/>
        <v>1.3993990680506764E-3</v>
      </c>
      <c r="M77" s="245">
        <f t="shared" si="50"/>
        <v>1.1084803010869378E-6</v>
      </c>
      <c r="N77" s="245">
        <f t="shared" si="51"/>
        <v>3.4671142731001435E-3</v>
      </c>
      <c r="O77" s="245">
        <f t="shared" si="52"/>
        <v>1.4074989379181716E-4</v>
      </c>
      <c r="P77" s="245">
        <f t="shared" si="53"/>
        <v>6.5237904560266709E-5</v>
      </c>
      <c r="Q77" s="245">
        <f t="shared" si="54"/>
        <v>1.7076918147151015E-3</v>
      </c>
      <c r="R77" s="243">
        <f t="shared" ref="R77:R104" si="70">SUM(J77:Q77)</f>
        <v>1.0000000000000004</v>
      </c>
      <c r="S77" s="250"/>
      <c r="T77" s="244">
        <f t="shared" si="55"/>
        <v>3.7495521858340805E-2</v>
      </c>
      <c r="U77" s="246">
        <f t="shared" si="69"/>
        <v>0.43494805355675331</v>
      </c>
      <c r="V77" s="246">
        <f t="shared" si="56"/>
        <v>5.6547680017092559E-9</v>
      </c>
      <c r="W77" s="246">
        <f t="shared" si="57"/>
        <v>1.421516851971059E-4</v>
      </c>
      <c r="X77" s="246">
        <f t="shared" si="58"/>
        <v>2.519423098873527E-5</v>
      </c>
      <c r="Y77" s="246">
        <f t="shared" si="59"/>
        <v>4.5666533192186705E-6</v>
      </c>
      <c r="Z77" s="246">
        <f t="shared" si="60"/>
        <v>0.43511997178102635</v>
      </c>
      <c r="AA77" s="247">
        <f t="shared" si="61"/>
        <v>5.1799890163642857E-2</v>
      </c>
      <c r="AB77" s="122"/>
      <c r="AC77" s="244">
        <f t="shared" si="62"/>
        <v>1.6516356486195375E-3</v>
      </c>
      <c r="AD77" s="245">
        <f t="shared" si="63"/>
        <v>0.40302693159859482</v>
      </c>
      <c r="AE77" s="245">
        <f t="shared" si="64"/>
        <v>2.1395562179300986</v>
      </c>
      <c r="AF77" s="245">
        <f t="shared" si="65"/>
        <v>0.13471172334814821</v>
      </c>
      <c r="AG77" s="245">
        <f t="shared" si="66"/>
        <v>4.0258310904140587E-2</v>
      </c>
      <c r="AH77" s="245">
        <f t="shared" si="67"/>
        <v>2.7192048194296019</v>
      </c>
      <c r="AI77" s="247">
        <f t="shared" si="68"/>
        <v>0.32371419404712259</v>
      </c>
    </row>
    <row r="78" spans="1:35">
      <c r="A78" s="122"/>
      <c r="B78" s="241">
        <v>74</v>
      </c>
      <c r="C78" s="248">
        <f>'Other parameters'!$D$29</f>
        <v>3.7466800000000001E-2</v>
      </c>
      <c r="D78" s="242">
        <f>'Other parameters'!$G$29</f>
        <v>11.6</v>
      </c>
      <c r="E78" s="234">
        <v>0</v>
      </c>
      <c r="F78" s="248">
        <f t="shared" si="44"/>
        <v>7.1632799034027366E-4</v>
      </c>
      <c r="G78" s="248">
        <f t="shared" si="45"/>
        <v>8.0000000000000016E-2</v>
      </c>
      <c r="H78" s="249">
        <f t="shared" si="46"/>
        <v>0.11557997508786232</v>
      </c>
      <c r="I78" s="122"/>
      <c r="J78" s="244">
        <f t="shared" si="47"/>
        <v>0.99321869856548128</v>
      </c>
      <c r="K78" s="245">
        <f t="shared" si="48"/>
        <v>0</v>
      </c>
      <c r="L78" s="245">
        <f t="shared" si="49"/>
        <v>1.3986848442068581E-3</v>
      </c>
      <c r="M78" s="245">
        <f t="shared" si="50"/>
        <v>1.0024287221007928E-6</v>
      </c>
      <c r="N78" s="245">
        <f t="shared" si="51"/>
        <v>3.4409339919595498E-3</v>
      </c>
      <c r="O78" s="245">
        <f t="shared" si="52"/>
        <v>1.3971318196305633E-4</v>
      </c>
      <c r="P78" s="245">
        <f t="shared" si="53"/>
        <v>6.4764536560862532E-5</v>
      </c>
      <c r="Q78" s="245">
        <f t="shared" si="54"/>
        <v>1.7362024511066649E-3</v>
      </c>
      <c r="R78" s="243">
        <f t="shared" si="70"/>
        <v>1.0000000000000004</v>
      </c>
      <c r="S78" s="250"/>
      <c r="T78" s="244">
        <f t="shared" si="55"/>
        <v>3.7495310636391568E-2</v>
      </c>
      <c r="U78" s="246">
        <f t="shared" si="69"/>
        <v>0.43494560338214217</v>
      </c>
      <c r="V78" s="246">
        <f t="shared" si="56"/>
        <v>5.1137596727443192E-9</v>
      </c>
      <c r="W78" s="246">
        <f t="shared" si="57"/>
        <v>1.4107829367034154E-4</v>
      </c>
      <c r="X78" s="246">
        <f t="shared" si="58"/>
        <v>2.5008659571387082E-5</v>
      </c>
      <c r="Y78" s="246">
        <f t="shared" si="59"/>
        <v>4.5335175592603777E-6</v>
      </c>
      <c r="Z78" s="246">
        <f t="shared" si="60"/>
        <v>0.43511622896670282</v>
      </c>
      <c r="AA78" s="247">
        <f t="shared" si="61"/>
        <v>5.0290722904296106E-2</v>
      </c>
      <c r="AB78" s="122"/>
      <c r="AC78" s="244">
        <f t="shared" si="62"/>
        <v>1.4936187959301813E-3</v>
      </c>
      <c r="AD78" s="245">
        <f t="shared" si="63"/>
        <v>0.40282123513157514</v>
      </c>
      <c r="AE78" s="245">
        <f t="shared" si="64"/>
        <v>2.1234003664382382</v>
      </c>
      <c r="AF78" s="245">
        <f t="shared" si="65"/>
        <v>0.1337194864568412</v>
      </c>
      <c r="AG78" s="245">
        <f t="shared" si="66"/>
        <v>3.9966195511708269E-2</v>
      </c>
      <c r="AH78" s="245">
        <f t="shared" si="67"/>
        <v>2.7014009023342931</v>
      </c>
      <c r="AI78" s="247">
        <f t="shared" si="68"/>
        <v>0.31222784899412637</v>
      </c>
    </row>
    <row r="79" spans="1:35">
      <c r="A79" s="122"/>
      <c r="B79" s="241">
        <v>75</v>
      </c>
      <c r="C79" s="248">
        <f>'Other parameters'!$D$30</f>
        <v>5.9392199999999992E-2</v>
      </c>
      <c r="D79" s="242">
        <f>'Other parameters'!$G$30</f>
        <v>8.6</v>
      </c>
      <c r="E79" s="234">
        <v>0</v>
      </c>
      <c r="F79" s="248">
        <f t="shared" si="44"/>
        <v>6.481603692463806E-4</v>
      </c>
      <c r="G79" s="248">
        <f t="shared" si="45"/>
        <v>8.0000000000000016E-2</v>
      </c>
      <c r="H79" s="249">
        <f t="shared" si="46"/>
        <v>0.11221356804646829</v>
      </c>
      <c r="I79" s="122"/>
      <c r="J79" s="244">
        <f t="shared" si="47"/>
        <v>0.99321869856548128</v>
      </c>
      <c r="K79" s="245">
        <f t="shared" si="48"/>
        <v>0</v>
      </c>
      <c r="L79" s="245">
        <f t="shared" si="49"/>
        <v>1.3980389035895238E-3</v>
      </c>
      <c r="M79" s="245">
        <f t="shared" si="50"/>
        <v>9.065720850804335E-7</v>
      </c>
      <c r="N79" s="245">
        <f t="shared" si="51"/>
        <v>3.4148831558483746E-3</v>
      </c>
      <c r="O79" s="245">
        <f t="shared" si="52"/>
        <v>1.3867894895591105E-4</v>
      </c>
      <c r="P79" s="245">
        <f t="shared" si="53"/>
        <v>6.4291529008049536E-5</v>
      </c>
      <c r="Q79" s="245">
        <f t="shared" si="54"/>
        <v>1.7645023250321529E-3</v>
      </c>
      <c r="R79" s="243">
        <f t="shared" si="70"/>
        <v>1.0000000000000002</v>
      </c>
      <c r="S79" s="250"/>
      <c r="T79" s="244">
        <f t="shared" si="55"/>
        <v>5.9420499873925482E-2</v>
      </c>
      <c r="U79" s="246">
        <f t="shared" si="69"/>
        <v>0.51101629891575917</v>
      </c>
      <c r="V79" s="246">
        <f t="shared" si="56"/>
        <v>4.6247595134788149E-9</v>
      </c>
      <c r="W79" s="246">
        <f t="shared" si="57"/>
        <v>1.4001020938978335E-4</v>
      </c>
      <c r="X79" s="246">
        <f t="shared" si="58"/>
        <v>2.4823531863108076E-5</v>
      </c>
      <c r="Y79" s="246">
        <f t="shared" si="59"/>
        <v>4.5004070305634679E-6</v>
      </c>
      <c r="Z79" s="246">
        <f t="shared" si="60"/>
        <v>0.5111856376888021</v>
      </c>
      <c r="AA79" s="247">
        <f t="shared" si="61"/>
        <v>5.736196433916968E-2</v>
      </c>
      <c r="AB79" s="122"/>
      <c r="AC79" s="244">
        <f t="shared" si="62"/>
        <v>1.3507924067698459E-3</v>
      </c>
      <c r="AD79" s="245">
        <f t="shared" si="63"/>
        <v>0.40263520423378285</v>
      </c>
      <c r="AE79" s="245">
        <f t="shared" si="64"/>
        <v>2.1073243954740319</v>
      </c>
      <c r="AF79" s="245">
        <f t="shared" si="65"/>
        <v>0.13272962204570246</v>
      </c>
      <c r="AG79" s="245">
        <f t="shared" si="66"/>
        <v>3.9674302550867367E-2</v>
      </c>
      <c r="AH79" s="245">
        <f t="shared" si="67"/>
        <v>2.6837143167111543</v>
      </c>
      <c r="AI79" s="247">
        <f t="shared" si="68"/>
        <v>0.30114915909554824</v>
      </c>
    </row>
    <row r="80" spans="1:35">
      <c r="A80" s="122"/>
      <c r="B80" s="241">
        <v>76</v>
      </c>
      <c r="C80" s="248">
        <f>'Other parameters'!$D$30</f>
        <v>5.9392199999999992E-2</v>
      </c>
      <c r="D80" s="242">
        <f>'Other parameters'!$G$30</f>
        <v>8.6</v>
      </c>
      <c r="E80" s="234">
        <v>0</v>
      </c>
      <c r="F80" s="248">
        <f t="shared" si="44"/>
        <v>5.8647975498212943E-4</v>
      </c>
      <c r="G80" s="248">
        <f t="shared" si="45"/>
        <v>8.0000000000000016E-2</v>
      </c>
      <c r="H80" s="249">
        <f t="shared" si="46"/>
        <v>0.10894521169560026</v>
      </c>
      <c r="I80" s="122"/>
      <c r="J80" s="244">
        <f t="shared" si="47"/>
        <v>0.99321869856548128</v>
      </c>
      <c r="K80" s="245">
        <f t="shared" si="48"/>
        <v>0</v>
      </c>
      <c r="L80" s="245">
        <f t="shared" si="49"/>
        <v>1.397454690818012E-3</v>
      </c>
      <c r="M80" s="245">
        <f t="shared" si="50"/>
        <v>8.199215136326688E-7</v>
      </c>
      <c r="N80" s="245">
        <f t="shared" si="51"/>
        <v>3.3889678757971953E-3</v>
      </c>
      <c r="O80" s="245">
        <f t="shared" si="52"/>
        <v>1.37647725162809E-4</v>
      </c>
      <c r="P80" s="245">
        <f t="shared" si="53"/>
        <v>6.3819210789755517E-5</v>
      </c>
      <c r="Q80" s="245">
        <f t="shared" si="54"/>
        <v>1.7925920104376876E-3</v>
      </c>
      <c r="R80" s="243">
        <f t="shared" si="70"/>
        <v>1.0000000000000004</v>
      </c>
      <c r="S80" s="250"/>
      <c r="T80" s="244">
        <f t="shared" si="55"/>
        <v>5.9420289685405525E-2</v>
      </c>
      <c r="U80" s="246">
        <f t="shared" si="69"/>
        <v>0.51101449129448751</v>
      </c>
      <c r="V80" s="246">
        <f t="shared" si="56"/>
        <v>4.1827228996822728E-9</v>
      </c>
      <c r="W80" s="246">
        <f t="shared" si="57"/>
        <v>1.3894768290768501E-4</v>
      </c>
      <c r="X80" s="246">
        <f t="shared" si="58"/>
        <v>2.4638942804142811E-5</v>
      </c>
      <c r="Y80" s="246">
        <f t="shared" si="59"/>
        <v>4.4673447552828864E-6</v>
      </c>
      <c r="Z80" s="246">
        <f t="shared" si="60"/>
        <v>0.51118254944767749</v>
      </c>
      <c r="AA80" s="247">
        <f t="shared" si="61"/>
        <v>5.569089106467387E-2</v>
      </c>
      <c r="AB80" s="122"/>
      <c r="AC80" s="244">
        <f t="shared" si="62"/>
        <v>1.2216830553126764E-3</v>
      </c>
      <c r="AD80" s="245">
        <f t="shared" si="63"/>
        <v>0.40246695095558743</v>
      </c>
      <c r="AE80" s="245">
        <f t="shared" si="64"/>
        <v>2.0913320761544494</v>
      </c>
      <c r="AF80" s="245">
        <f t="shared" si="65"/>
        <v>0.13174263775332448</v>
      </c>
      <c r="AG80" s="245">
        <f t="shared" si="66"/>
        <v>3.9382834978358129E-2</v>
      </c>
      <c r="AH80" s="245">
        <f t="shared" si="67"/>
        <v>2.6661461828970321</v>
      </c>
      <c r="AI80" s="247">
        <f t="shared" si="68"/>
        <v>0.29046386030713373</v>
      </c>
    </row>
    <row r="81" spans="1:35">
      <c r="A81" s="122"/>
      <c r="B81" s="241">
        <v>77</v>
      </c>
      <c r="C81" s="248">
        <f>'Other parameters'!$D$30</f>
        <v>5.9392199999999992E-2</v>
      </c>
      <c r="D81" s="242">
        <f>'Other parameters'!$G$30</f>
        <v>8.6</v>
      </c>
      <c r="E81" s="234">
        <v>0</v>
      </c>
      <c r="F81" s="248">
        <f t="shared" si="44"/>
        <v>5.3066882722839189E-4</v>
      </c>
      <c r="G81" s="248">
        <f t="shared" si="45"/>
        <v>8.0000000000000016E-2</v>
      </c>
      <c r="H81" s="249">
        <f t="shared" si="46"/>
        <v>0.10577205018990318</v>
      </c>
      <c r="I81" s="122"/>
      <c r="J81" s="244">
        <f t="shared" si="47"/>
        <v>0.99321869856548128</v>
      </c>
      <c r="K81" s="245">
        <f t="shared" si="48"/>
        <v>0</v>
      </c>
      <c r="L81" s="245">
        <f t="shared" si="49"/>
        <v>1.3969262847696752E-3</v>
      </c>
      <c r="M81" s="245">
        <f t="shared" si="50"/>
        <v>7.4158564188120938E-7</v>
      </c>
      <c r="N81" s="245">
        <f t="shared" si="51"/>
        <v>3.3631935258791731E-3</v>
      </c>
      <c r="O81" s="245">
        <f t="shared" si="52"/>
        <v>1.3661998127516048E-4</v>
      </c>
      <c r="P81" s="245">
        <f t="shared" si="53"/>
        <v>6.334787423800137E-5</v>
      </c>
      <c r="Q81" s="245">
        <f t="shared" si="54"/>
        <v>1.8204721827152005E-3</v>
      </c>
      <c r="R81" s="243">
        <f t="shared" si="70"/>
        <v>1.0000000000000004</v>
      </c>
      <c r="S81" s="250"/>
      <c r="T81" s="244">
        <f t="shared" si="55"/>
        <v>5.9420080172277505E-2</v>
      </c>
      <c r="U81" s="246">
        <f t="shared" si="69"/>
        <v>0.51101268948158651</v>
      </c>
      <c r="V81" s="246">
        <f t="shared" si="56"/>
        <v>3.7831026443364717E-9</v>
      </c>
      <c r="W81" s="246">
        <f t="shared" si="57"/>
        <v>1.3789093456104611E-4</v>
      </c>
      <c r="X81" s="246">
        <f t="shared" si="58"/>
        <v>2.4454976648253725E-5</v>
      </c>
      <c r="Y81" s="246">
        <f t="shared" si="59"/>
        <v>4.434351196660096E-6</v>
      </c>
      <c r="Z81" s="246">
        <f t="shared" si="60"/>
        <v>0.51117947352709514</v>
      </c>
      <c r="AA81" s="247">
        <f t="shared" si="61"/>
        <v>5.4068500929956194E-2</v>
      </c>
      <c r="AB81" s="122"/>
      <c r="AC81" s="244">
        <f t="shared" si="62"/>
        <v>1.1049626064030019E-3</v>
      </c>
      <c r="AD81" s="245">
        <f t="shared" si="63"/>
        <v>0.40231477001366645</v>
      </c>
      <c r="AE81" s="245">
        <f t="shared" si="64"/>
        <v>2.075426724820038</v>
      </c>
      <c r="AF81" s="245">
        <f t="shared" si="65"/>
        <v>0.1307589840784561</v>
      </c>
      <c r="AG81" s="245">
        <f t="shared" si="66"/>
        <v>3.9091973192270646E-2</v>
      </c>
      <c r="AH81" s="245">
        <f t="shared" si="67"/>
        <v>2.6486974147108344</v>
      </c>
      <c r="AI81" s="247">
        <f t="shared" si="68"/>
        <v>0.28015815588666121</v>
      </c>
    </row>
    <row r="82" spans="1:35">
      <c r="A82" s="122"/>
      <c r="B82" s="241">
        <v>78</v>
      </c>
      <c r="C82" s="248">
        <f>'Other parameters'!$D$30</f>
        <v>5.9392199999999992E-2</v>
      </c>
      <c r="D82" s="242">
        <f>'Other parameters'!$G$30</f>
        <v>8.6</v>
      </c>
      <c r="E82" s="234">
        <v>0</v>
      </c>
      <c r="F82" s="248">
        <f t="shared" si="44"/>
        <v>4.80169011461509E-4</v>
      </c>
      <c r="G82" s="248">
        <f t="shared" si="45"/>
        <v>8.0000000000000016E-2</v>
      </c>
      <c r="H82" s="249">
        <f t="shared" si="46"/>
        <v>0.10269131086398368</v>
      </c>
      <c r="I82" s="122"/>
      <c r="J82" s="244">
        <f t="shared" si="47"/>
        <v>0.99321869856548128</v>
      </c>
      <c r="K82" s="245">
        <f t="shared" si="48"/>
        <v>0</v>
      </c>
      <c r="L82" s="245">
        <f t="shared" si="49"/>
        <v>1.3964483363233218E-3</v>
      </c>
      <c r="M82" s="245">
        <f t="shared" si="50"/>
        <v>6.7076071324245333E-7</v>
      </c>
      <c r="N82" s="245">
        <f t="shared" si="51"/>
        <v>3.3375648167693569E-3</v>
      </c>
      <c r="O82" s="245">
        <f t="shared" si="52"/>
        <v>1.3559613460938154E-4</v>
      </c>
      <c r="P82" s="245">
        <f t="shared" si="53"/>
        <v>6.2877779018610078E-5</v>
      </c>
      <c r="Q82" s="245">
        <f t="shared" si="54"/>
        <v>1.8481436070851794E-3</v>
      </c>
      <c r="R82" s="243">
        <f t="shared" si="70"/>
        <v>1.0000000000000002</v>
      </c>
      <c r="S82" s="250"/>
      <c r="T82" s="244">
        <f t="shared" si="55"/>
        <v>5.9419871424369969E-2</v>
      </c>
      <c r="U82" s="246">
        <f t="shared" si="69"/>
        <v>0.51101089424958168</v>
      </c>
      <c r="V82" s="246">
        <f t="shared" si="56"/>
        <v>3.4217984878286253E-9</v>
      </c>
      <c r="W82" s="246">
        <f t="shared" si="57"/>
        <v>1.3684015748754365E-4</v>
      </c>
      <c r="X82" s="246">
        <f t="shared" si="58"/>
        <v>2.4271708095079294E-5</v>
      </c>
      <c r="Y82" s="246">
        <f t="shared" si="59"/>
        <v>4.4014445313027056E-6</v>
      </c>
      <c r="Z82" s="246">
        <f t="shared" si="60"/>
        <v>0.51117641098149402</v>
      </c>
      <c r="AA82" s="247">
        <f t="shared" si="61"/>
        <v>5.2493375726436087E-2</v>
      </c>
      <c r="AB82" s="122"/>
      <c r="AC82" s="244">
        <f t="shared" si="62"/>
        <v>9.9943346273125553E-4</v>
      </c>
      <c r="AD82" s="245">
        <f t="shared" si="63"/>
        <v>0.40217712086111668</v>
      </c>
      <c r="AE82" s="245">
        <f t="shared" si="64"/>
        <v>2.0596112484283702</v>
      </c>
      <c r="AF82" s="245">
        <f t="shared" si="65"/>
        <v>0.12977906043463908</v>
      </c>
      <c r="AG82" s="245">
        <f t="shared" si="66"/>
        <v>3.880187743238428E-2</v>
      </c>
      <c r="AH82" s="245">
        <f t="shared" si="67"/>
        <v>2.6313687406192416</v>
      </c>
      <c r="AI82" s="247">
        <f t="shared" si="68"/>
        <v>0.27021870534069981</v>
      </c>
    </row>
    <row r="83" spans="1:35">
      <c r="A83" s="122"/>
      <c r="B83" s="241">
        <v>79</v>
      </c>
      <c r="C83" s="248">
        <f>'Other parameters'!$D$30</f>
        <v>5.9392199999999992E-2</v>
      </c>
      <c r="D83" s="242">
        <f>'Other parameters'!$G$30</f>
        <v>8.6</v>
      </c>
      <c r="E83" s="234">
        <v>0</v>
      </c>
      <c r="F83" s="248">
        <f t="shared" si="44"/>
        <v>4.3447488855171106E-4</v>
      </c>
      <c r="G83" s="248">
        <f t="shared" si="45"/>
        <v>8.0000000000000016E-2</v>
      </c>
      <c r="H83" s="249">
        <f t="shared" si="46"/>
        <v>9.9700301809692873E-2</v>
      </c>
      <c r="I83" s="122"/>
      <c r="J83" s="244">
        <f t="shared" si="47"/>
        <v>0.99321869856548128</v>
      </c>
      <c r="K83" s="245">
        <f t="shared" si="48"/>
        <v>0</v>
      </c>
      <c r="L83" s="245">
        <f t="shared" si="49"/>
        <v>1.3960160123734724E-3</v>
      </c>
      <c r="M83" s="245">
        <f t="shared" si="50"/>
        <v>6.0672173529229764E-7</v>
      </c>
      <c r="N83" s="245">
        <f t="shared" si="51"/>
        <v>3.3120858618699094E-3</v>
      </c>
      <c r="O83" s="245">
        <f t="shared" si="52"/>
        <v>1.34576554726256E-4</v>
      </c>
      <c r="P83" s="245">
        <f t="shared" si="53"/>
        <v>6.2409155592436943E-5</v>
      </c>
      <c r="Q83" s="245">
        <f t="shared" si="54"/>
        <v>1.875607128221725E-3</v>
      </c>
      <c r="R83" s="243">
        <f t="shared" si="70"/>
        <v>1.0000000000000004</v>
      </c>
      <c r="S83" s="250"/>
      <c r="T83" s="244">
        <f t="shared" si="55"/>
        <v>5.9419663521136534E-2</v>
      </c>
      <c r="U83" s="246">
        <f t="shared" si="69"/>
        <v>0.51100910628177421</v>
      </c>
      <c r="V83" s="246">
        <f t="shared" si="56"/>
        <v>3.0951119756555025E-9</v>
      </c>
      <c r="W83" s="246">
        <f t="shared" si="57"/>
        <v>1.357955203366663E-4</v>
      </c>
      <c r="X83" s="246">
        <f t="shared" si="58"/>
        <v>2.4089203295999822E-5</v>
      </c>
      <c r="Y83" s="246">
        <f t="shared" si="59"/>
        <v>4.3686408914705863E-6</v>
      </c>
      <c r="Z83" s="246">
        <f t="shared" si="60"/>
        <v>0.51117336274141034</v>
      </c>
      <c r="AA83" s="247">
        <f t="shared" si="61"/>
        <v>5.0964138542394226E-2</v>
      </c>
      <c r="AB83" s="122"/>
      <c r="AC83" s="244">
        <f t="shared" si="62"/>
        <v>9.0401538558552345E-4</v>
      </c>
      <c r="AD83" s="245">
        <f t="shared" si="63"/>
        <v>0.40205261156356004</v>
      </c>
      <c r="AE83" s="245">
        <f t="shared" si="64"/>
        <v>2.0438881853599211</v>
      </c>
      <c r="AF83" s="245">
        <f t="shared" si="65"/>
        <v>0.12880322052849963</v>
      </c>
      <c r="AG83" s="245">
        <f t="shared" si="66"/>
        <v>3.8512689916092836E-2</v>
      </c>
      <c r="AH83" s="245">
        <f t="shared" si="67"/>
        <v>2.6141607227536592</v>
      </c>
      <c r="AI83" s="247">
        <f t="shared" si="68"/>
        <v>0.26063261303758467</v>
      </c>
    </row>
    <row r="84" spans="1:35">
      <c r="A84" s="122"/>
      <c r="B84" s="241">
        <v>80</v>
      </c>
      <c r="C84" s="248">
        <f>'Other parameters'!$D$31</f>
        <v>9.5447599999999994E-2</v>
      </c>
      <c r="D84" s="242">
        <f>'Other parameters'!$G$31</f>
        <v>6.2</v>
      </c>
      <c r="E84" s="234">
        <v>0</v>
      </c>
      <c r="F84" s="248">
        <f t="shared" si="44"/>
        <v>3.9312913635859134E-4</v>
      </c>
      <c r="G84" s="248">
        <f t="shared" si="45"/>
        <v>8.0000000000000016E-2</v>
      </c>
      <c r="H84" s="249">
        <f t="shared" si="46"/>
        <v>9.679640952397367E-2</v>
      </c>
      <c r="I84" s="122"/>
      <c r="J84" s="244">
        <f t="shared" si="47"/>
        <v>0.99321869856548128</v>
      </c>
      <c r="K84" s="245">
        <f t="shared" si="48"/>
        <v>0</v>
      </c>
      <c r="L84" s="245">
        <f t="shared" si="49"/>
        <v>1.3956249454553612E-3</v>
      </c>
      <c r="M84" s="245">
        <f t="shared" si="50"/>
        <v>5.4881456928714772E-7</v>
      </c>
      <c r="N84" s="245">
        <f t="shared" si="51"/>
        <v>3.2867602367871039E-3</v>
      </c>
      <c r="O84" s="245">
        <f t="shared" si="52"/>
        <v>1.33561568428858E-4</v>
      </c>
      <c r="P84" s="245">
        <f t="shared" si="53"/>
        <v>6.1942208297331854E-5</v>
      </c>
      <c r="Q84" s="245">
        <f t="shared" si="54"/>
        <v>1.9028636609811499E-3</v>
      </c>
      <c r="R84" s="243">
        <f t="shared" si="70"/>
        <v>1.0000000000000002</v>
      </c>
      <c r="S84" s="250"/>
      <c r="T84" s="244">
        <f t="shared" si="55"/>
        <v>9.5474856532759417E-2</v>
      </c>
      <c r="U84" s="246">
        <f t="shared" si="69"/>
        <v>0.59194411050310836</v>
      </c>
      <c r="V84" s="246">
        <f t="shared" si="56"/>
        <v>2.799706104144299E-9</v>
      </c>
      <c r="W84" s="246">
        <f t="shared" si="57"/>
        <v>1.3475716970827128E-4</v>
      </c>
      <c r="X84" s="246">
        <f t="shared" si="58"/>
        <v>2.3907520748765581E-5</v>
      </c>
      <c r="Y84" s="246">
        <f t="shared" si="59"/>
        <v>4.33595458081323E-6</v>
      </c>
      <c r="Z84" s="246">
        <f t="shared" si="60"/>
        <v>0.59210711394785231</v>
      </c>
      <c r="AA84" s="247">
        <f t="shared" si="61"/>
        <v>5.7313842683754453E-2</v>
      </c>
      <c r="AB84" s="122"/>
      <c r="AC84" s="244">
        <f t="shared" si="62"/>
        <v>8.1773370823785005E-4</v>
      </c>
      <c r="AD84" s="245">
        <f t="shared" si="63"/>
        <v>0.40193998429114403</v>
      </c>
      <c r="AE84" s="245">
        <f t="shared" si="64"/>
        <v>2.028259742121322</v>
      </c>
      <c r="AF84" s="245">
        <f t="shared" si="65"/>
        <v>0.12783177714325999</v>
      </c>
      <c r="AG84" s="245">
        <f t="shared" si="66"/>
        <v>3.8224536740283491E-2</v>
      </c>
      <c r="AH84" s="245">
        <f t="shared" si="67"/>
        <v>2.5970737740042473</v>
      </c>
      <c r="AI84" s="247">
        <f t="shared" si="68"/>
        <v>0.25138741659248698</v>
      </c>
    </row>
    <row r="85" spans="1:35">
      <c r="A85" s="122"/>
      <c r="B85" s="241">
        <v>81</v>
      </c>
      <c r="C85" s="248">
        <f>'Other parameters'!$D$31</f>
        <v>9.5447599999999994E-2</v>
      </c>
      <c r="D85" s="242">
        <f>'Other parameters'!$G$31</f>
        <v>6.2</v>
      </c>
      <c r="E85" s="234">
        <v>0</v>
      </c>
      <c r="F85" s="248">
        <f t="shared" si="44"/>
        <v>3.5571795269741458E-4</v>
      </c>
      <c r="G85" s="248">
        <f t="shared" si="45"/>
        <v>8.0000000000000016E-2</v>
      </c>
      <c r="H85" s="249">
        <f t="shared" si="46"/>
        <v>9.3977096625217166E-2</v>
      </c>
      <c r="I85" s="122"/>
      <c r="J85" s="244">
        <f t="shared" si="47"/>
        <v>0.99321869856548128</v>
      </c>
      <c r="K85" s="245">
        <f t="shared" si="48"/>
        <v>0</v>
      </c>
      <c r="L85" s="245">
        <f t="shared" si="49"/>
        <v>1.395271188395045E-3</v>
      </c>
      <c r="M85" s="245">
        <f t="shared" si="50"/>
        <v>4.9644884833082193E-7</v>
      </c>
      <c r="N85" s="245">
        <f t="shared" si="51"/>
        <v>3.2615910328566405E-3</v>
      </c>
      <c r="O85" s="245">
        <f t="shared" si="52"/>
        <v>1.3255146421309042E-4</v>
      </c>
      <c r="P85" s="245">
        <f t="shared" si="53"/>
        <v>6.1477118094188258E-5</v>
      </c>
      <c r="Q85" s="245">
        <f t="shared" si="54"/>
        <v>1.9299141821117972E-3</v>
      </c>
      <c r="R85" s="243">
        <f t="shared" si="70"/>
        <v>1.0000000000000004</v>
      </c>
      <c r="S85" s="250"/>
      <c r="T85" s="244">
        <f t="shared" si="55"/>
        <v>9.5474650521130647E-2</v>
      </c>
      <c r="U85" s="246">
        <f t="shared" si="69"/>
        <v>0.59194283323101005</v>
      </c>
      <c r="V85" s="246">
        <f t="shared" si="56"/>
        <v>2.5325691934027137E-9</v>
      </c>
      <c r="W85" s="246">
        <f t="shared" si="57"/>
        <v>1.3372523234712227E-4</v>
      </c>
      <c r="X85" s="246">
        <f t="shared" si="58"/>
        <v>2.3726712094143186E-5</v>
      </c>
      <c r="Y85" s="246">
        <f t="shared" si="59"/>
        <v>4.3033982665931785E-6</v>
      </c>
      <c r="Z85" s="246">
        <f t="shared" si="60"/>
        <v>0.5921045911062871</v>
      </c>
      <c r="AA85" s="247">
        <f t="shared" si="61"/>
        <v>5.5644270370630244E-2</v>
      </c>
      <c r="AB85" s="122"/>
      <c r="AC85" s="244">
        <f t="shared" si="62"/>
        <v>7.3970878401292473E-4</v>
      </c>
      <c r="AD85" s="245">
        <f t="shared" si="63"/>
        <v>0.40183810225777294</v>
      </c>
      <c r="AE85" s="245">
        <f t="shared" si="64"/>
        <v>2.012727826375833</v>
      </c>
      <c r="AF85" s="245">
        <f t="shared" si="65"/>
        <v>0.12686500639834886</v>
      </c>
      <c r="AG85" s="245">
        <f t="shared" si="66"/>
        <v>3.7937529575923577E-2</v>
      </c>
      <c r="AH85" s="245">
        <f t="shared" si="67"/>
        <v>2.5801081733918911</v>
      </c>
      <c r="AI85" s="247">
        <f t="shared" si="68"/>
        <v>0.24247107511436231</v>
      </c>
    </row>
    <row r="86" spans="1:35">
      <c r="A86" s="122"/>
      <c r="B86" s="241">
        <v>82</v>
      </c>
      <c r="C86" s="248">
        <f>'Other parameters'!$D$31</f>
        <v>9.5447599999999994E-2</v>
      </c>
      <c r="D86" s="242">
        <f>'Other parameters'!$G$31</f>
        <v>6.2</v>
      </c>
      <c r="E86" s="234">
        <v>0</v>
      </c>
      <c r="F86" s="248">
        <f t="shared" si="44"/>
        <v>3.2186691386776605E-4</v>
      </c>
      <c r="G86" s="248">
        <f t="shared" si="45"/>
        <v>8.0000000000000016E-2</v>
      </c>
      <c r="H86" s="249">
        <f t="shared" si="46"/>
        <v>9.1239899636133173E-2</v>
      </c>
      <c r="I86" s="122"/>
      <c r="J86" s="244">
        <f t="shared" si="47"/>
        <v>0.99321869856548128</v>
      </c>
      <c r="K86" s="245">
        <f t="shared" si="48"/>
        <v>0</v>
      </c>
      <c r="L86" s="245">
        <f t="shared" si="49"/>
        <v>1.3949511734641937E-3</v>
      </c>
      <c r="M86" s="245">
        <f t="shared" si="50"/>
        <v>4.4909163141732354E-7</v>
      </c>
      <c r="N86" s="245">
        <f t="shared" si="51"/>
        <v>3.2365809053357623E-3</v>
      </c>
      <c r="O86" s="245">
        <f t="shared" si="52"/>
        <v>1.3154649623530211E-4</v>
      </c>
      <c r="P86" s="245">
        <f t="shared" si="53"/>
        <v>6.1014045015286985E-5</v>
      </c>
      <c r="Q86" s="245">
        <f t="shared" si="54"/>
        <v>1.9567597228371298E-3</v>
      </c>
      <c r="R86" s="243">
        <f t="shared" si="70"/>
        <v>1.0000000000000002</v>
      </c>
      <c r="S86" s="250"/>
      <c r="T86" s="244">
        <f t="shared" si="55"/>
        <v>9.5474445540725331E-2</v>
      </c>
      <c r="U86" s="246">
        <f t="shared" si="69"/>
        <v>0.59194156235249706</v>
      </c>
      <c r="V86" s="246">
        <f t="shared" si="56"/>
        <v>2.2909825142439904E-9</v>
      </c>
      <c r="W86" s="246">
        <f t="shared" si="57"/>
        <v>1.3269981711876627E-4</v>
      </c>
      <c r="X86" s="246">
        <f t="shared" si="58"/>
        <v>2.3546822826119077E-5</v>
      </c>
      <c r="Y86" s="246">
        <f t="shared" si="59"/>
        <v>4.2709831510700893E-6</v>
      </c>
      <c r="Z86" s="246">
        <f t="shared" si="60"/>
        <v>0.59210208226657546</v>
      </c>
      <c r="AA86" s="247">
        <f t="shared" si="61"/>
        <v>5.4023334560347809E-2</v>
      </c>
      <c r="AB86" s="122"/>
      <c r="AC86" s="244">
        <f t="shared" si="62"/>
        <v>6.6914653081181206E-4</v>
      </c>
      <c r="AD86" s="245">
        <f t="shared" si="63"/>
        <v>0.40174593795768776</v>
      </c>
      <c r="AE86" s="245">
        <f t="shared" si="64"/>
        <v>1.997294076682699</v>
      </c>
      <c r="AF86" s="245">
        <f t="shared" si="65"/>
        <v>0.12590315154680765</v>
      </c>
      <c r="AG86" s="245">
        <f t="shared" si="66"/>
        <v>3.76517671789336E-2</v>
      </c>
      <c r="AH86" s="245">
        <f t="shared" si="67"/>
        <v>2.5632640798969399</v>
      </c>
      <c r="AI86" s="247">
        <f t="shared" si="68"/>
        <v>0.23387195739070205</v>
      </c>
    </row>
    <row r="87" spans="1:35">
      <c r="A87" s="122"/>
      <c r="B87" s="241">
        <v>83</v>
      </c>
      <c r="C87" s="248">
        <f>'Other parameters'!$D$31</f>
        <v>9.5447599999999994E-2</v>
      </c>
      <c r="D87" s="242">
        <f>'Other parameters'!$G$31</f>
        <v>6.2</v>
      </c>
      <c r="E87" s="234">
        <v>0</v>
      </c>
      <c r="F87" s="248">
        <f t="shared" si="44"/>
        <v>2.9123722729531215E-4</v>
      </c>
      <c r="G87" s="248">
        <f t="shared" si="45"/>
        <v>8.0000000000000016E-2</v>
      </c>
      <c r="H87" s="249">
        <f t="shared" si="46"/>
        <v>8.8582426831197242E-2</v>
      </c>
      <c r="I87" s="122"/>
      <c r="J87" s="244">
        <f t="shared" si="47"/>
        <v>0.99321869856548128</v>
      </c>
      <c r="K87" s="245">
        <f t="shared" si="48"/>
        <v>0</v>
      </c>
      <c r="L87" s="245">
        <f t="shared" si="49"/>
        <v>1.3946616755763901E-3</v>
      </c>
      <c r="M87" s="245">
        <f t="shared" si="50"/>
        <v>4.0626171197205379E-7</v>
      </c>
      <c r="N87" s="245">
        <f t="shared" si="51"/>
        <v>3.2117321168121911E-3</v>
      </c>
      <c r="O87" s="245">
        <f t="shared" si="52"/>
        <v>1.3054688785319382E-4</v>
      </c>
      <c r="P87" s="245">
        <f t="shared" si="53"/>
        <v>6.0553130348621255E-5</v>
      </c>
      <c r="Q87" s="245">
        <f t="shared" si="54"/>
        <v>1.9834013622167237E-3</v>
      </c>
      <c r="R87" s="243">
        <f t="shared" si="70"/>
        <v>1.0000000000000002</v>
      </c>
      <c r="S87" s="250"/>
      <c r="T87" s="244">
        <f t="shared" si="55"/>
        <v>9.5474241639379592E-2</v>
      </c>
      <c r="U87" s="246">
        <f t="shared" si="69"/>
        <v>0.5919402981641535</v>
      </c>
      <c r="V87" s="246">
        <f t="shared" si="56"/>
        <v>2.072491253950587E-9</v>
      </c>
      <c r="W87" s="246">
        <f t="shared" si="57"/>
        <v>1.3168101678929985E-4</v>
      </c>
      <c r="X87" s="246">
        <f t="shared" si="58"/>
        <v>2.3367892925721693E-5</v>
      </c>
      <c r="Y87" s="246">
        <f t="shared" si="59"/>
        <v>4.2387191244034885E-6</v>
      </c>
      <c r="Z87" s="246">
        <f t="shared" si="60"/>
        <v>0.59209958786548411</v>
      </c>
      <c r="AA87" s="247">
        <f t="shared" si="61"/>
        <v>5.2449618418876291E-2</v>
      </c>
      <c r="AB87" s="122"/>
      <c r="AC87" s="244">
        <f t="shared" si="62"/>
        <v>6.0532995083836013E-4</v>
      </c>
      <c r="AD87" s="245">
        <f t="shared" si="63"/>
        <v>0.40166256256600036</v>
      </c>
      <c r="AE87" s="245">
        <f t="shared" si="64"/>
        <v>1.9819598892848032</v>
      </c>
      <c r="AF87" s="245">
        <f t="shared" si="65"/>
        <v>0.1249464263642918</v>
      </c>
      <c r="AG87" s="245">
        <f t="shared" si="66"/>
        <v>3.736733673813418E-2</v>
      </c>
      <c r="AH87" s="245">
        <f t="shared" si="67"/>
        <v>2.5465415449040676</v>
      </c>
      <c r="AI87" s="247">
        <f t="shared" si="68"/>
        <v>0.22557883007406856</v>
      </c>
    </row>
    <row r="88" spans="1:35">
      <c r="A88" s="122"/>
      <c r="B88" s="241">
        <v>84</v>
      </c>
      <c r="C88" s="248">
        <f>'Other parameters'!$D$31</f>
        <v>9.5447599999999994E-2</v>
      </c>
      <c r="D88" s="242">
        <f>'Other parameters'!$G$31</f>
        <v>6.2</v>
      </c>
      <c r="E88" s="234">
        <v>0</v>
      </c>
      <c r="F88" s="248">
        <f t="shared" si="44"/>
        <v>2.6352234078184223E-4</v>
      </c>
      <c r="G88" s="248">
        <f t="shared" si="45"/>
        <v>8.0000000000000016E-2</v>
      </c>
      <c r="H88" s="249">
        <f t="shared" si="46"/>
        <v>8.6002356146793454E-2</v>
      </c>
      <c r="I88" s="122"/>
      <c r="J88" s="244">
        <f t="shared" si="47"/>
        <v>0.99321869856548128</v>
      </c>
      <c r="K88" s="245">
        <f t="shared" si="48"/>
        <v>0</v>
      </c>
      <c r="L88" s="245">
        <f t="shared" si="49"/>
        <v>1.3943997791121562E-3</v>
      </c>
      <c r="M88" s="245">
        <f t="shared" si="50"/>
        <v>3.6752450934661657E-7</v>
      </c>
      <c r="N88" s="245">
        <f t="shared" si="51"/>
        <v>3.1870465763197274E-3</v>
      </c>
      <c r="O88" s="245">
        <f t="shared" si="52"/>
        <v>1.2955283478911298E-4</v>
      </c>
      <c r="P88" s="245">
        <f t="shared" si="53"/>
        <v>6.0094498587916848E-5</v>
      </c>
      <c r="Q88" s="245">
        <f t="shared" si="54"/>
        <v>2.0098402212008321E-3</v>
      </c>
      <c r="R88" s="243">
        <f t="shared" si="70"/>
        <v>1.0000000000000004</v>
      </c>
      <c r="S88" s="250"/>
      <c r="T88" s="244">
        <f t="shared" si="55"/>
        <v>9.5474038858984103E-2</v>
      </c>
      <c r="U88" s="246">
        <f t="shared" si="69"/>
        <v>0.59193904092570149</v>
      </c>
      <c r="V88" s="246">
        <f t="shared" si="56"/>
        <v>1.8748784558997263E-9</v>
      </c>
      <c r="W88" s="246">
        <f t="shared" si="57"/>
        <v>1.3066890962910884E-4</v>
      </c>
      <c r="X88" s="246">
        <f t="shared" si="58"/>
        <v>2.3189957427251224E-5</v>
      </c>
      <c r="Y88" s="246">
        <f t="shared" si="59"/>
        <v>4.2066149011541797E-6</v>
      </c>
      <c r="Z88" s="246">
        <f t="shared" si="60"/>
        <v>0.59209710828253748</v>
      </c>
      <c r="AA88" s="247">
        <f t="shared" si="61"/>
        <v>5.0921746380001319E-2</v>
      </c>
      <c r="AB88" s="122"/>
      <c r="AC88" s="244">
        <f t="shared" si="62"/>
        <v>5.476115189264587E-4</v>
      </c>
      <c r="AD88" s="245">
        <f t="shared" si="63"/>
        <v>0.40158713638430099</v>
      </c>
      <c r="AE88" s="245">
        <f t="shared" si="64"/>
        <v>1.966726442246904</v>
      </c>
      <c r="AF88" s="245">
        <f t="shared" si="65"/>
        <v>0.12399501817666003</v>
      </c>
      <c r="AG88" s="245">
        <f t="shared" si="66"/>
        <v>3.7084315078603491E-2</v>
      </c>
      <c r="AH88" s="245">
        <f t="shared" si="67"/>
        <v>2.5299405234053949</v>
      </c>
      <c r="AI88" s="247">
        <f t="shared" si="68"/>
        <v>0.21758084592411581</v>
      </c>
    </row>
    <row r="89" spans="1:35">
      <c r="A89" s="122"/>
      <c r="B89" s="241">
        <v>85</v>
      </c>
      <c r="C89" s="248">
        <f>'Other parameters'!$D$32</f>
        <v>0.12420580000000001</v>
      </c>
      <c r="D89" s="242">
        <f>'Other parameters'!$G$32</f>
        <v>4.5999999999999996</v>
      </c>
      <c r="E89" s="234">
        <v>0</v>
      </c>
      <c r="F89" s="248">
        <f t="shared" si="44"/>
        <v>2.3844487442783421E-4</v>
      </c>
      <c r="G89" s="248">
        <f t="shared" si="45"/>
        <v>8.0000000000000016E-2</v>
      </c>
      <c r="H89" s="249">
        <f t="shared" si="46"/>
        <v>8.3497433152226644E-2</v>
      </c>
      <c r="I89" s="122"/>
      <c r="J89" s="244">
        <f t="shared" si="47"/>
        <v>0.99321869856548128</v>
      </c>
      <c r="K89" s="245">
        <f t="shared" si="48"/>
        <v>0</v>
      </c>
      <c r="L89" s="245">
        <f t="shared" si="49"/>
        <v>1.3941628480043538E-3</v>
      </c>
      <c r="M89" s="245">
        <f t="shared" si="50"/>
        <v>3.3248748023259784E-7</v>
      </c>
      <c r="N89" s="245">
        <f t="shared" si="51"/>
        <v>3.1625258745973926E-3</v>
      </c>
      <c r="O89" s="245">
        <f t="shared" si="52"/>
        <v>1.2856450795870145E-4</v>
      </c>
      <c r="P89" s="245">
        <f t="shared" si="53"/>
        <v>5.9638259174571555E-5</v>
      </c>
      <c r="Q89" s="245">
        <f t="shared" si="54"/>
        <v>2.0360774573038405E-3</v>
      </c>
      <c r="R89" s="243">
        <f t="shared" si="70"/>
        <v>1.0000000000000004</v>
      </c>
      <c r="S89" s="250"/>
      <c r="T89" s="244">
        <f t="shared" si="55"/>
        <v>0.12423203723610302</v>
      </c>
      <c r="U89" s="246">
        <f t="shared" si="69"/>
        <v>0.57146737128607383</v>
      </c>
      <c r="V89" s="246">
        <f t="shared" si="56"/>
        <v>1.6961416114879377E-9</v>
      </c>
      <c r="W89" s="246">
        <f t="shared" si="57"/>
        <v>1.2966356085849311E-4</v>
      </c>
      <c r="X89" s="246">
        <f t="shared" si="58"/>
        <v>2.3013046924607559E-5</v>
      </c>
      <c r="Y89" s="246">
        <f t="shared" si="59"/>
        <v>4.1746781422200089E-6</v>
      </c>
      <c r="Z89" s="246">
        <f t="shared" si="60"/>
        <v>0.57162422426814075</v>
      </c>
      <c r="AA89" s="247">
        <f t="shared" si="61"/>
        <v>4.7729155454022495E-2</v>
      </c>
      <c r="AB89" s="122"/>
      <c r="AC89" s="244">
        <f t="shared" si="62"/>
        <v>4.9540634554657073E-4</v>
      </c>
      <c r="AD89" s="245">
        <f t="shared" si="63"/>
        <v>0.40151890022525388</v>
      </c>
      <c r="AE89" s="245">
        <f t="shared" si="64"/>
        <v>1.9515947172140511</v>
      </c>
      <c r="AF89" s="245">
        <f t="shared" si="65"/>
        <v>0.12304909056727316</v>
      </c>
      <c r="AG89" s="245">
        <f t="shared" si="66"/>
        <v>3.6802769736628105E-2</v>
      </c>
      <c r="AH89" s="245">
        <f t="shared" si="67"/>
        <v>2.5134608840887527</v>
      </c>
      <c r="AI89" s="247">
        <f t="shared" si="68"/>
        <v>0.20986753214993711</v>
      </c>
    </row>
    <row r="90" spans="1:35">
      <c r="A90" s="122"/>
      <c r="B90" s="241">
        <v>86</v>
      </c>
      <c r="C90" s="248">
        <f>'Other parameters'!$D$32</f>
        <v>0.12420580000000001</v>
      </c>
      <c r="D90" s="242">
        <f>'Other parameters'!$G$32</f>
        <v>4.5999999999999996</v>
      </c>
      <c r="E90" s="234">
        <v>0</v>
      </c>
      <c r="F90" s="248">
        <f t="shared" si="44"/>
        <v>2.1575384452119021E-4</v>
      </c>
      <c r="G90" s="248">
        <f t="shared" si="45"/>
        <v>8.0000000000000016E-2</v>
      </c>
      <c r="H90" s="249">
        <f t="shared" si="46"/>
        <v>8.1065469079831712E-2</v>
      </c>
      <c r="I90" s="122"/>
      <c r="J90" s="244">
        <f t="shared" si="47"/>
        <v>0.99321869856548128</v>
      </c>
      <c r="K90" s="245">
        <f t="shared" si="48"/>
        <v>0</v>
      </c>
      <c r="L90" s="245">
        <f t="shared" si="49"/>
        <v>1.3939484987548687E-3</v>
      </c>
      <c r="M90" s="245">
        <f t="shared" si="50"/>
        <v>3.0079599434555108E-7</v>
      </c>
      <c r="N90" s="245">
        <f t="shared" si="51"/>
        <v>3.1381713158822122E-3</v>
      </c>
      <c r="O90" s="245">
        <f t="shared" si="52"/>
        <v>1.2758205600255819E-4</v>
      </c>
      <c r="P90" s="245">
        <f t="shared" si="53"/>
        <v>5.9184508054671793E-5</v>
      </c>
      <c r="Q90" s="245">
        <f t="shared" si="54"/>
        <v>2.0621142598304361E-3</v>
      </c>
      <c r="R90" s="243">
        <f t="shared" si="70"/>
        <v>1.0000000000000004</v>
      </c>
      <c r="S90" s="250"/>
      <c r="T90" s="244">
        <f t="shared" si="55"/>
        <v>0.1242318368025266</v>
      </c>
      <c r="U90" s="246">
        <f t="shared" si="69"/>
        <v>0.57146644929162227</v>
      </c>
      <c r="V90" s="246">
        <f t="shared" si="56"/>
        <v>1.5344716204696334E-9</v>
      </c>
      <c r="W90" s="246">
        <f t="shared" si="57"/>
        <v>1.2866502395117072E-4</v>
      </c>
      <c r="X90" s="246">
        <f t="shared" si="58"/>
        <v>2.2837188024457916E-5</v>
      </c>
      <c r="Y90" s="246">
        <f t="shared" si="59"/>
        <v>4.1429155638270256E-6</v>
      </c>
      <c r="Z90" s="246">
        <f t="shared" si="60"/>
        <v>0.57162209595363334</v>
      </c>
      <c r="AA90" s="247">
        <f t="shared" si="61"/>
        <v>4.6338813344877862E-2</v>
      </c>
      <c r="AB90" s="122"/>
      <c r="AC90" s="244">
        <f t="shared" si="62"/>
        <v>4.4818603157487113E-4</v>
      </c>
      <c r="AD90" s="245">
        <f t="shared" si="63"/>
        <v>0.40145716764140216</v>
      </c>
      <c r="AE90" s="245">
        <f t="shared" si="64"/>
        <v>1.9365655190309132</v>
      </c>
      <c r="AF90" s="245">
        <f t="shared" si="65"/>
        <v>0.12210878580004846</v>
      </c>
      <c r="AG90" s="245">
        <f t="shared" si="66"/>
        <v>3.6522759920537967E-2</v>
      </c>
      <c r="AH90" s="245">
        <f t="shared" si="67"/>
        <v>2.4971024184244763</v>
      </c>
      <c r="AI90" s="247">
        <f t="shared" si="68"/>
        <v>0.20242877888996239</v>
      </c>
    </row>
    <row r="91" spans="1:35">
      <c r="A91" s="122"/>
      <c r="B91" s="241">
        <v>87</v>
      </c>
      <c r="C91" s="248">
        <f>'Other parameters'!$D$32</f>
        <v>0.12420580000000001</v>
      </c>
      <c r="D91" s="242">
        <f>'Other parameters'!$G$32</f>
        <v>4.5999999999999996</v>
      </c>
      <c r="E91" s="234">
        <v>0</v>
      </c>
      <c r="F91" s="248">
        <f t="shared" si="44"/>
        <v>1.952221516078855E-4</v>
      </c>
      <c r="G91" s="248">
        <f t="shared" si="45"/>
        <v>8.0000000000000016E-2</v>
      </c>
      <c r="H91" s="249">
        <f t="shared" si="46"/>
        <v>7.8704338912457969E-2</v>
      </c>
      <c r="I91" s="122"/>
      <c r="J91" s="244">
        <f t="shared" si="47"/>
        <v>0.99321869856548128</v>
      </c>
      <c r="K91" s="245">
        <f t="shared" si="48"/>
        <v>0</v>
      </c>
      <c r="L91" s="245">
        <f t="shared" si="49"/>
        <v>1.3937545760882412E-3</v>
      </c>
      <c r="M91" s="245">
        <f t="shared" si="50"/>
        <v>2.7212962515750737E-7</v>
      </c>
      <c r="N91" s="245">
        <f t="shared" si="51"/>
        <v>3.1139839465843841E-3</v>
      </c>
      <c r="O91" s="245">
        <f t="shared" si="52"/>
        <v>1.266056075539879E-4</v>
      </c>
      <c r="P91" s="245">
        <f t="shared" si="53"/>
        <v>5.8733329071549342E-5</v>
      </c>
      <c r="Q91" s="245">
        <f t="shared" si="54"/>
        <v>2.0879518455957729E-3</v>
      </c>
      <c r="R91" s="243">
        <f t="shared" si="70"/>
        <v>1.0000000000000004</v>
      </c>
      <c r="S91" s="250"/>
      <c r="T91" s="244">
        <f t="shared" si="55"/>
        <v>0.12423163758576534</v>
      </c>
      <c r="U91" s="246">
        <f t="shared" si="69"/>
        <v>0.57146553289452051</v>
      </c>
      <c r="V91" s="246">
        <f t="shared" si="56"/>
        <v>1.3882338686117227E-9</v>
      </c>
      <c r="W91" s="246">
        <f t="shared" si="57"/>
        <v>1.2767334180995975E-4</v>
      </c>
      <c r="X91" s="246">
        <f t="shared" si="58"/>
        <v>2.2662403752163834E-5</v>
      </c>
      <c r="Y91" s="246">
        <f t="shared" si="59"/>
        <v>4.1113330350084547E-6</v>
      </c>
      <c r="Z91" s="246">
        <f t="shared" si="60"/>
        <v>0.5716199813613515</v>
      </c>
      <c r="AA91" s="247">
        <f t="shared" si="61"/>
        <v>4.4988972742196716E-2</v>
      </c>
      <c r="AB91" s="122"/>
      <c r="AC91" s="244">
        <f t="shared" si="62"/>
        <v>4.05473141484686E-4</v>
      </c>
      <c r="AD91" s="245">
        <f t="shared" si="63"/>
        <v>0.40140131791341349</v>
      </c>
      <c r="AE91" s="245">
        <f t="shared" si="64"/>
        <v>1.9216394934372234</v>
      </c>
      <c r="AF91" s="245">
        <f t="shared" si="65"/>
        <v>0.12117422698992182</v>
      </c>
      <c r="AG91" s="245">
        <f t="shared" si="66"/>
        <v>3.6244337370053101E-2</v>
      </c>
      <c r="AH91" s="245">
        <f t="shared" si="67"/>
        <v>2.4808648488520966</v>
      </c>
      <c r="AI91" s="247">
        <f t="shared" si="68"/>
        <v>0.19525482786005921</v>
      </c>
    </row>
    <row r="92" spans="1:35">
      <c r="A92" s="122"/>
      <c r="B92" s="241">
        <v>88</v>
      </c>
      <c r="C92" s="248">
        <f>'Other parameters'!$D$32</f>
        <v>0.12420580000000001</v>
      </c>
      <c r="D92" s="242">
        <f>'Other parameters'!$G$32</f>
        <v>4.5999999999999996</v>
      </c>
      <c r="E92" s="234">
        <v>0</v>
      </c>
      <c r="F92" s="248">
        <f t="shared" si="44"/>
        <v>1.7664430760430384E-4</v>
      </c>
      <c r="G92" s="248">
        <f t="shared" si="45"/>
        <v>8.0000000000000016E-2</v>
      </c>
      <c r="H92" s="249">
        <f t="shared" si="46"/>
        <v>7.6411979526658208E-2</v>
      </c>
      <c r="I92" s="122"/>
      <c r="J92" s="244">
        <f t="shared" si="47"/>
        <v>0.99321869856548128</v>
      </c>
      <c r="K92" s="245">
        <f t="shared" si="48"/>
        <v>0</v>
      </c>
      <c r="L92" s="245">
        <f t="shared" si="49"/>
        <v>1.3935791309787186E-3</v>
      </c>
      <c r="M92" s="245">
        <f t="shared" si="50"/>
        <v>2.4619881206343737E-7</v>
      </c>
      <c r="N92" s="245">
        <f t="shared" si="51"/>
        <v>3.08996458115694E-3</v>
      </c>
      <c r="O92" s="245">
        <f t="shared" si="52"/>
        <v>1.2563527327192505E-4</v>
      </c>
      <c r="P92" s="245">
        <f t="shared" si="53"/>
        <v>5.8284795211972178E-5</v>
      </c>
      <c r="Q92" s="245">
        <f t="shared" si="54"/>
        <v>2.1135914550874731E-3</v>
      </c>
      <c r="R92" s="243">
        <f t="shared" si="70"/>
        <v>1.0000000000000004</v>
      </c>
      <c r="S92" s="250"/>
      <c r="T92" s="244">
        <f t="shared" si="55"/>
        <v>0.12423143960949171</v>
      </c>
      <c r="U92" s="246">
        <f t="shared" si="69"/>
        <v>0.57146462220366179</v>
      </c>
      <c r="V92" s="246">
        <f t="shared" si="56"/>
        <v>1.255951200170193E-9</v>
      </c>
      <c r="W92" s="246">
        <f t="shared" si="57"/>
        <v>1.2668854782743456E-4</v>
      </c>
      <c r="X92" s="246">
        <f t="shared" si="58"/>
        <v>2.2488713915674582E-5</v>
      </c>
      <c r="Y92" s="246">
        <f t="shared" si="59"/>
        <v>4.079935664838053E-6</v>
      </c>
      <c r="Z92" s="246">
        <f t="shared" si="60"/>
        <v>0.5716178806570209</v>
      </c>
      <c r="AA92" s="247">
        <f t="shared" si="61"/>
        <v>4.3678453793836038E-2</v>
      </c>
      <c r="AB92" s="122"/>
      <c r="AC92" s="244">
        <f t="shared" si="62"/>
        <v>3.6683622997452168E-4</v>
      </c>
      <c r="AD92" s="245">
        <f t="shared" si="63"/>
        <v>0.40135078972187094</v>
      </c>
      <c r="AE92" s="245">
        <f t="shared" si="64"/>
        <v>1.9068171430319478</v>
      </c>
      <c r="AF92" s="245">
        <f t="shared" si="65"/>
        <v>0.12024552004855947</v>
      </c>
      <c r="AG92" s="245">
        <f t="shared" si="66"/>
        <v>3.596754712530803E-2</v>
      </c>
      <c r="AH92" s="245">
        <f t="shared" si="67"/>
        <v>2.4647478361576609</v>
      </c>
      <c r="AI92" s="247">
        <f t="shared" si="68"/>
        <v>0.1883362611948543</v>
      </c>
    </row>
    <row r="93" spans="1:35">
      <c r="A93" s="122"/>
      <c r="B93" s="241">
        <v>89</v>
      </c>
      <c r="C93" s="248">
        <f>'Other parameters'!$D$32</f>
        <v>0.12420580000000001</v>
      </c>
      <c r="D93" s="242">
        <f>'Other parameters'!$G$32</f>
        <v>4.5999999999999996</v>
      </c>
      <c r="E93" s="234">
        <v>0</v>
      </c>
      <c r="F93" s="248">
        <f t="shared" ref="F93:F104" si="71">IF(B93&lt;rf2age,0,(pA2_1a*EXP(-0.1*(B93-$B$28))))</f>
        <v>1.5983437920342815E-4</v>
      </c>
      <c r="G93" s="248">
        <f t="shared" si="45"/>
        <v>8.0000000000000016E-2</v>
      </c>
      <c r="H93" s="249">
        <f t="shared" si="46"/>
        <v>7.4186387889959446E-2</v>
      </c>
      <c r="I93" s="122"/>
      <c r="J93" s="244">
        <f t="shared" si="47"/>
        <v>0.99321869856548128</v>
      </c>
      <c r="K93" s="245">
        <f t="shared" si="48"/>
        <v>0</v>
      </c>
      <c r="L93" s="245">
        <f t="shared" si="49"/>
        <v>1.3934204008145842E-3</v>
      </c>
      <c r="M93" s="245">
        <f t="shared" si="50"/>
        <v>2.2274185527083638E-7</v>
      </c>
      <c r="N93" s="245">
        <f t="shared" si="51"/>
        <v>3.0661138254394898E-3</v>
      </c>
      <c r="O93" s="245">
        <f t="shared" si="52"/>
        <v>1.2467114766466346E-4</v>
      </c>
      <c r="P93" s="245">
        <f t="shared" si="53"/>
        <v>5.7838969721979796E-5</v>
      </c>
      <c r="Q93" s="245">
        <f t="shared" si="54"/>
        <v>2.1390343490231044E-3</v>
      </c>
      <c r="R93" s="243">
        <f t="shared" si="70"/>
        <v>1.0000000000000004</v>
      </c>
      <c r="S93" s="250"/>
      <c r="T93" s="244">
        <f t="shared" si="55"/>
        <v>0.12423124289393564</v>
      </c>
      <c r="U93" s="246">
        <f t="shared" si="69"/>
        <v>0.57146371731210388</v>
      </c>
      <c r="V93" s="246">
        <f t="shared" si="56"/>
        <v>1.1362885877104037E-9</v>
      </c>
      <c r="W93" s="246">
        <f t="shared" si="57"/>
        <v>1.2571066684301908E-4</v>
      </c>
      <c r="X93" s="246">
        <f t="shared" si="58"/>
        <v>2.2316135431974759E-5</v>
      </c>
      <c r="Y93" s="246">
        <f t="shared" si="59"/>
        <v>4.0487278805385861E-6</v>
      </c>
      <c r="Z93" s="246">
        <f t="shared" si="60"/>
        <v>0.571615793978548</v>
      </c>
      <c r="AA93" s="247">
        <f t="shared" si="61"/>
        <v>4.2406111016119706E-2</v>
      </c>
      <c r="AB93" s="122"/>
      <c r="AC93" s="244">
        <f t="shared" si="62"/>
        <v>3.3188536435354622E-4</v>
      </c>
      <c r="AD93" s="245">
        <f t="shared" si="63"/>
        <v>0.40130507543460026</v>
      </c>
      <c r="AE93" s="245">
        <f t="shared" si="64"/>
        <v>1.8920988416787092</v>
      </c>
      <c r="AF93" s="245">
        <f t="shared" si="65"/>
        <v>0.11932275542984939</v>
      </c>
      <c r="AG93" s="245">
        <f t="shared" si="66"/>
        <v>3.5692428215433732E-2</v>
      </c>
      <c r="AH93" s="245">
        <f t="shared" si="67"/>
        <v>2.4487509861229459</v>
      </c>
      <c r="AI93" s="247">
        <f t="shared" si="68"/>
        <v>0.18166399050243756</v>
      </c>
    </row>
    <row r="94" spans="1:35">
      <c r="A94" s="122"/>
      <c r="B94" s="241">
        <v>90</v>
      </c>
      <c r="C94" s="248">
        <f>'Other parameters'!$D$33</f>
        <v>0.15309420000000001</v>
      </c>
      <c r="D94" s="242">
        <f>'Other parameters'!$G$33</f>
        <v>3.3</v>
      </c>
      <c r="E94" s="234">
        <v>0</v>
      </c>
      <c r="F94" s="248">
        <f t="shared" si="71"/>
        <v>1.4462412699181034E-4</v>
      </c>
      <c r="G94" s="248">
        <f t="shared" si="45"/>
        <v>8.0000000000000016E-2</v>
      </c>
      <c r="H94" s="249">
        <f t="shared" si="46"/>
        <v>7.2025619310640235E-2</v>
      </c>
      <c r="I94" s="122"/>
      <c r="J94" s="244">
        <f t="shared" si="47"/>
        <v>0.99321869856548128</v>
      </c>
      <c r="K94" s="245">
        <f t="shared" si="48"/>
        <v>0</v>
      </c>
      <c r="L94" s="245">
        <f t="shared" si="49"/>
        <v>1.3932767914879541E-3</v>
      </c>
      <c r="M94" s="245">
        <f t="shared" si="50"/>
        <v>2.0152220900038769E-7</v>
      </c>
      <c r="N94" s="245">
        <f t="shared" si="51"/>
        <v>3.0424320977267241E-3</v>
      </c>
      <c r="O94" s="245">
        <f t="shared" si="52"/>
        <v>1.237133107270106E-4</v>
      </c>
      <c r="P94" s="245">
        <f t="shared" si="53"/>
        <v>5.7395907106540058E-5</v>
      </c>
      <c r="Q94" s="245">
        <f t="shared" si="54"/>
        <v>2.1642818052618634E-3</v>
      </c>
      <c r="R94" s="243">
        <f t="shared" si="70"/>
        <v>1.0000000000000004</v>
      </c>
      <c r="S94" s="250"/>
      <c r="T94" s="244">
        <f t="shared" si="55"/>
        <v>0.15311944745623876</v>
      </c>
      <c r="U94" s="246">
        <f t="shared" si="69"/>
        <v>0.50529417660558784</v>
      </c>
      <c r="V94" s="246">
        <f t="shared" si="56"/>
        <v>1.0280393237225257E-9</v>
      </c>
      <c r="W94" s="246">
        <f t="shared" si="57"/>
        <v>1.247397160067957E-4</v>
      </c>
      <c r="X94" s="246">
        <f t="shared" si="58"/>
        <v>2.2144682620134897E-5</v>
      </c>
      <c r="Y94" s="246">
        <f t="shared" si="59"/>
        <v>4.0177134974578042E-6</v>
      </c>
      <c r="Z94" s="246">
        <f t="shared" si="60"/>
        <v>0.50544507974575159</v>
      </c>
      <c r="AA94" s="247">
        <f t="shared" si="61"/>
        <v>3.6404994896203698E-2</v>
      </c>
      <c r="AB94" s="122"/>
      <c r="AC94" s="244">
        <f t="shared" si="62"/>
        <v>3.0026809141057764E-4</v>
      </c>
      <c r="AD94" s="245">
        <f t="shared" si="63"/>
        <v>0.40126371594853077</v>
      </c>
      <c r="AE94" s="245">
        <f t="shared" si="64"/>
        <v>1.8774848475071615</v>
      </c>
      <c r="AF94" s="245">
        <f t="shared" si="65"/>
        <v>0.11840600969682184</v>
      </c>
      <c r="AG94" s="245">
        <f t="shared" si="66"/>
        <v>3.5419014275445873E-2</v>
      </c>
      <c r="AH94" s="245">
        <f t="shared" si="67"/>
        <v>2.4328738555193703</v>
      </c>
      <c r="AI94" s="247">
        <f t="shared" si="68"/>
        <v>0.17522924614844773</v>
      </c>
    </row>
    <row r="95" spans="1:35">
      <c r="A95" s="122"/>
      <c r="B95" s="241">
        <v>91</v>
      </c>
      <c r="C95" s="248">
        <f>'Other parameters'!$D$33</f>
        <v>0.15309420000000001</v>
      </c>
      <c r="D95" s="242">
        <f>'Other parameters'!$G$33</f>
        <v>3.3</v>
      </c>
      <c r="E95" s="234">
        <v>0</v>
      </c>
      <c r="F95" s="248">
        <f t="shared" si="71"/>
        <v>1.3086132165297443E-4</v>
      </c>
      <c r="G95" s="248">
        <f t="shared" si="45"/>
        <v>8.0000000000000016E-2</v>
      </c>
      <c r="H95" s="249">
        <f t="shared" si="46"/>
        <v>6.9927785738485654E-2</v>
      </c>
      <c r="I95" s="122"/>
      <c r="J95" s="244">
        <f t="shared" si="47"/>
        <v>0.99321869856548128</v>
      </c>
      <c r="K95" s="245">
        <f t="shared" si="48"/>
        <v>0</v>
      </c>
      <c r="L95" s="245">
        <f t="shared" si="49"/>
        <v>1.3931468612199318E-3</v>
      </c>
      <c r="M95" s="245">
        <f t="shared" si="50"/>
        <v>1.8232604236252934E-7</v>
      </c>
      <c r="N95" s="245">
        <f t="shared" si="51"/>
        <v>3.0189196477866361E-3</v>
      </c>
      <c r="O95" s="245">
        <f t="shared" si="52"/>
        <v>1.2276182941085991E-4</v>
      </c>
      <c r="P95" s="245">
        <f t="shared" si="53"/>
        <v>5.695565402559052E-5</v>
      </c>
      <c r="Q95" s="245">
        <f t="shared" si="54"/>
        <v>2.1893351160337119E-3</v>
      </c>
      <c r="R95" s="243">
        <f t="shared" si="70"/>
        <v>1.0000000000000004</v>
      </c>
      <c r="S95" s="250"/>
      <c r="T95" s="244">
        <f t="shared" si="55"/>
        <v>0.15311925331077186</v>
      </c>
      <c r="U95" s="246">
        <f t="shared" si="69"/>
        <v>0.50529353592554715</v>
      </c>
      <c r="V95" s="246">
        <f t="shared" si="56"/>
        <v>9.3011257775076628E-10</v>
      </c>
      <c r="W95" s="246">
        <f t="shared" si="57"/>
        <v>1.237757055592521E-4</v>
      </c>
      <c r="X95" s="246">
        <f t="shared" si="58"/>
        <v>2.1974367464543925E-5</v>
      </c>
      <c r="Y95" s="246">
        <f t="shared" si="59"/>
        <v>3.9868957817913369E-6</v>
      </c>
      <c r="Z95" s="246">
        <f t="shared" si="60"/>
        <v>0.50544327382446519</v>
      </c>
      <c r="AA95" s="247">
        <f t="shared" si="61"/>
        <v>3.5344528954955934E-2</v>
      </c>
      <c r="AB95" s="122"/>
      <c r="AC95" s="244">
        <f t="shared" si="62"/>
        <v>2.7166580312016871E-4</v>
      </c>
      <c r="AD95" s="245">
        <f t="shared" si="63"/>
        <v>0.40122629603134036</v>
      </c>
      <c r="AE95" s="245">
        <f t="shared" si="64"/>
        <v>1.8629753146491332</v>
      </c>
      <c r="AF95" s="245">
        <f t="shared" si="65"/>
        <v>0.11749534692913402</v>
      </c>
      <c r="AG95" s="245">
        <f t="shared" si="66"/>
        <v>3.5147334099191914E-2</v>
      </c>
      <c r="AH95" s="245">
        <f t="shared" si="67"/>
        <v>2.4171159575119203</v>
      </c>
      <c r="AI95" s="247">
        <f t="shared" si="68"/>
        <v>0.16902356678196817</v>
      </c>
    </row>
    <row r="96" spans="1:35">
      <c r="A96" s="122"/>
      <c r="B96" s="241">
        <v>92</v>
      </c>
      <c r="C96" s="248">
        <f>'Other parameters'!$D$33</f>
        <v>0.15309420000000001</v>
      </c>
      <c r="D96" s="242">
        <f>'Other parameters'!$G$33</f>
        <v>3.3</v>
      </c>
      <c r="E96" s="234">
        <v>0</v>
      </c>
      <c r="F96" s="248">
        <f t="shared" si="71"/>
        <v>1.1840822040525054E-4</v>
      </c>
      <c r="G96" s="248">
        <f t="shared" si="45"/>
        <v>8.0000000000000016E-2</v>
      </c>
      <c r="H96" s="249">
        <f t="shared" si="46"/>
        <v>6.7891054115034627E-2</v>
      </c>
      <c r="I96" s="122"/>
      <c r="J96" s="244">
        <f t="shared" si="47"/>
        <v>0.99321869856548128</v>
      </c>
      <c r="K96" s="245">
        <f t="shared" si="48"/>
        <v>0</v>
      </c>
      <c r="L96" s="245">
        <f t="shared" si="49"/>
        <v>1.3930293059503458E-3</v>
      </c>
      <c r="M96" s="245">
        <f t="shared" si="50"/>
        <v>1.6496004060021266E-7</v>
      </c>
      <c r="N96" s="245">
        <f t="shared" si="51"/>
        <v>2.9955765740304697E-3</v>
      </c>
      <c r="O96" s="245">
        <f t="shared" si="52"/>
        <v>1.2181675894688119E-4</v>
      </c>
      <c r="P96" s="245">
        <f t="shared" si="53"/>
        <v>5.6518250097605328E-5</v>
      </c>
      <c r="Q96" s="245">
        <f t="shared" si="54"/>
        <v>2.2141955854531902E-3</v>
      </c>
      <c r="R96" s="243">
        <f t="shared" si="70"/>
        <v>1.0000000000000002</v>
      </c>
      <c r="S96" s="250"/>
      <c r="T96" s="244">
        <f t="shared" si="55"/>
        <v>0.1531190604694195</v>
      </c>
      <c r="U96" s="246">
        <f t="shared" si="69"/>
        <v>0.5052928995490843</v>
      </c>
      <c r="V96" s="246">
        <f t="shared" si="56"/>
        <v>8.4152217971944112E-10</v>
      </c>
      <c r="W96" s="246">
        <f t="shared" si="57"/>
        <v>1.2281863953524926E-4</v>
      </c>
      <c r="X96" s="246">
        <f t="shared" si="58"/>
        <v>2.1805199851491732E-5</v>
      </c>
      <c r="Y96" s="246">
        <f t="shared" si="59"/>
        <v>3.9562775068323734E-6</v>
      </c>
      <c r="Z96" s="246">
        <f t="shared" si="60"/>
        <v>0.50544148050750004</v>
      </c>
      <c r="AA96" s="247">
        <f t="shared" si="61"/>
        <v>3.4314954905117906E-2</v>
      </c>
      <c r="AB96" s="122"/>
      <c r="AC96" s="244">
        <f t="shared" si="62"/>
        <v>2.4579046049431685E-4</v>
      </c>
      <c r="AD96" s="245">
        <f t="shared" si="63"/>
        <v>0.40119244011369959</v>
      </c>
      <c r="AE96" s="245">
        <f t="shared" si="64"/>
        <v>1.848570303834203</v>
      </c>
      <c r="AF96" s="245">
        <f t="shared" si="65"/>
        <v>0.11659081998805998</v>
      </c>
      <c r="AG96" s="245">
        <f t="shared" si="66"/>
        <v>3.4877412135232252E-2</v>
      </c>
      <c r="AH96" s="245">
        <f t="shared" si="67"/>
        <v>2.4014767665316894</v>
      </c>
      <c r="AI96" s="247">
        <f t="shared" si="68"/>
        <v>0.16303878911260131</v>
      </c>
    </row>
    <row r="97" spans="1:35">
      <c r="A97" s="122"/>
      <c r="B97" s="241">
        <v>93</v>
      </c>
      <c r="C97" s="248">
        <f>'Other parameters'!$D$33</f>
        <v>0.15309420000000001</v>
      </c>
      <c r="D97" s="242">
        <f>'Other parameters'!$G$33</f>
        <v>3.3</v>
      </c>
      <c r="E97" s="234">
        <v>0</v>
      </c>
      <c r="F97" s="248">
        <f t="shared" si="71"/>
        <v>1.0714018842571976E-4</v>
      </c>
      <c r="G97" s="248">
        <f t="shared" si="45"/>
        <v>8.0000000000000016E-2</v>
      </c>
      <c r="H97" s="249">
        <f t="shared" si="46"/>
        <v>6.5913644771878277E-2</v>
      </c>
      <c r="I97" s="122"/>
      <c r="J97" s="244">
        <f t="shared" si="47"/>
        <v>0.99321869856548128</v>
      </c>
      <c r="K97" s="245">
        <f t="shared" si="48"/>
        <v>0</v>
      </c>
      <c r="L97" s="245">
        <f t="shared" si="49"/>
        <v>1.3929229461385798E-3</v>
      </c>
      <c r="M97" s="245">
        <f t="shared" si="50"/>
        <v>1.4924942232206968E-7</v>
      </c>
      <c r="N97" s="245">
        <f t="shared" si="51"/>
        <v>2.9724028390159325E-3</v>
      </c>
      <c r="O97" s="245">
        <f t="shared" si="52"/>
        <v>1.2087814403302046E-4</v>
      </c>
      <c r="P97" s="245">
        <f t="shared" si="53"/>
        <v>5.6083728620575392E-5</v>
      </c>
      <c r="Q97" s="245">
        <f t="shared" si="54"/>
        <v>2.2388645272886625E-3</v>
      </c>
      <c r="R97" s="243">
        <f t="shared" si="70"/>
        <v>1.0000000000000004</v>
      </c>
      <c r="S97" s="250"/>
      <c r="T97" s="244">
        <f t="shared" si="55"/>
        <v>0.15311886894183549</v>
      </c>
      <c r="U97" s="246">
        <f t="shared" si="69"/>
        <v>0.50529226750805711</v>
      </c>
      <c r="V97" s="246">
        <f t="shared" si="56"/>
        <v>7.6137650510601039E-10</v>
      </c>
      <c r="W97" s="246">
        <f t="shared" si="57"/>
        <v>1.2186851639965324E-4</v>
      </c>
      <c r="X97" s="246">
        <f t="shared" si="58"/>
        <v>2.163718778191066E-5</v>
      </c>
      <c r="Y97" s="246">
        <f t="shared" si="59"/>
        <v>3.9258610034402776E-6</v>
      </c>
      <c r="Z97" s="246">
        <f t="shared" si="60"/>
        <v>0.50543969983461856</v>
      </c>
      <c r="AA97" s="247">
        <f t="shared" si="61"/>
        <v>3.3315372828503831E-2</v>
      </c>
      <c r="AB97" s="122"/>
      <c r="AC97" s="244">
        <f t="shared" si="62"/>
        <v>2.2238163925988381E-4</v>
      </c>
      <c r="AD97" s="245">
        <f t="shared" si="63"/>
        <v>0.401161808487911</v>
      </c>
      <c r="AE97" s="245">
        <f t="shared" si="64"/>
        <v>1.8342697919567321</v>
      </c>
      <c r="AF97" s="245">
        <f t="shared" si="65"/>
        <v>0.11569247165400388</v>
      </c>
      <c r="AG97" s="245">
        <f t="shared" si="66"/>
        <v>3.4609268931757073E-2</v>
      </c>
      <c r="AH97" s="245">
        <f t="shared" si="67"/>
        <v>2.3859557226696642</v>
      </c>
      <c r="AI97" s="247">
        <f t="shared" si="68"/>
        <v>0.15726703794547836</v>
      </c>
    </row>
    <row r="98" spans="1:35">
      <c r="A98" s="122"/>
      <c r="B98" s="241">
        <v>94</v>
      </c>
      <c r="C98" s="248">
        <f>'Other parameters'!$D$33</f>
        <v>0.15309420000000001</v>
      </c>
      <c r="D98" s="242">
        <f>'Other parameters'!$G$33</f>
        <v>3.3</v>
      </c>
      <c r="E98" s="234">
        <v>0</v>
      </c>
      <c r="F98" s="248">
        <f t="shared" si="71"/>
        <v>9.69444514630145E-5</v>
      </c>
      <c r="G98" s="248">
        <f t="shared" si="45"/>
        <v>8.0000000000000016E-2</v>
      </c>
      <c r="H98" s="249">
        <f t="shared" si="46"/>
        <v>6.3993829875609989E-2</v>
      </c>
      <c r="I98" s="122"/>
      <c r="J98" s="244">
        <f t="shared" si="47"/>
        <v>0.99321869856548128</v>
      </c>
      <c r="K98" s="245">
        <f t="shared" si="48"/>
        <v>0</v>
      </c>
      <c r="L98" s="245">
        <f t="shared" si="49"/>
        <v>1.3928267148374399E-3</v>
      </c>
      <c r="M98" s="245">
        <f t="shared" si="50"/>
        <v>1.3503615094365072E-7</v>
      </c>
      <c r="N98" s="245">
        <f t="shared" si="51"/>
        <v>2.9493982834469107E-3</v>
      </c>
      <c r="O98" s="245">
        <f t="shared" si="52"/>
        <v>1.1994601990374145E-4</v>
      </c>
      <c r="P98" s="245">
        <f t="shared" si="53"/>
        <v>5.5652117219184068E-5</v>
      </c>
      <c r="Q98" s="245">
        <f t="shared" si="54"/>
        <v>2.2633432629608728E-3</v>
      </c>
      <c r="R98" s="243">
        <f t="shared" si="70"/>
        <v>1.0000000000000002</v>
      </c>
      <c r="S98" s="250"/>
      <c r="T98" s="244">
        <f t="shared" si="55"/>
        <v>0.15311867873567223</v>
      </c>
      <c r="U98" s="246">
        <f t="shared" si="69"/>
        <v>0.5052916398277183</v>
      </c>
      <c r="V98" s="246">
        <f t="shared" si="56"/>
        <v>6.8886935084130867E-10</v>
      </c>
      <c r="W98" s="246">
        <f t="shared" si="57"/>
        <v>1.2092532962132334E-4</v>
      </c>
      <c r="X98" s="246">
        <f t="shared" si="58"/>
        <v>2.1470337562769718E-5</v>
      </c>
      <c r="Y98" s="246">
        <f t="shared" si="59"/>
        <v>3.8956482053428847E-6</v>
      </c>
      <c r="Z98" s="246">
        <f t="shared" si="60"/>
        <v>0.50543793183197705</v>
      </c>
      <c r="AA98" s="247">
        <f t="shared" si="61"/>
        <v>3.2344909022335701E-2</v>
      </c>
      <c r="AB98" s="122"/>
      <c r="AC98" s="244">
        <f t="shared" si="62"/>
        <v>2.0120386490603956E-4</v>
      </c>
      <c r="AD98" s="245">
        <f t="shared" si="63"/>
        <v>0.40113409387318266</v>
      </c>
      <c r="AE98" s="245">
        <f t="shared" si="64"/>
        <v>1.8200736807150886</v>
      </c>
      <c r="AF98" s="245">
        <f t="shared" si="65"/>
        <v>0.11480033564987094</v>
      </c>
      <c r="AG98" s="245">
        <f t="shared" si="66"/>
        <v>3.4342921535958491E-2</v>
      </c>
      <c r="AH98" s="245">
        <f t="shared" si="67"/>
        <v>2.3705522356390065</v>
      </c>
      <c r="AI98" s="247">
        <f t="shared" si="68"/>
        <v>0.15170071647872951</v>
      </c>
    </row>
    <row r="99" spans="1:35">
      <c r="A99" s="122"/>
      <c r="B99" s="241">
        <v>95</v>
      </c>
      <c r="C99" s="248">
        <f>'Other parameters'!$D$34</f>
        <v>0.17422679999999999</v>
      </c>
      <c r="D99" s="242">
        <f>'Other parameters'!$G$34</f>
        <v>2.5</v>
      </c>
      <c r="E99" s="234">
        <v>0</v>
      </c>
      <c r="F99" s="248">
        <f t="shared" si="71"/>
        <v>8.7718967154706395E-5</v>
      </c>
      <c r="G99" s="248">
        <f t="shared" si="45"/>
        <v>8.0000000000000016E-2</v>
      </c>
      <c r="H99" s="249">
        <f t="shared" si="46"/>
        <v>6.212993191806794E-2</v>
      </c>
      <c r="I99" s="122"/>
      <c r="J99" s="244">
        <f t="shared" si="47"/>
        <v>0.99321869856548128</v>
      </c>
      <c r="K99" s="245">
        <f t="shared" si="48"/>
        <v>0</v>
      </c>
      <c r="L99" s="245">
        <f t="shared" si="49"/>
        <v>1.3927396469158341E-3</v>
      </c>
      <c r="M99" s="245">
        <f t="shared" si="50"/>
        <v>1.2217732085102299E-7</v>
      </c>
      <c r="N99" s="245">
        <f t="shared" si="51"/>
        <v>2.9265626388165662E-3</v>
      </c>
      <c r="O99" s="245">
        <f t="shared" si="52"/>
        <v>1.1902041329239362E-4</v>
      </c>
      <c r="P99" s="245">
        <f t="shared" si="53"/>
        <v>5.5223438425984478E-5</v>
      </c>
      <c r="Q99" s="245">
        <f t="shared" si="54"/>
        <v>2.2876331197474631E-3</v>
      </c>
      <c r="R99" s="243">
        <f t="shared" si="70"/>
        <v>1.0000000000000004</v>
      </c>
      <c r="S99" s="250"/>
      <c r="T99" s="244">
        <f t="shared" si="55"/>
        <v>0.17425108985678658</v>
      </c>
      <c r="U99" s="246">
        <f t="shared" si="69"/>
        <v>0.43562772464196647</v>
      </c>
      <c r="V99" s="246">
        <f t="shared" si="56"/>
        <v>6.2327170253316399E-10</v>
      </c>
      <c r="W99" s="246">
        <f t="shared" si="57"/>
        <v>1.1998906819147922E-4</v>
      </c>
      <c r="X99" s="246">
        <f t="shared" si="58"/>
        <v>2.1304653979338458E-5</v>
      </c>
      <c r="Y99" s="246">
        <f t="shared" si="59"/>
        <v>3.8656406898189136E-6</v>
      </c>
      <c r="Z99" s="246">
        <f t="shared" si="60"/>
        <v>0.43577288462809882</v>
      </c>
      <c r="AA99" s="247">
        <f t="shared" si="61"/>
        <v>2.7074539653683855E-2</v>
      </c>
      <c r="AB99" s="122"/>
      <c r="AC99" s="244">
        <f t="shared" si="62"/>
        <v>1.8204420806802426E-4</v>
      </c>
      <c r="AD99" s="245">
        <f t="shared" si="63"/>
        <v>0.40110901831176021</v>
      </c>
      <c r="AE99" s="245">
        <f t="shared" si="64"/>
        <v>1.805981804413703</v>
      </c>
      <c r="AF99" s="245">
        <f t="shared" si="65"/>
        <v>0.11391443756214993</v>
      </c>
      <c r="AG99" s="245">
        <f t="shared" si="66"/>
        <v>3.4078383852675025E-2</v>
      </c>
      <c r="AH99" s="245">
        <f t="shared" si="67"/>
        <v>2.3552656883483563</v>
      </c>
      <c r="AI99" s="247">
        <f t="shared" si="68"/>
        <v>0.1463324968660448</v>
      </c>
    </row>
    <row r="100" spans="1:35">
      <c r="A100" s="122"/>
      <c r="B100" s="241">
        <v>96</v>
      </c>
      <c r="C100" s="248">
        <f>'Other parameters'!$D$34</f>
        <v>0.17422679999999999</v>
      </c>
      <c r="D100" s="242">
        <f>'Other parameters'!$G$34</f>
        <v>2.5</v>
      </c>
      <c r="E100" s="234">
        <v>0</v>
      </c>
      <c r="F100" s="248">
        <f t="shared" si="71"/>
        <v>7.9371403753045696E-5</v>
      </c>
      <c r="G100" s="248">
        <f t="shared" si="45"/>
        <v>8.0000000000000016E-2</v>
      </c>
      <c r="H100" s="249">
        <f t="shared" si="46"/>
        <v>6.0320322250551395E-2</v>
      </c>
      <c r="I100" s="122"/>
      <c r="J100" s="244">
        <f t="shared" si="47"/>
        <v>0.99321869856548128</v>
      </c>
      <c r="K100" s="245">
        <f t="shared" si="48"/>
        <v>0</v>
      </c>
      <c r="L100" s="245">
        <f t="shared" si="49"/>
        <v>1.3926608693184172E-3</v>
      </c>
      <c r="M100" s="245">
        <f t="shared" si="50"/>
        <v>1.1054370083823098E-7</v>
      </c>
      <c r="N100" s="245">
        <f t="shared" si="51"/>
        <v>2.9038955388260143E-3</v>
      </c>
      <c r="O100" s="245">
        <f t="shared" si="52"/>
        <v>1.1810134329773166E-4</v>
      </c>
      <c r="P100" s="245">
        <f t="shared" si="53"/>
        <v>5.4797710203522488E-5</v>
      </c>
      <c r="Q100" s="245">
        <f t="shared" si="54"/>
        <v>2.3117354291725687E-3</v>
      </c>
      <c r="R100" s="243">
        <f t="shared" si="70"/>
        <v>1.0000000000000004</v>
      </c>
      <c r="S100" s="250"/>
      <c r="T100" s="244">
        <f t="shared" si="55"/>
        <v>0.17425090230942508</v>
      </c>
      <c r="U100" s="246">
        <f t="shared" si="69"/>
        <v>0.4356272557735627</v>
      </c>
      <c r="V100" s="246">
        <f t="shared" si="56"/>
        <v>5.6392430400215373E-10</v>
      </c>
      <c r="W100" s="246">
        <f t="shared" si="57"/>
        <v>1.1905971709186659E-4</v>
      </c>
      <c r="X100" s="246">
        <f t="shared" si="58"/>
        <v>2.1140140450293967E-5</v>
      </c>
      <c r="Y100" s="246">
        <f t="shared" si="59"/>
        <v>3.8358397142465743E-6</v>
      </c>
      <c r="Z100" s="246">
        <f t="shared" si="60"/>
        <v>0.43577129203474341</v>
      </c>
      <c r="AA100" s="247">
        <f t="shared" si="61"/>
        <v>2.6285864763074863E-2</v>
      </c>
      <c r="AB100" s="122"/>
      <c r="AC100" s="244">
        <f t="shared" si="62"/>
        <v>1.6471011424896414E-4</v>
      </c>
      <c r="AD100" s="245">
        <f t="shared" si="63"/>
        <v>0.40108633036370411</v>
      </c>
      <c r="AE100" s="245">
        <f t="shared" si="64"/>
        <v>1.7919939370095335</v>
      </c>
      <c r="AF100" s="245">
        <f t="shared" si="65"/>
        <v>0.11303479567025897</v>
      </c>
      <c r="AG100" s="245">
        <f t="shared" si="66"/>
        <v>3.381566696659373E-2</v>
      </c>
      <c r="AH100" s="245">
        <f t="shared" si="67"/>
        <v>2.340095440124339</v>
      </c>
      <c r="AI100" s="247">
        <f t="shared" si="68"/>
        <v>0.14115531104534604</v>
      </c>
    </row>
    <row r="101" spans="1:35">
      <c r="A101" s="122"/>
      <c r="B101" s="241">
        <v>97</v>
      </c>
      <c r="C101" s="248">
        <f>'Other parameters'!$D$34</f>
        <v>0.17422679999999999</v>
      </c>
      <c r="D101" s="242">
        <f>'Other parameters'!$G$34</f>
        <v>2.5</v>
      </c>
      <c r="E101" s="234">
        <v>0</v>
      </c>
      <c r="F101" s="248">
        <f t="shared" si="71"/>
        <v>7.1818216037795505E-5</v>
      </c>
      <c r="G101" s="248">
        <f t="shared" si="45"/>
        <v>8.0000000000000016E-2</v>
      </c>
      <c r="H101" s="249">
        <f t="shared" si="46"/>
        <v>5.8563419660729518E-2</v>
      </c>
      <c r="I101" s="122"/>
      <c r="J101" s="244">
        <f t="shared" si="47"/>
        <v>0.99321869856548128</v>
      </c>
      <c r="K101" s="245">
        <f t="shared" si="48"/>
        <v>0</v>
      </c>
      <c r="L101" s="245">
        <f t="shared" si="49"/>
        <v>1.392589592261455E-3</v>
      </c>
      <c r="M101" s="245">
        <f t="shared" si="50"/>
        <v>1.0001841918009417E-7</v>
      </c>
      <c r="N101" s="245">
        <f t="shared" si="51"/>
        <v>2.8813965296976686E-3</v>
      </c>
      <c r="O101" s="245">
        <f t="shared" si="52"/>
        <v>1.1718882216441172E-4</v>
      </c>
      <c r="P101" s="245">
        <f t="shared" si="53"/>
        <v>5.4374946413587126E-5</v>
      </c>
      <c r="Q101" s="245">
        <f t="shared" si="54"/>
        <v>2.3356515255627901E-3</v>
      </c>
      <c r="R101" s="243">
        <f t="shared" si="70"/>
        <v>1.0000000000000002</v>
      </c>
      <c r="S101" s="250"/>
      <c r="T101" s="244">
        <f t="shared" si="55"/>
        <v>0.1742507160963902</v>
      </c>
      <c r="U101" s="246">
        <f t="shared" si="69"/>
        <v>0.4356267902409755</v>
      </c>
      <c r="V101" s="246">
        <f t="shared" si="56"/>
        <v>5.1023094935160372E-10</v>
      </c>
      <c r="W101" s="246">
        <f t="shared" si="57"/>
        <v>1.1813725771760442E-4</v>
      </c>
      <c r="X101" s="246">
        <f t="shared" si="58"/>
        <v>2.0976799167429699E-5</v>
      </c>
      <c r="Y101" s="246">
        <f t="shared" si="59"/>
        <v>3.8062462489510991E-6</v>
      </c>
      <c r="Z101" s="246">
        <f t="shared" si="60"/>
        <v>0.43576971105434043</v>
      </c>
      <c r="AA101" s="247">
        <f>Z101*H101</f>
        <v>2.5520164463910183E-2</v>
      </c>
      <c r="AB101" s="122"/>
      <c r="AC101" s="244">
        <f t="shared" si="62"/>
        <v>1.4902744457834032E-4</v>
      </c>
      <c r="AD101" s="245">
        <f t="shared" si="63"/>
        <v>0.40106580257129903</v>
      </c>
      <c r="AE101" s="245">
        <f t="shared" si="64"/>
        <v>1.7781097984764314</v>
      </c>
      <c r="AF101" s="245">
        <f t="shared" si="65"/>
        <v>0.11216142169355846</v>
      </c>
      <c r="AG101" s="245">
        <f t="shared" si="66"/>
        <v>3.3554779431824618E-2</v>
      </c>
      <c r="AH101" s="245">
        <f t="shared" si="67"/>
        <v>2.3250408296176914</v>
      </c>
      <c r="AI101" s="247">
        <f>AH101*H101</f>
        <v>0.13616234183323159</v>
      </c>
    </row>
    <row r="102" spans="1:35">
      <c r="A102" s="122"/>
      <c r="B102" s="241">
        <v>98</v>
      </c>
      <c r="C102" s="248">
        <f>'Other parameters'!$D$34</f>
        <v>0.17422679999999999</v>
      </c>
      <c r="D102" s="242">
        <f>'Other parameters'!$G$34</f>
        <v>2.5</v>
      </c>
      <c r="E102" s="234">
        <v>0</v>
      </c>
      <c r="F102" s="248">
        <f t="shared" si="71"/>
        <v>6.4983809167587655E-5</v>
      </c>
      <c r="G102" s="248">
        <f t="shared" si="45"/>
        <v>8.0000000000000016E-2</v>
      </c>
      <c r="H102" s="249">
        <f t="shared" si="46"/>
        <v>5.6857688990999529E-2</v>
      </c>
      <c r="I102" s="122"/>
      <c r="J102" s="244">
        <f t="shared" si="47"/>
        <v>0.99321869856548128</v>
      </c>
      <c r="K102" s="245">
        <f t="shared" si="48"/>
        <v>0</v>
      </c>
      <c r="L102" s="245">
        <f t="shared" si="49"/>
        <v>1.3925251012741296E-3</v>
      </c>
      <c r="M102" s="245">
        <f t="shared" si="50"/>
        <v>9.0495776312287098E-8</v>
      </c>
      <c r="N102" s="245">
        <f t="shared" si="51"/>
        <v>2.8590650794905297E-3</v>
      </c>
      <c r="O102" s="245">
        <f t="shared" si="52"/>
        <v>1.1628285598623091E-4</v>
      </c>
      <c r="P102" s="245">
        <f t="shared" si="53"/>
        <v>5.3955157239095761E-5</v>
      </c>
      <c r="Q102" s="245">
        <f t="shared" si="54"/>
        <v>2.3593827447527943E-3</v>
      </c>
      <c r="R102" s="243">
        <f t="shared" si="70"/>
        <v>1.0000000000000002</v>
      </c>
      <c r="S102" s="250"/>
      <c r="T102" s="244">
        <f t="shared" si="55"/>
        <v>0.17425053121918999</v>
      </c>
      <c r="U102" s="246">
        <f t="shared" si="69"/>
        <v>0.43562632804797496</v>
      </c>
      <c r="V102" s="246">
        <f t="shared" si="56"/>
        <v>4.6165242600953041E-10</v>
      </c>
      <c r="W102" s="246">
        <f t="shared" si="57"/>
        <v>1.1722166825911172E-4</v>
      </c>
      <c r="X102" s="246">
        <f t="shared" si="58"/>
        <v>2.0814631221535332E-5</v>
      </c>
      <c r="Y102" s="246">
        <f t="shared" si="59"/>
        <v>3.7768610067367035E-6</v>
      </c>
      <c r="Z102" s="246">
        <f t="shared" si="60"/>
        <v>0.43576814167011479</v>
      </c>
      <c r="AA102" s="247">
        <f>Z102*H102</f>
        <v>2.4776769471265208E-2</v>
      </c>
      <c r="AB102" s="122"/>
      <c r="AC102" s="244">
        <f t="shared" si="62"/>
        <v>1.3483870670530777E-4</v>
      </c>
      <c r="AD102" s="245">
        <f t="shared" si="63"/>
        <v>0.40104722916694935</v>
      </c>
      <c r="AE102" s="245">
        <f t="shared" si="64"/>
        <v>1.7643290605536059</v>
      </c>
      <c r="AF102" s="245">
        <f t="shared" si="65"/>
        <v>0.1112943214644216</v>
      </c>
      <c r="AG102" s="245">
        <f t="shared" si="66"/>
        <v>3.3295727532245994E-2</v>
      </c>
      <c r="AH102" s="245">
        <f t="shared" si="67"/>
        <v>2.3101011774239284</v>
      </c>
      <c r="AI102" s="247">
        <f>AH102*H102</f>
        <v>0.13134701428371154</v>
      </c>
    </row>
    <row r="103" spans="1:35">
      <c r="A103" s="122"/>
      <c r="B103" s="241">
        <v>99</v>
      </c>
      <c r="C103" s="248">
        <f>'Other parameters'!$D$34</f>
        <v>0.17422679999999999</v>
      </c>
      <c r="D103" s="242">
        <f>'Other parameters'!$G$34</f>
        <v>2.5</v>
      </c>
      <c r="E103" s="234">
        <v>0</v>
      </c>
      <c r="F103" s="248">
        <f t="shared" si="71"/>
        <v>5.8799782101341559E-5</v>
      </c>
      <c r="G103" s="248">
        <f t="shared" si="45"/>
        <v>8.0000000000000016E-2</v>
      </c>
      <c r="H103" s="249">
        <f t="shared" si="46"/>
        <v>5.5201639797086935E-2</v>
      </c>
      <c r="I103" s="122"/>
      <c r="J103" s="244">
        <f t="shared" si="47"/>
        <v>0.99321869856548128</v>
      </c>
      <c r="K103" s="245">
        <f t="shared" si="48"/>
        <v>0</v>
      </c>
      <c r="L103" s="245">
        <f t="shared" si="49"/>
        <v>1.3924667500034454E-3</v>
      </c>
      <c r="M103" s="245">
        <f t="shared" si="50"/>
        <v>8.1880172525567405E-8</v>
      </c>
      <c r="N103" s="245">
        <f t="shared" si="51"/>
        <v>2.8369005865141288E-3</v>
      </c>
      <c r="O103" s="245">
        <f t="shared" si="52"/>
        <v>1.153834453399403E-4</v>
      </c>
      <c r="P103" s="245">
        <f t="shared" si="53"/>
        <v>5.3538349563524124E-5</v>
      </c>
      <c r="Q103" s="245">
        <f t="shared" si="54"/>
        <v>2.3829304229255285E-3</v>
      </c>
      <c r="R103" s="243">
        <f t="shared" si="70"/>
        <v>1.0000000000000004</v>
      </c>
      <c r="S103" s="250"/>
      <c r="T103" s="244">
        <f t="shared" si="55"/>
        <v>0.17425034767817271</v>
      </c>
      <c r="U103" s="246">
        <f t="shared" si="69"/>
        <v>0.43562586919543178</v>
      </c>
      <c r="V103" s="246">
        <f t="shared" si="56"/>
        <v>4.1770104450029183E-10</v>
      </c>
      <c r="W103" s="246">
        <f t="shared" si="57"/>
        <v>1.1631292404707929E-4</v>
      </c>
      <c r="X103" s="246">
        <f t="shared" si="58"/>
        <v>2.0653636715849313E-5</v>
      </c>
      <c r="Y103" s="246">
        <f t="shared" si="59"/>
        <v>3.7476844694466892E-6</v>
      </c>
      <c r="Z103" s="246">
        <f t="shared" si="60"/>
        <v>0.43576658385836514</v>
      </c>
      <c r="AA103" s="247">
        <f>Z103*H103</f>
        <v>2.405502999775655E-2</v>
      </c>
      <c r="AB103" s="122"/>
      <c r="AC103" s="244">
        <f t="shared" si="62"/>
        <v>1.2200145706309543E-4</v>
      </c>
      <c r="AD103" s="245">
        <f t="shared" si="63"/>
        <v>0.40103042400099226</v>
      </c>
      <c r="AE103" s="245">
        <f t="shared" si="64"/>
        <v>1.750651351937869</v>
      </c>
      <c r="AF103" s="245">
        <f t="shared" si="65"/>
        <v>0.11043349553485686</v>
      </c>
      <c r="AG103" s="245">
        <f t="shared" si="66"/>
        <v>3.3038515515650742E-2</v>
      </c>
      <c r="AH103" s="245">
        <f t="shared" si="67"/>
        <v>2.2952757884464319</v>
      </c>
      <c r="AI103" s="247">
        <f>AH103*H103</f>
        <v>0.12670298730879465</v>
      </c>
    </row>
    <row r="104" spans="1:35">
      <c r="A104" s="122"/>
      <c r="B104" s="235">
        <v>100</v>
      </c>
      <c r="C104" s="251">
        <f>'Other parameters'!$D$35</f>
        <v>1</v>
      </c>
      <c r="D104" s="252">
        <f>'Other parameters'!$G$35</f>
        <v>1.9</v>
      </c>
      <c r="E104" s="236">
        <v>0</v>
      </c>
      <c r="F104" s="251">
        <f t="shared" si="71"/>
        <v>5.320424301765489E-5</v>
      </c>
      <c r="G104" s="251">
        <f t="shared" si="45"/>
        <v>8.0000000000000016E-2</v>
      </c>
      <c r="H104" s="253">
        <f t="shared" si="46"/>
        <v>5.3593825045715457E-2</v>
      </c>
      <c r="I104" s="122"/>
      <c r="J104" s="254">
        <f t="shared" si="47"/>
        <v>0.99321869856548128</v>
      </c>
      <c r="K104" s="255">
        <f t="shared" si="48"/>
        <v>0</v>
      </c>
      <c r="L104" s="255">
        <f t="shared" si="49"/>
        <v>1.3924139537089409E-3</v>
      </c>
      <c r="M104" s="255">
        <f t="shared" si="50"/>
        <v>7.4085139361187401E-8</v>
      </c>
      <c r="N104" s="255">
        <f t="shared" si="51"/>
        <v>2.8149023869283164E-3</v>
      </c>
      <c r="O104" s="255">
        <f t="shared" si="52"/>
        <v>1.1449058585663212E-4</v>
      </c>
      <c r="P104" s="255">
        <f t="shared" si="53"/>
        <v>5.3124527312261898E-5</v>
      </c>
      <c r="Q104" s="255">
        <f t="shared" si="54"/>
        <v>2.4062958955735803E-3</v>
      </c>
      <c r="R104" s="237">
        <f t="shared" si="70"/>
        <v>1.0000000000000002</v>
      </c>
      <c r="S104" s="250"/>
      <c r="T104" s="254">
        <v>1</v>
      </c>
      <c r="U104" s="255">
        <f t="shared" si="69"/>
        <v>1.9</v>
      </c>
      <c r="V104" s="255">
        <f t="shared" si="56"/>
        <v>3.7793569723433141E-10</v>
      </c>
      <c r="W104" s="255">
        <f t="shared" si="57"/>
        <v>1.1541099786406097E-4</v>
      </c>
      <c r="X104" s="255">
        <f t="shared" si="58"/>
        <v>2.0493814868337149E-5</v>
      </c>
      <c r="Y104" s="255">
        <f t="shared" si="59"/>
        <v>3.7187169118583333E-6</v>
      </c>
      <c r="Z104" s="255">
        <f t="shared" si="60"/>
        <v>1.9001396239075798</v>
      </c>
      <c r="AA104" s="256">
        <f>Z104*H104</f>
        <v>0.10183575056613441</v>
      </c>
      <c r="AB104" s="122"/>
      <c r="AC104" s="254">
        <f t="shared" si="62"/>
        <v>1.1038685764816922E-4</v>
      </c>
      <c r="AD104" s="255">
        <f t="shared" si="63"/>
        <v>0.40101521866817497</v>
      </c>
      <c r="AE104" s="255">
        <f t="shared" si="64"/>
        <v>1.7370762629734642</v>
      </c>
      <c r="AF104" s="255">
        <f t="shared" si="65"/>
        <v>0.1095789397233826</v>
      </c>
      <c r="AG104" s="255">
        <f t="shared" si="66"/>
        <v>3.278314580439682E-2</v>
      </c>
      <c r="AH104" s="255">
        <f t="shared" si="67"/>
        <v>2.2805639540270666</v>
      </c>
      <c r="AI104" s="256">
        <f>AH104*H104</f>
        <v>0.12222414555769168</v>
      </c>
    </row>
    <row r="105" spans="1:35">
      <c r="A105" s="122"/>
      <c r="B105" s="122"/>
      <c r="C105" s="122"/>
      <c r="D105" s="122"/>
      <c r="E105" s="122"/>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c r="AC105" s="234"/>
      <c r="AD105" s="234"/>
      <c r="AE105" s="234"/>
      <c r="AF105" s="234"/>
      <c r="AG105" s="234"/>
      <c r="AH105" s="234"/>
      <c r="AI105" s="234"/>
    </row>
    <row r="106" spans="1:35">
      <c r="A106" s="122"/>
      <c r="B106" s="122"/>
      <c r="C106" s="122"/>
      <c r="D106" s="122"/>
      <c r="E106" s="122"/>
      <c r="F106" s="122"/>
      <c r="G106" s="122"/>
      <c r="H106" s="122"/>
      <c r="I106" s="122"/>
      <c r="J106" s="122"/>
      <c r="K106" s="122"/>
      <c r="L106" s="122"/>
      <c r="M106" s="122"/>
      <c r="N106" s="122"/>
      <c r="O106" s="122"/>
      <c r="P106" s="122"/>
      <c r="Q106" s="122"/>
      <c r="R106" s="122"/>
      <c r="S106" s="122"/>
      <c r="T106" s="122"/>
      <c r="U106" s="122"/>
      <c r="V106" s="122"/>
      <c r="W106" s="122"/>
      <c r="X106" s="122"/>
      <c r="Y106" s="122"/>
      <c r="Z106" s="238" t="s">
        <v>57</v>
      </c>
      <c r="AA106" s="240" t="s">
        <v>58</v>
      </c>
      <c r="AB106" s="122"/>
      <c r="AC106" s="234"/>
      <c r="AD106" s="234"/>
      <c r="AE106" s="234"/>
      <c r="AF106" s="234"/>
      <c r="AG106" s="234"/>
      <c r="AH106" s="238" t="s">
        <v>61</v>
      </c>
      <c r="AI106" s="240" t="s">
        <v>62</v>
      </c>
    </row>
    <row r="107" spans="1:35">
      <c r="A107" s="122"/>
      <c r="B107" s="122"/>
      <c r="C107" s="122"/>
      <c r="D107" s="122"/>
      <c r="E107" s="122"/>
      <c r="F107" s="122"/>
      <c r="G107" s="122"/>
      <c r="H107" s="122"/>
      <c r="I107" s="122"/>
      <c r="J107" s="122"/>
      <c r="K107" s="122"/>
      <c r="L107" s="122"/>
      <c r="M107" s="122"/>
      <c r="N107" s="122"/>
      <c r="O107" s="122"/>
      <c r="P107" s="122"/>
      <c r="Q107" s="122"/>
      <c r="R107" s="122"/>
      <c r="S107" s="122"/>
      <c r="T107" s="122"/>
      <c r="U107" s="122"/>
      <c r="V107" s="122"/>
      <c r="W107" s="122"/>
      <c r="X107" s="122"/>
      <c r="Y107" s="122"/>
      <c r="Z107" s="254">
        <f>SUM(Z12:Z104)</f>
        <v>28.479413326977902</v>
      </c>
      <c r="AA107" s="256">
        <f>SUM(AA12:AA104)</f>
        <v>5.0615434879971675</v>
      </c>
      <c r="AB107" s="122"/>
      <c r="AC107" s="234"/>
      <c r="AD107" s="234"/>
      <c r="AE107" s="234"/>
      <c r="AF107" s="234"/>
      <c r="AG107" s="234"/>
      <c r="AH107" s="257">
        <f>SUM(AH12:AH104)</f>
        <v>255.4517390675615</v>
      </c>
      <c r="AI107" s="258">
        <f>SUM(AI12:AI104)</f>
        <v>68.35761491341556</v>
      </c>
    </row>
  </sheetData>
  <mergeCells count="4">
    <mergeCell ref="B2:H2"/>
    <mergeCell ref="J2:R2"/>
    <mergeCell ref="AC2:AI2"/>
    <mergeCell ref="T2:AA2"/>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AI107"/>
  <sheetViews>
    <sheetView workbookViewId="0">
      <selection sqref="A1:XFD1048576"/>
    </sheetView>
  </sheetViews>
  <sheetFormatPr baseColWidth="10" defaultColWidth="11" defaultRowHeight="15" x14ac:dyDescent="0"/>
  <cols>
    <col min="1" max="1" width="11" style="35" customWidth="1"/>
    <col min="2" max="35" width="14.6640625" style="35" customWidth="1"/>
    <col min="36" max="16384" width="11" style="35"/>
  </cols>
  <sheetData>
    <row r="1" spans="1:35">
      <c r="A1" s="122"/>
      <c r="B1" s="122"/>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234"/>
      <c r="AD1" s="234"/>
      <c r="AE1" s="234"/>
      <c r="AF1" s="234"/>
      <c r="AG1" s="234"/>
      <c r="AH1" s="234"/>
      <c r="AI1" s="234"/>
    </row>
    <row r="2" spans="1:35">
      <c r="A2" s="122"/>
      <c r="B2" s="284" t="s">
        <v>152</v>
      </c>
      <c r="C2" s="285"/>
      <c r="D2" s="285"/>
      <c r="E2" s="285"/>
      <c r="F2" s="285"/>
      <c r="G2" s="285"/>
      <c r="H2" s="286"/>
      <c r="I2" s="122"/>
      <c r="J2" s="284" t="s">
        <v>153</v>
      </c>
      <c r="K2" s="285"/>
      <c r="L2" s="285"/>
      <c r="M2" s="285"/>
      <c r="N2" s="285"/>
      <c r="O2" s="285"/>
      <c r="P2" s="285"/>
      <c r="Q2" s="285"/>
      <c r="R2" s="286"/>
      <c r="S2" s="122"/>
      <c r="T2" s="284" t="s">
        <v>59</v>
      </c>
      <c r="U2" s="285"/>
      <c r="V2" s="285"/>
      <c r="W2" s="285"/>
      <c r="X2" s="285"/>
      <c r="Y2" s="285"/>
      <c r="Z2" s="285"/>
      <c r="AA2" s="287"/>
      <c r="AB2" s="122"/>
      <c r="AC2" s="284" t="s">
        <v>60</v>
      </c>
      <c r="AD2" s="285"/>
      <c r="AE2" s="285"/>
      <c r="AF2" s="285"/>
      <c r="AG2" s="285"/>
      <c r="AH2" s="285"/>
      <c r="AI2" s="286"/>
    </row>
    <row r="3" spans="1:35">
      <c r="A3" s="122"/>
      <c r="B3" s="235" t="s">
        <v>340</v>
      </c>
      <c r="C3" s="236" t="s">
        <v>339</v>
      </c>
      <c r="D3" s="236" t="s">
        <v>338</v>
      </c>
      <c r="E3" s="236" t="s">
        <v>341</v>
      </c>
      <c r="F3" s="236" t="s">
        <v>342</v>
      </c>
      <c r="G3" s="236" t="s">
        <v>343</v>
      </c>
      <c r="H3" s="237" t="s">
        <v>7</v>
      </c>
      <c r="I3" s="122"/>
      <c r="J3" s="235" t="s">
        <v>1</v>
      </c>
      <c r="K3" s="236" t="s">
        <v>344</v>
      </c>
      <c r="L3" s="236" t="s">
        <v>346</v>
      </c>
      <c r="M3" s="236" t="s">
        <v>345</v>
      </c>
      <c r="N3" s="236" t="s">
        <v>347</v>
      </c>
      <c r="O3" s="236" t="s">
        <v>348</v>
      </c>
      <c r="P3" s="236" t="s">
        <v>74</v>
      </c>
      <c r="Q3" s="236" t="s">
        <v>349</v>
      </c>
      <c r="R3" s="237" t="s">
        <v>53</v>
      </c>
      <c r="S3" s="122"/>
      <c r="T3" s="238" t="s">
        <v>304</v>
      </c>
      <c r="U3" s="239" t="s">
        <v>350</v>
      </c>
      <c r="V3" s="239" t="s">
        <v>155</v>
      </c>
      <c r="W3" s="239" t="s">
        <v>75</v>
      </c>
      <c r="X3" s="239" t="s">
        <v>76</v>
      </c>
      <c r="Y3" s="239" t="s">
        <v>351</v>
      </c>
      <c r="Z3" s="239" t="s">
        <v>352</v>
      </c>
      <c r="AA3" s="240" t="s">
        <v>353</v>
      </c>
      <c r="AB3" s="122"/>
      <c r="AC3" s="235" t="s">
        <v>2</v>
      </c>
      <c r="AD3" s="236" t="s">
        <v>78</v>
      </c>
      <c r="AE3" s="236" t="s">
        <v>3</v>
      </c>
      <c r="AF3" s="236" t="s">
        <v>4</v>
      </c>
      <c r="AG3" s="236" t="s">
        <v>77</v>
      </c>
      <c r="AH3" s="236" t="s">
        <v>5</v>
      </c>
      <c r="AI3" s="237" t="s">
        <v>6</v>
      </c>
    </row>
    <row r="4" spans="1:35">
      <c r="A4" s="122"/>
      <c r="B4" s="241">
        <v>0</v>
      </c>
      <c r="C4" s="242">
        <v>0</v>
      </c>
      <c r="D4" s="242">
        <v>0</v>
      </c>
      <c r="E4" s="234">
        <v>0</v>
      </c>
      <c r="F4" s="234">
        <v>0</v>
      </c>
      <c r="G4" s="234">
        <v>0</v>
      </c>
      <c r="H4" s="243">
        <v>0</v>
      </c>
      <c r="I4" s="122"/>
      <c r="J4" s="244">
        <v>1</v>
      </c>
      <c r="K4" s="245">
        <v>0</v>
      </c>
      <c r="L4" s="245">
        <v>0</v>
      </c>
      <c r="M4" s="245">
        <v>0</v>
      </c>
      <c r="N4" s="245">
        <v>0</v>
      </c>
      <c r="O4" s="245">
        <v>0</v>
      </c>
      <c r="P4" s="245">
        <v>0</v>
      </c>
      <c r="Q4" s="245">
        <v>0</v>
      </c>
      <c r="R4" s="243">
        <f>SUM(J4:Q4)</f>
        <v>1</v>
      </c>
      <c r="S4" s="122"/>
      <c r="T4" s="241"/>
      <c r="U4" s="246"/>
      <c r="V4" s="246"/>
      <c r="W4" s="246"/>
      <c r="X4" s="246"/>
      <c r="Y4" s="246"/>
      <c r="Z4" s="246"/>
      <c r="AA4" s="247"/>
      <c r="AB4" s="122"/>
      <c r="AC4" s="244"/>
      <c r="AD4" s="245"/>
      <c r="AE4" s="245"/>
      <c r="AF4" s="245"/>
      <c r="AG4" s="245"/>
      <c r="AH4" s="245"/>
      <c r="AI4" s="247"/>
    </row>
    <row r="5" spans="1:35">
      <c r="A5" s="122"/>
      <c r="B5" s="241">
        <v>1</v>
      </c>
      <c r="C5" s="248">
        <f>'Other parameters'!$D$15</f>
        <v>3.0620000000000001E-3</v>
      </c>
      <c r="D5" s="242">
        <f>'Other parameters'!$G$15</f>
        <v>68.400000000000006</v>
      </c>
      <c r="E5" s="248">
        <f t="shared" ref="E5:E19" si="0">IF(B5&lt;rf1age,0,pA1_1p)</f>
        <v>0</v>
      </c>
      <c r="F5" s="248">
        <f t="shared" ref="F5:F28" si="1">IF(B5&lt;rf2age,0,pA2_1p)</f>
        <v>0</v>
      </c>
      <c r="G5" s="248">
        <f t="shared" ref="G5:G36" si="2">IF(B5&lt;rhdage,0,pVS_1p)</f>
        <v>0</v>
      </c>
      <c r="H5" s="249">
        <f t="shared" ref="H5:H36" si="3">1/(1+disc)^($B5-1)</f>
        <v>1</v>
      </c>
      <c r="I5" s="122"/>
      <c r="J5" s="244">
        <f t="shared" ref="J5:J36" si="4">IF(B5&lt;rf1age,1,J4*(1-E5))</f>
        <v>1</v>
      </c>
      <c r="K5" s="245">
        <f t="shared" ref="K5:K36" si="5">IF(B5&lt;rf1age,0,J4*E5)</f>
        <v>0</v>
      </c>
      <c r="L5" s="245">
        <f t="shared" ref="L5:L36" si="6">IF(B5&lt;rf1age,0,(K4*cpARF1_Remission)+(L4*(1-F5))+(M4*cpARF2_Remission))</f>
        <v>0</v>
      </c>
      <c r="M5" s="245">
        <f t="shared" ref="M5:M36" si="7">IF(B5&lt;rf1age,0,L4*F5)</f>
        <v>0</v>
      </c>
      <c r="N5" s="245">
        <f t="shared" ref="N5:N36" si="8">IF(B5&lt;rf1age,0,(K4*pARF1_RHDMild)+(M4*pARF2_RHDMild)+(N4*cpRHDMild_RHDMild)+(O4*G5))</f>
        <v>0</v>
      </c>
      <c r="O5" s="245">
        <f t="shared" ref="O5:O36" si="9">IF(B5&lt;rf1age,0,(N4*pRHDMild_RHDSevere)+(O4*(1-(G5+pRHDSevere_Death))))</f>
        <v>0</v>
      </c>
      <c r="P5" s="245">
        <f t="shared" ref="P5:P36" si="10">IF(B5&lt;rf1age,0,(N4*pRHDMild_Stroke)+(P4*(1-pStroke_Death)))</f>
        <v>0</v>
      </c>
      <c r="Q5" s="245">
        <f t="shared" ref="Q5:Q36" si="11">IF(B5&lt;rf1age,0,(K4*pARF1_Death)+(M4*pARF2_Death)+(O4*pRHDSevere_Death)+(P4*pStroke_Death)+Q4)</f>
        <v>0</v>
      </c>
      <c r="R5" s="243">
        <f t="shared" ref="R5:R11" si="12">SUM(J5:Q5)</f>
        <v>1</v>
      </c>
      <c r="S5" s="122"/>
      <c r="T5" s="244">
        <f t="shared" ref="T5:T68" si="13">((K4*pARF1_Death)+(M4*pARF2_Death)+(O4*pRHDSevere_Death)+(P4*pStroke_Death))+C5</f>
        <v>3.0620000000000001E-3</v>
      </c>
      <c r="U5" s="246">
        <f>$D5*T5*0.5</f>
        <v>0.10472040000000001</v>
      </c>
      <c r="V5" s="246">
        <f>($K5+$M5)*wAR*0.5</f>
        <v>0</v>
      </c>
      <c r="W5" s="246">
        <f>$N5*wRM*0.5</f>
        <v>0</v>
      </c>
      <c r="X5" s="246">
        <f>$O5*wRH*0.5</f>
        <v>0</v>
      </c>
      <c r="Y5" s="246">
        <f>$P5*wRS*0.5</f>
        <v>0</v>
      </c>
      <c r="Z5" s="246">
        <f t="shared" ref="Z5:Z68" si="14">SUM(U5:Y5)</f>
        <v>0.10472040000000001</v>
      </c>
      <c r="AA5" s="247">
        <f t="shared" ref="AA5:AA68" si="15">Z5*H5</f>
        <v>0.10472040000000001</v>
      </c>
      <c r="AB5" s="122"/>
      <c r="AC5" s="244">
        <f>($K5+$M5)*cARF*0.5</f>
        <v>0</v>
      </c>
      <c r="AD5" s="245">
        <f>$L5*cRFR*0.5</f>
        <v>0</v>
      </c>
      <c r="AE5" s="245">
        <f>$N5*cRM*0.5</f>
        <v>0</v>
      </c>
      <c r="AF5" s="245">
        <f>$O5*cRH*0.5</f>
        <v>0</v>
      </c>
      <c r="AG5" s="245">
        <f>$P5*cRS*0.5</f>
        <v>0</v>
      </c>
      <c r="AH5" s="245">
        <f t="shared" ref="AH5:AH68" si="16">SUM(AC5:AG5)</f>
        <v>0</v>
      </c>
      <c r="AI5" s="247">
        <f t="shared" ref="AI5:AI36" si="17">AH5*H5</f>
        <v>0</v>
      </c>
    </row>
    <row r="6" spans="1:35">
      <c r="A6" s="122"/>
      <c r="B6" s="241">
        <v>2</v>
      </c>
      <c r="C6" s="248">
        <f>'Other parameters'!$D$15</f>
        <v>3.0620000000000001E-3</v>
      </c>
      <c r="D6" s="242">
        <f>'Other parameters'!$G$15</f>
        <v>68.400000000000006</v>
      </c>
      <c r="E6" s="248">
        <f t="shared" si="0"/>
        <v>0</v>
      </c>
      <c r="F6" s="248">
        <f t="shared" si="1"/>
        <v>0</v>
      </c>
      <c r="G6" s="248">
        <f t="shared" si="2"/>
        <v>0</v>
      </c>
      <c r="H6" s="249">
        <f t="shared" si="3"/>
        <v>0.970873786407767</v>
      </c>
      <c r="I6" s="122"/>
      <c r="J6" s="244">
        <f t="shared" si="4"/>
        <v>1</v>
      </c>
      <c r="K6" s="245">
        <f t="shared" si="5"/>
        <v>0</v>
      </c>
      <c r="L6" s="245">
        <f t="shared" si="6"/>
        <v>0</v>
      </c>
      <c r="M6" s="245">
        <f t="shared" si="7"/>
        <v>0</v>
      </c>
      <c r="N6" s="245">
        <f t="shared" si="8"/>
        <v>0</v>
      </c>
      <c r="O6" s="245">
        <f t="shared" si="9"/>
        <v>0</v>
      </c>
      <c r="P6" s="245">
        <f t="shared" si="10"/>
        <v>0</v>
      </c>
      <c r="Q6" s="245">
        <f t="shared" si="11"/>
        <v>0</v>
      </c>
      <c r="R6" s="243">
        <f t="shared" si="12"/>
        <v>1</v>
      </c>
      <c r="S6" s="122"/>
      <c r="T6" s="244">
        <f t="shared" si="13"/>
        <v>3.0620000000000001E-3</v>
      </c>
      <c r="U6" s="246">
        <f t="shared" ref="U6:U69" si="18">$D6*T6</f>
        <v>0.20944080000000001</v>
      </c>
      <c r="V6" s="246">
        <f t="shared" ref="V6:V69" si="19">($K6+$M6)*wAR</f>
        <v>0</v>
      </c>
      <c r="W6" s="246">
        <f t="shared" ref="W6:W69" si="20">$N6*wRM</f>
        <v>0</v>
      </c>
      <c r="X6" s="246">
        <f t="shared" ref="X6:X69" si="21">$O6*wRH</f>
        <v>0</v>
      </c>
      <c r="Y6" s="246">
        <f t="shared" ref="Y6:Y69" si="22">$P6*wRS</f>
        <v>0</v>
      </c>
      <c r="Z6" s="246">
        <f t="shared" si="14"/>
        <v>0.20944080000000001</v>
      </c>
      <c r="AA6" s="247">
        <f t="shared" si="15"/>
        <v>0.20334058252427187</v>
      </c>
      <c r="AB6" s="122"/>
      <c r="AC6" s="244">
        <f t="shared" ref="AC6:AC69" si="23">($K6+$M6)*cARF</f>
        <v>0</v>
      </c>
      <c r="AD6" s="245">
        <f t="shared" ref="AD6:AD69" si="24">$L6*cRFR</f>
        <v>0</v>
      </c>
      <c r="AE6" s="245">
        <f t="shared" ref="AE6:AE69" si="25">$N6*cRM</f>
        <v>0</v>
      </c>
      <c r="AF6" s="245">
        <f t="shared" ref="AF6:AF69" si="26">$O6*cRH</f>
        <v>0</v>
      </c>
      <c r="AG6" s="245">
        <f t="shared" ref="AG6:AG69" si="27">$P6*cRS</f>
        <v>0</v>
      </c>
      <c r="AH6" s="245">
        <f t="shared" si="16"/>
        <v>0</v>
      </c>
      <c r="AI6" s="247">
        <f t="shared" si="17"/>
        <v>0</v>
      </c>
    </row>
    <row r="7" spans="1:35">
      <c r="A7" s="122"/>
      <c r="B7" s="241">
        <v>3</v>
      </c>
      <c r="C7" s="248">
        <f>'Other parameters'!$D$15</f>
        <v>3.0620000000000001E-3</v>
      </c>
      <c r="D7" s="242">
        <f>'Other parameters'!$G$15</f>
        <v>68.400000000000006</v>
      </c>
      <c r="E7" s="248">
        <f t="shared" si="0"/>
        <v>0</v>
      </c>
      <c r="F7" s="248">
        <f t="shared" si="1"/>
        <v>0</v>
      </c>
      <c r="G7" s="248">
        <f t="shared" si="2"/>
        <v>0</v>
      </c>
      <c r="H7" s="249">
        <f t="shared" si="3"/>
        <v>0.94259590913375435</v>
      </c>
      <c r="I7" s="122"/>
      <c r="J7" s="244">
        <f t="shared" si="4"/>
        <v>1</v>
      </c>
      <c r="K7" s="245">
        <f t="shared" si="5"/>
        <v>0</v>
      </c>
      <c r="L7" s="245">
        <f t="shared" si="6"/>
        <v>0</v>
      </c>
      <c r="M7" s="245">
        <f t="shared" si="7"/>
        <v>0</v>
      </c>
      <c r="N7" s="245">
        <f t="shared" si="8"/>
        <v>0</v>
      </c>
      <c r="O7" s="245">
        <f t="shared" si="9"/>
        <v>0</v>
      </c>
      <c r="P7" s="245">
        <f t="shared" si="10"/>
        <v>0</v>
      </c>
      <c r="Q7" s="245">
        <f t="shared" si="11"/>
        <v>0</v>
      </c>
      <c r="R7" s="243">
        <f t="shared" si="12"/>
        <v>1</v>
      </c>
      <c r="S7" s="122"/>
      <c r="T7" s="244">
        <f t="shared" si="13"/>
        <v>3.0620000000000001E-3</v>
      </c>
      <c r="U7" s="246">
        <f t="shared" si="18"/>
        <v>0.20944080000000001</v>
      </c>
      <c r="V7" s="246">
        <f t="shared" si="19"/>
        <v>0</v>
      </c>
      <c r="W7" s="246">
        <f t="shared" si="20"/>
        <v>0</v>
      </c>
      <c r="X7" s="246">
        <f t="shared" si="21"/>
        <v>0</v>
      </c>
      <c r="Y7" s="246">
        <f t="shared" si="22"/>
        <v>0</v>
      </c>
      <c r="Z7" s="246">
        <f t="shared" si="14"/>
        <v>0.20944080000000001</v>
      </c>
      <c r="AA7" s="247">
        <f t="shared" si="15"/>
        <v>0.19741804128570084</v>
      </c>
      <c r="AB7" s="122"/>
      <c r="AC7" s="244">
        <f t="shared" si="23"/>
        <v>0</v>
      </c>
      <c r="AD7" s="245">
        <f t="shared" si="24"/>
        <v>0</v>
      </c>
      <c r="AE7" s="245">
        <f t="shared" si="25"/>
        <v>0</v>
      </c>
      <c r="AF7" s="245">
        <f t="shared" si="26"/>
        <v>0</v>
      </c>
      <c r="AG7" s="245">
        <f t="shared" si="27"/>
        <v>0</v>
      </c>
      <c r="AH7" s="245">
        <f t="shared" si="16"/>
        <v>0</v>
      </c>
      <c r="AI7" s="247">
        <f t="shared" si="17"/>
        <v>0</v>
      </c>
    </row>
    <row r="8" spans="1:35">
      <c r="A8" s="122"/>
      <c r="B8" s="241">
        <v>4</v>
      </c>
      <c r="C8" s="248">
        <f>'Other parameters'!$D$15</f>
        <v>3.0620000000000001E-3</v>
      </c>
      <c r="D8" s="242">
        <f>'Other parameters'!$G$15</f>
        <v>68.400000000000006</v>
      </c>
      <c r="E8" s="248">
        <f t="shared" si="0"/>
        <v>0</v>
      </c>
      <c r="F8" s="248">
        <f t="shared" si="1"/>
        <v>0</v>
      </c>
      <c r="G8" s="248">
        <f t="shared" si="2"/>
        <v>0</v>
      </c>
      <c r="H8" s="249">
        <f t="shared" si="3"/>
        <v>0.91514165935315961</v>
      </c>
      <c r="I8" s="122"/>
      <c r="J8" s="244">
        <f t="shared" si="4"/>
        <v>1</v>
      </c>
      <c r="K8" s="245">
        <f t="shared" si="5"/>
        <v>0</v>
      </c>
      <c r="L8" s="245">
        <f t="shared" si="6"/>
        <v>0</v>
      </c>
      <c r="M8" s="245">
        <f t="shared" si="7"/>
        <v>0</v>
      </c>
      <c r="N8" s="245">
        <f t="shared" si="8"/>
        <v>0</v>
      </c>
      <c r="O8" s="245">
        <f t="shared" si="9"/>
        <v>0</v>
      </c>
      <c r="P8" s="245">
        <f t="shared" si="10"/>
        <v>0</v>
      </c>
      <c r="Q8" s="245">
        <f t="shared" si="11"/>
        <v>0</v>
      </c>
      <c r="R8" s="243">
        <f t="shared" si="12"/>
        <v>1</v>
      </c>
      <c r="S8" s="122"/>
      <c r="T8" s="244">
        <f t="shared" si="13"/>
        <v>3.0620000000000001E-3</v>
      </c>
      <c r="U8" s="246">
        <f t="shared" si="18"/>
        <v>0.20944080000000001</v>
      </c>
      <c r="V8" s="246">
        <f t="shared" si="19"/>
        <v>0</v>
      </c>
      <c r="W8" s="246">
        <f t="shared" si="20"/>
        <v>0</v>
      </c>
      <c r="X8" s="246">
        <f t="shared" si="21"/>
        <v>0</v>
      </c>
      <c r="Y8" s="246">
        <f t="shared" si="22"/>
        <v>0</v>
      </c>
      <c r="Z8" s="246">
        <f t="shared" si="14"/>
        <v>0.20944080000000001</v>
      </c>
      <c r="AA8" s="247">
        <f t="shared" si="15"/>
        <v>0.19166800124825323</v>
      </c>
      <c r="AB8" s="122"/>
      <c r="AC8" s="244">
        <f t="shared" si="23"/>
        <v>0</v>
      </c>
      <c r="AD8" s="245">
        <f t="shared" si="24"/>
        <v>0</v>
      </c>
      <c r="AE8" s="245">
        <f t="shared" si="25"/>
        <v>0</v>
      </c>
      <c r="AF8" s="245">
        <f t="shared" si="26"/>
        <v>0</v>
      </c>
      <c r="AG8" s="245">
        <f t="shared" si="27"/>
        <v>0</v>
      </c>
      <c r="AH8" s="245">
        <f t="shared" si="16"/>
        <v>0</v>
      </c>
      <c r="AI8" s="247">
        <f t="shared" si="17"/>
        <v>0</v>
      </c>
    </row>
    <row r="9" spans="1:35">
      <c r="A9" s="122"/>
      <c r="B9" s="241">
        <v>5</v>
      </c>
      <c r="C9" s="248">
        <f>'Other parameters'!$D$16</f>
        <v>2.2790000000000002E-3</v>
      </c>
      <c r="D9" s="242">
        <f>'Other parameters'!$G$16</f>
        <v>65.5</v>
      </c>
      <c r="E9" s="248">
        <f t="shared" si="0"/>
        <v>0</v>
      </c>
      <c r="F9" s="248">
        <f t="shared" si="1"/>
        <v>0</v>
      </c>
      <c r="G9" s="248">
        <f t="shared" si="2"/>
        <v>0</v>
      </c>
      <c r="H9" s="249">
        <f t="shared" si="3"/>
        <v>0.888487047915689</v>
      </c>
      <c r="I9" s="122"/>
      <c r="J9" s="244">
        <f t="shared" si="4"/>
        <v>1</v>
      </c>
      <c r="K9" s="245">
        <f t="shared" si="5"/>
        <v>0</v>
      </c>
      <c r="L9" s="245">
        <f t="shared" si="6"/>
        <v>0</v>
      </c>
      <c r="M9" s="245">
        <f t="shared" si="7"/>
        <v>0</v>
      </c>
      <c r="N9" s="245">
        <f t="shared" si="8"/>
        <v>0</v>
      </c>
      <c r="O9" s="245">
        <f t="shared" si="9"/>
        <v>0</v>
      </c>
      <c r="P9" s="245">
        <f t="shared" si="10"/>
        <v>0</v>
      </c>
      <c r="Q9" s="245">
        <f t="shared" si="11"/>
        <v>0</v>
      </c>
      <c r="R9" s="243">
        <f t="shared" si="12"/>
        <v>1</v>
      </c>
      <c r="S9" s="122"/>
      <c r="T9" s="244">
        <f t="shared" si="13"/>
        <v>2.2790000000000002E-3</v>
      </c>
      <c r="U9" s="246">
        <f t="shared" si="18"/>
        <v>0.1492745</v>
      </c>
      <c r="V9" s="246">
        <f t="shared" si="19"/>
        <v>0</v>
      </c>
      <c r="W9" s="246">
        <f t="shared" si="20"/>
        <v>0</v>
      </c>
      <c r="X9" s="246">
        <f t="shared" si="21"/>
        <v>0</v>
      </c>
      <c r="Y9" s="246">
        <f t="shared" si="22"/>
        <v>0</v>
      </c>
      <c r="Z9" s="246">
        <f t="shared" si="14"/>
        <v>0.1492745</v>
      </c>
      <c r="AA9" s="247">
        <f t="shared" si="15"/>
        <v>0.13262845983409052</v>
      </c>
      <c r="AB9" s="122"/>
      <c r="AC9" s="244">
        <f t="shared" si="23"/>
        <v>0</v>
      </c>
      <c r="AD9" s="245">
        <f t="shared" si="24"/>
        <v>0</v>
      </c>
      <c r="AE9" s="245">
        <f t="shared" si="25"/>
        <v>0</v>
      </c>
      <c r="AF9" s="245">
        <f t="shared" si="26"/>
        <v>0</v>
      </c>
      <c r="AG9" s="245">
        <f t="shared" si="27"/>
        <v>0</v>
      </c>
      <c r="AH9" s="245">
        <f t="shared" si="16"/>
        <v>0</v>
      </c>
      <c r="AI9" s="247">
        <f t="shared" si="17"/>
        <v>0</v>
      </c>
    </row>
    <row r="10" spans="1:35">
      <c r="A10" s="122"/>
      <c r="B10" s="241">
        <v>6</v>
      </c>
      <c r="C10" s="248">
        <f>'Other parameters'!$D$16</f>
        <v>2.2790000000000002E-3</v>
      </c>
      <c r="D10" s="242">
        <f>'Other parameters'!$G$16</f>
        <v>65.5</v>
      </c>
      <c r="E10" s="248">
        <f t="shared" si="0"/>
        <v>0</v>
      </c>
      <c r="F10" s="248">
        <f t="shared" si="1"/>
        <v>0</v>
      </c>
      <c r="G10" s="248">
        <f t="shared" si="2"/>
        <v>0</v>
      </c>
      <c r="H10" s="249">
        <f t="shared" si="3"/>
        <v>0.86260878438416411</v>
      </c>
      <c r="I10" s="122"/>
      <c r="J10" s="244">
        <f t="shared" si="4"/>
        <v>1</v>
      </c>
      <c r="K10" s="245">
        <f t="shared" si="5"/>
        <v>0</v>
      </c>
      <c r="L10" s="245">
        <f t="shared" si="6"/>
        <v>0</v>
      </c>
      <c r="M10" s="245">
        <f t="shared" si="7"/>
        <v>0</v>
      </c>
      <c r="N10" s="245">
        <f t="shared" si="8"/>
        <v>0</v>
      </c>
      <c r="O10" s="245">
        <f t="shared" si="9"/>
        <v>0</v>
      </c>
      <c r="P10" s="245">
        <f t="shared" si="10"/>
        <v>0</v>
      </c>
      <c r="Q10" s="245">
        <f t="shared" si="11"/>
        <v>0</v>
      </c>
      <c r="R10" s="243">
        <f t="shared" si="12"/>
        <v>1</v>
      </c>
      <c r="S10" s="122"/>
      <c r="T10" s="244">
        <f t="shared" si="13"/>
        <v>2.2790000000000002E-3</v>
      </c>
      <c r="U10" s="246">
        <f t="shared" si="18"/>
        <v>0.1492745</v>
      </c>
      <c r="V10" s="246">
        <f t="shared" si="19"/>
        <v>0</v>
      </c>
      <c r="W10" s="246">
        <f t="shared" si="20"/>
        <v>0</v>
      </c>
      <c r="X10" s="246">
        <f t="shared" si="21"/>
        <v>0</v>
      </c>
      <c r="Y10" s="246">
        <f t="shared" si="22"/>
        <v>0</v>
      </c>
      <c r="Z10" s="246">
        <f t="shared" si="14"/>
        <v>0.1492745</v>
      </c>
      <c r="AA10" s="247">
        <f t="shared" si="15"/>
        <v>0.12876549498455392</v>
      </c>
      <c r="AB10" s="122"/>
      <c r="AC10" s="244">
        <f t="shared" si="23"/>
        <v>0</v>
      </c>
      <c r="AD10" s="245">
        <f t="shared" si="24"/>
        <v>0</v>
      </c>
      <c r="AE10" s="245">
        <f t="shared" si="25"/>
        <v>0</v>
      </c>
      <c r="AF10" s="245">
        <f t="shared" si="26"/>
        <v>0</v>
      </c>
      <c r="AG10" s="245">
        <f t="shared" si="27"/>
        <v>0</v>
      </c>
      <c r="AH10" s="245">
        <f t="shared" si="16"/>
        <v>0</v>
      </c>
      <c r="AI10" s="247">
        <f t="shared" si="17"/>
        <v>0</v>
      </c>
    </row>
    <row r="11" spans="1:35">
      <c r="A11" s="122"/>
      <c r="B11" s="241">
        <v>7</v>
      </c>
      <c r="C11" s="248">
        <f>'Other parameters'!$D$16</f>
        <v>2.2790000000000002E-3</v>
      </c>
      <c r="D11" s="242">
        <f>'Other parameters'!$G$16</f>
        <v>65.5</v>
      </c>
      <c r="E11" s="248">
        <f t="shared" si="0"/>
        <v>0</v>
      </c>
      <c r="F11" s="248">
        <f t="shared" si="1"/>
        <v>0</v>
      </c>
      <c r="G11" s="248">
        <f t="shared" si="2"/>
        <v>0</v>
      </c>
      <c r="H11" s="249">
        <f t="shared" si="3"/>
        <v>0.83748425668365445</v>
      </c>
      <c r="I11" s="122"/>
      <c r="J11" s="244">
        <f t="shared" si="4"/>
        <v>1</v>
      </c>
      <c r="K11" s="245">
        <f t="shared" si="5"/>
        <v>0</v>
      </c>
      <c r="L11" s="245">
        <f t="shared" si="6"/>
        <v>0</v>
      </c>
      <c r="M11" s="245">
        <f t="shared" si="7"/>
        <v>0</v>
      </c>
      <c r="N11" s="245">
        <f t="shared" si="8"/>
        <v>0</v>
      </c>
      <c r="O11" s="245">
        <f t="shared" si="9"/>
        <v>0</v>
      </c>
      <c r="P11" s="245">
        <f t="shared" si="10"/>
        <v>0</v>
      </c>
      <c r="Q11" s="245">
        <f t="shared" si="11"/>
        <v>0</v>
      </c>
      <c r="R11" s="243">
        <f t="shared" si="12"/>
        <v>1</v>
      </c>
      <c r="S11" s="122"/>
      <c r="T11" s="244">
        <f t="shared" si="13"/>
        <v>2.2790000000000002E-3</v>
      </c>
      <c r="U11" s="246">
        <f t="shared" si="18"/>
        <v>0.1492745</v>
      </c>
      <c r="V11" s="246">
        <f t="shared" si="19"/>
        <v>0</v>
      </c>
      <c r="W11" s="246">
        <f t="shared" si="20"/>
        <v>0</v>
      </c>
      <c r="X11" s="246">
        <f t="shared" si="21"/>
        <v>0</v>
      </c>
      <c r="Y11" s="246">
        <f t="shared" si="22"/>
        <v>0</v>
      </c>
      <c r="Z11" s="246">
        <f t="shared" si="14"/>
        <v>0.1492745</v>
      </c>
      <c r="AA11" s="247">
        <f t="shared" si="15"/>
        <v>0.12501504367432417</v>
      </c>
      <c r="AB11" s="122"/>
      <c r="AC11" s="244">
        <f t="shared" si="23"/>
        <v>0</v>
      </c>
      <c r="AD11" s="245">
        <f t="shared" si="24"/>
        <v>0</v>
      </c>
      <c r="AE11" s="245">
        <f t="shared" si="25"/>
        <v>0</v>
      </c>
      <c r="AF11" s="245">
        <f t="shared" si="26"/>
        <v>0</v>
      </c>
      <c r="AG11" s="245">
        <f t="shared" si="27"/>
        <v>0</v>
      </c>
      <c r="AH11" s="245">
        <f t="shared" si="16"/>
        <v>0</v>
      </c>
      <c r="AI11" s="247">
        <f t="shared" si="17"/>
        <v>0</v>
      </c>
    </row>
    <row r="12" spans="1:35">
      <c r="A12" s="122"/>
      <c r="B12" s="241">
        <v>8</v>
      </c>
      <c r="C12" s="248">
        <f>'Other parameters'!$D$16</f>
        <v>2.2790000000000002E-3</v>
      </c>
      <c r="D12" s="242">
        <f>'Other parameters'!$G$16</f>
        <v>65.5</v>
      </c>
      <c r="E12" s="248">
        <f t="shared" si="0"/>
        <v>2.3580000000000001E-4</v>
      </c>
      <c r="F12" s="248">
        <f t="shared" si="1"/>
        <v>0</v>
      </c>
      <c r="G12" s="248">
        <f t="shared" si="2"/>
        <v>0</v>
      </c>
      <c r="H12" s="249">
        <f t="shared" si="3"/>
        <v>0.81309151134335378</v>
      </c>
      <c r="I12" s="122"/>
      <c r="J12" s="244">
        <f t="shared" si="4"/>
        <v>0.99976419999999999</v>
      </c>
      <c r="K12" s="245">
        <f t="shared" si="5"/>
        <v>2.3580000000000001E-4</v>
      </c>
      <c r="L12" s="245">
        <f t="shared" si="6"/>
        <v>0</v>
      </c>
      <c r="M12" s="245">
        <f t="shared" si="7"/>
        <v>0</v>
      </c>
      <c r="N12" s="245">
        <f t="shared" si="8"/>
        <v>0</v>
      </c>
      <c r="O12" s="245">
        <f t="shared" si="9"/>
        <v>0</v>
      </c>
      <c r="P12" s="245">
        <f t="shared" si="10"/>
        <v>0</v>
      </c>
      <c r="Q12" s="245">
        <f t="shared" si="11"/>
        <v>0</v>
      </c>
      <c r="R12" s="243">
        <f>SUM(J12:Q12)</f>
        <v>1</v>
      </c>
      <c r="S12" s="122"/>
      <c r="T12" s="244">
        <f t="shared" si="13"/>
        <v>2.2790000000000002E-3</v>
      </c>
      <c r="U12" s="246">
        <f t="shared" si="18"/>
        <v>0.1492745</v>
      </c>
      <c r="V12" s="246">
        <f t="shared" si="19"/>
        <v>1.2029030136986304E-6</v>
      </c>
      <c r="W12" s="246">
        <f t="shared" si="20"/>
        <v>0</v>
      </c>
      <c r="X12" s="246">
        <f t="shared" si="21"/>
        <v>0</v>
      </c>
      <c r="Y12" s="246">
        <f t="shared" si="22"/>
        <v>0</v>
      </c>
      <c r="Z12" s="246">
        <f t="shared" si="14"/>
        <v>0.1492757029030137</v>
      </c>
      <c r="AA12" s="247">
        <f t="shared" si="15"/>
        <v>0.12137480688025287</v>
      </c>
      <c r="AB12" s="122"/>
      <c r="AC12" s="244">
        <f t="shared" si="23"/>
        <v>0.35134200000000004</v>
      </c>
      <c r="AD12" s="245">
        <f t="shared" si="24"/>
        <v>0</v>
      </c>
      <c r="AE12" s="245">
        <f t="shared" si="25"/>
        <v>0</v>
      </c>
      <c r="AF12" s="245">
        <f t="shared" si="26"/>
        <v>0</v>
      </c>
      <c r="AG12" s="245">
        <f t="shared" si="27"/>
        <v>0</v>
      </c>
      <c r="AH12" s="245">
        <f t="shared" si="16"/>
        <v>0.35134200000000004</v>
      </c>
      <c r="AI12" s="247">
        <f t="shared" si="17"/>
        <v>0.28567319777839661</v>
      </c>
    </row>
    <row r="13" spans="1:35">
      <c r="A13" s="122"/>
      <c r="B13" s="241">
        <v>9</v>
      </c>
      <c r="C13" s="248">
        <f>'Other parameters'!$D$16</f>
        <v>2.2790000000000002E-3</v>
      </c>
      <c r="D13" s="242">
        <f>'Other parameters'!$G$16</f>
        <v>65.5</v>
      </c>
      <c r="E13" s="248">
        <f t="shared" si="0"/>
        <v>2.3580000000000001E-4</v>
      </c>
      <c r="F13" s="248">
        <f t="shared" si="1"/>
        <v>0</v>
      </c>
      <c r="G13" s="248">
        <f t="shared" si="2"/>
        <v>0</v>
      </c>
      <c r="H13" s="249">
        <f t="shared" si="3"/>
        <v>0.78940923431393573</v>
      </c>
      <c r="I13" s="122"/>
      <c r="J13" s="244">
        <f t="shared" si="4"/>
        <v>0.99952845560163994</v>
      </c>
      <c r="K13" s="245">
        <f t="shared" si="5"/>
        <v>2.3574439836000001E-4</v>
      </c>
      <c r="L13" s="245">
        <f t="shared" si="6"/>
        <v>1.4855399999999999E-4</v>
      </c>
      <c r="M13" s="245">
        <f t="shared" si="7"/>
        <v>0</v>
      </c>
      <c r="N13" s="245">
        <f t="shared" si="8"/>
        <v>8.4888000000000018E-5</v>
      </c>
      <c r="O13" s="245">
        <f t="shared" si="9"/>
        <v>0</v>
      </c>
      <c r="P13" s="245">
        <f t="shared" si="10"/>
        <v>0</v>
      </c>
      <c r="Q13" s="245">
        <f t="shared" si="11"/>
        <v>2.3580000000000001E-6</v>
      </c>
      <c r="R13" s="243">
        <f t="shared" ref="R13:R76" si="28">SUM(J13:Q13)</f>
        <v>1</v>
      </c>
      <c r="S13" s="122"/>
      <c r="T13" s="244">
        <f t="shared" si="13"/>
        <v>2.2813580000000003E-3</v>
      </c>
      <c r="U13" s="246">
        <f t="shared" si="18"/>
        <v>0.14942894900000001</v>
      </c>
      <c r="V13" s="246">
        <f t="shared" si="19"/>
        <v>1.2026193691680003E-6</v>
      </c>
      <c r="W13" s="246">
        <f t="shared" si="20"/>
        <v>3.4804080000000008E-6</v>
      </c>
      <c r="X13" s="246">
        <f t="shared" si="21"/>
        <v>0</v>
      </c>
      <c r="Y13" s="246">
        <f t="shared" si="22"/>
        <v>0</v>
      </c>
      <c r="Z13" s="246">
        <f t="shared" si="14"/>
        <v>0.14943363202736917</v>
      </c>
      <c r="AA13" s="247">
        <f t="shared" si="15"/>
        <v>0.11796428903947592</v>
      </c>
      <c r="AB13" s="122"/>
      <c r="AC13" s="244">
        <f t="shared" si="23"/>
        <v>0.35125915355640003</v>
      </c>
      <c r="AD13" s="245">
        <f t="shared" si="24"/>
        <v>4.2783551999999996E-2</v>
      </c>
      <c r="AE13" s="245">
        <f t="shared" si="25"/>
        <v>5.238438480000001E-2</v>
      </c>
      <c r="AF13" s="245">
        <f t="shared" si="26"/>
        <v>0</v>
      </c>
      <c r="AG13" s="245">
        <f t="shared" si="27"/>
        <v>0</v>
      </c>
      <c r="AH13" s="245">
        <f t="shared" si="16"/>
        <v>0.44642709035640005</v>
      </c>
      <c r="AI13" s="247">
        <f t="shared" si="17"/>
        <v>0.35241366757524395</v>
      </c>
    </row>
    <row r="14" spans="1:35">
      <c r="A14" s="122"/>
      <c r="B14" s="241">
        <v>10</v>
      </c>
      <c r="C14" s="248">
        <f>'Other parameters'!$D$17</f>
        <v>1.7776000000000001E-3</v>
      </c>
      <c r="D14" s="242">
        <f>'Other parameters'!$G$17</f>
        <v>61.2</v>
      </c>
      <c r="E14" s="248">
        <f t="shared" si="0"/>
        <v>2.3580000000000001E-4</v>
      </c>
      <c r="F14" s="248">
        <f t="shared" si="1"/>
        <v>0</v>
      </c>
      <c r="G14" s="248">
        <f t="shared" si="2"/>
        <v>0</v>
      </c>
      <c r="H14" s="249">
        <f t="shared" si="3"/>
        <v>0.76641673234362695</v>
      </c>
      <c r="I14" s="122"/>
      <c r="J14" s="244">
        <f t="shared" si="4"/>
        <v>0.99929276679180912</v>
      </c>
      <c r="K14" s="245">
        <f t="shared" si="5"/>
        <v>2.3568880983086671E-4</v>
      </c>
      <c r="L14" s="245">
        <f t="shared" si="6"/>
        <v>2.9707297096679997E-4</v>
      </c>
      <c r="M14" s="245">
        <f t="shared" si="7"/>
        <v>0</v>
      </c>
      <c r="N14" s="245">
        <f t="shared" si="8"/>
        <v>1.6881976405970495E-4</v>
      </c>
      <c r="O14" s="245">
        <f t="shared" si="9"/>
        <v>6.8106520352145891E-7</v>
      </c>
      <c r="P14" s="245">
        <f t="shared" si="10"/>
        <v>2.5515414637362248E-7</v>
      </c>
      <c r="Q14" s="245">
        <f t="shared" si="11"/>
        <v>4.7154439835999998E-6</v>
      </c>
      <c r="R14" s="243">
        <f t="shared" si="28"/>
        <v>1</v>
      </c>
      <c r="S14" s="122"/>
      <c r="T14" s="244">
        <f t="shared" si="13"/>
        <v>1.7799574439836001E-3</v>
      </c>
      <c r="U14" s="246">
        <f t="shared" si="18"/>
        <v>0.10893339557179633</v>
      </c>
      <c r="V14" s="246">
        <f t="shared" si="19"/>
        <v>1.2023357915207504E-6</v>
      </c>
      <c r="W14" s="246">
        <f t="shared" si="20"/>
        <v>6.9216103264479029E-6</v>
      </c>
      <c r="X14" s="246">
        <f t="shared" si="21"/>
        <v>1.2191067143034113E-7</v>
      </c>
      <c r="Y14" s="246">
        <f t="shared" si="22"/>
        <v>1.7860790246153574E-8</v>
      </c>
      <c r="Z14" s="246">
        <f t="shared" si="14"/>
        <v>0.10894165928937599</v>
      </c>
      <c r="AA14" s="247">
        <f t="shared" si="15"/>
        <v>8.3494710528656285E-2</v>
      </c>
      <c r="AB14" s="122"/>
      <c r="AC14" s="244">
        <f t="shared" si="23"/>
        <v>0.35117632664799142</v>
      </c>
      <c r="AD14" s="245">
        <f t="shared" si="24"/>
        <v>8.5557015638438386E-2</v>
      </c>
      <c r="AE14" s="245">
        <f t="shared" si="25"/>
        <v>0.10417867640124392</v>
      </c>
      <c r="AF14" s="245">
        <f t="shared" si="26"/>
        <v>6.518475062903883E-4</v>
      </c>
      <c r="AG14" s="245">
        <f t="shared" si="27"/>
        <v>1.5745562372716245E-4</v>
      </c>
      <c r="AH14" s="245">
        <f t="shared" si="16"/>
        <v>0.54172132181769128</v>
      </c>
      <c r="AI14" s="247">
        <f t="shared" si="17"/>
        <v>0.4151842853083853</v>
      </c>
    </row>
    <row r="15" spans="1:35">
      <c r="A15" s="122"/>
      <c r="B15" s="241">
        <v>11</v>
      </c>
      <c r="C15" s="248">
        <f>'Other parameters'!$D$17</f>
        <v>1.7776000000000001E-3</v>
      </c>
      <c r="D15" s="242">
        <f>'Other parameters'!$G$17</f>
        <v>61.2</v>
      </c>
      <c r="E15" s="248">
        <f t="shared" si="0"/>
        <v>2.3580000000000001E-4</v>
      </c>
      <c r="F15" s="248">
        <f t="shared" si="1"/>
        <v>0</v>
      </c>
      <c r="G15" s="248">
        <f t="shared" si="2"/>
        <v>0</v>
      </c>
      <c r="H15" s="249">
        <f t="shared" si="3"/>
        <v>0.74409391489672516</v>
      </c>
      <c r="I15" s="122"/>
      <c r="J15" s="244">
        <f t="shared" si="4"/>
        <v>0.99905713355739956</v>
      </c>
      <c r="K15" s="245">
        <f t="shared" si="5"/>
        <v>2.3563323440950861E-4</v>
      </c>
      <c r="L15" s="245">
        <f t="shared" si="6"/>
        <v>4.4555692116024601E-4</v>
      </c>
      <c r="M15" s="245">
        <f t="shared" si="7"/>
        <v>0</v>
      </c>
      <c r="N15" s="245">
        <f t="shared" si="8"/>
        <v>2.5180584310803599E-4</v>
      </c>
      <c r="O15" s="245">
        <f t="shared" si="9"/>
        <v>1.9503904802767292E-6</v>
      </c>
      <c r="P15" s="245">
        <f t="shared" si="10"/>
        <v>7.1997746751477982E-7</v>
      </c>
      <c r="Q15" s="245">
        <f t="shared" si="11"/>
        <v>7.2000759747932449E-6</v>
      </c>
      <c r="R15" s="243">
        <f t="shared" si="28"/>
        <v>0.99999999999999989</v>
      </c>
      <c r="S15" s="122"/>
      <c r="T15" s="244">
        <f t="shared" si="13"/>
        <v>1.7800846319911932E-3</v>
      </c>
      <c r="U15" s="246">
        <f t="shared" si="18"/>
        <v>0.10894117947786103</v>
      </c>
      <c r="V15" s="246">
        <f t="shared" si="19"/>
        <v>1.2020522807411098E-6</v>
      </c>
      <c r="W15" s="246">
        <f t="shared" si="20"/>
        <v>1.0324039567429475E-5</v>
      </c>
      <c r="X15" s="246">
        <f t="shared" si="21"/>
        <v>3.4911989596953454E-7</v>
      </c>
      <c r="Y15" s="246">
        <f t="shared" si="22"/>
        <v>5.039842272603459E-8</v>
      </c>
      <c r="Z15" s="246">
        <f t="shared" si="14"/>
        <v>0.10895310508802789</v>
      </c>
      <c r="AA15" s="247">
        <f t="shared" si="15"/>
        <v>8.1071342505104976E-2</v>
      </c>
      <c r="AB15" s="122"/>
      <c r="AC15" s="244">
        <f t="shared" si="23"/>
        <v>0.3510935192701678</v>
      </c>
      <c r="AD15" s="245">
        <f t="shared" si="24"/>
        <v>0.12832039329415085</v>
      </c>
      <c r="AE15" s="245">
        <f t="shared" si="25"/>
        <v>0.15538938578196901</v>
      </c>
      <c r="AF15" s="245">
        <f t="shared" si="26"/>
        <v>1.8667187286728576E-3</v>
      </c>
      <c r="AG15" s="245">
        <f t="shared" si="27"/>
        <v>4.4429809520337067E-4</v>
      </c>
      <c r="AH15" s="245">
        <f t="shared" si="16"/>
        <v>0.63711431517016393</v>
      </c>
      <c r="AI15" s="247">
        <f t="shared" si="17"/>
        <v>0.4740728850117133</v>
      </c>
    </row>
    <row r="16" spans="1:35">
      <c r="A16" s="122"/>
      <c r="B16" s="241">
        <v>12</v>
      </c>
      <c r="C16" s="248">
        <f>'Other parameters'!$D$17</f>
        <v>1.7776000000000001E-3</v>
      </c>
      <c r="D16" s="242">
        <f>'Other parameters'!$G$17</f>
        <v>61.2</v>
      </c>
      <c r="E16" s="248">
        <f t="shared" si="0"/>
        <v>2.3580000000000001E-4</v>
      </c>
      <c r="F16" s="248">
        <f t="shared" si="1"/>
        <v>0.10631249999999999</v>
      </c>
      <c r="G16" s="248">
        <f t="shared" si="2"/>
        <v>0</v>
      </c>
      <c r="H16" s="249">
        <f t="shared" si="3"/>
        <v>0.72242127659876232</v>
      </c>
      <c r="I16" s="122"/>
      <c r="J16" s="244">
        <f t="shared" si="4"/>
        <v>0.99882155588530674</v>
      </c>
      <c r="K16" s="245">
        <f t="shared" si="5"/>
        <v>2.3557767209283483E-4</v>
      </c>
      <c r="L16" s="245">
        <f t="shared" si="6"/>
        <v>5.466375886573878E-4</v>
      </c>
      <c r="M16" s="245">
        <f t="shared" si="7"/>
        <v>4.7368270180848652E-5</v>
      </c>
      <c r="N16" s="245">
        <f t="shared" si="8"/>
        <v>3.3385667170789915E-4</v>
      </c>
      <c r="O16" s="245">
        <f t="shared" si="9"/>
        <v>3.7268559924580816E-6</v>
      </c>
      <c r="P16" s="245">
        <f t="shared" si="10"/>
        <v>1.3566126957838086E-6</v>
      </c>
      <c r="Q16" s="245">
        <f t="shared" si="11"/>
        <v>9.9204433659978899E-6</v>
      </c>
      <c r="R16" s="243">
        <f t="shared" si="28"/>
        <v>0.99999999999999989</v>
      </c>
      <c r="S16" s="122"/>
      <c r="T16" s="244">
        <f t="shared" si="13"/>
        <v>1.7803203673912046E-3</v>
      </c>
      <c r="U16" s="246">
        <f t="shared" si="18"/>
        <v>0.10895560648434173</v>
      </c>
      <c r="V16" s="246">
        <f t="shared" si="19"/>
        <v>1.4434119027769829E-6</v>
      </c>
      <c r="W16" s="246">
        <f t="shared" si="20"/>
        <v>1.3688123540023867E-5</v>
      </c>
      <c r="X16" s="246">
        <f t="shared" si="21"/>
        <v>6.6710722264999654E-7</v>
      </c>
      <c r="Y16" s="246">
        <f t="shared" si="22"/>
        <v>9.4962888704866612E-8</v>
      </c>
      <c r="Z16" s="246">
        <f t="shared" si="14"/>
        <v>0.10897150008989588</v>
      </c>
      <c r="AA16" s="247">
        <f t="shared" si="15"/>
        <v>7.8723330207824724E-2</v>
      </c>
      <c r="AB16" s="122"/>
      <c r="AC16" s="244">
        <f t="shared" si="23"/>
        <v>0.42158945398778841</v>
      </c>
      <c r="AD16" s="245">
        <f t="shared" si="24"/>
        <v>0.15743162553332768</v>
      </c>
      <c r="AE16" s="245">
        <f t="shared" si="25"/>
        <v>0.20602295211094457</v>
      </c>
      <c r="AF16" s="245">
        <f t="shared" si="26"/>
        <v>3.5669738703816298E-3</v>
      </c>
      <c r="AG16" s="245">
        <f t="shared" si="27"/>
        <v>8.371656945681883E-4</v>
      </c>
      <c r="AH16" s="245">
        <f t="shared" si="16"/>
        <v>0.7894481711970105</v>
      </c>
      <c r="AI16" s="247">
        <f t="shared" si="17"/>
        <v>0.57031415564470256</v>
      </c>
    </row>
    <row r="17" spans="1:35">
      <c r="A17" s="122"/>
      <c r="B17" s="241">
        <v>13</v>
      </c>
      <c r="C17" s="248">
        <f>'Other parameters'!$D$17</f>
        <v>1.7776000000000001E-3</v>
      </c>
      <c r="D17" s="242">
        <f>'Other parameters'!$G$17</f>
        <v>61.2</v>
      </c>
      <c r="E17" s="248">
        <f t="shared" si="0"/>
        <v>2.3580000000000001E-4</v>
      </c>
      <c r="F17" s="248">
        <f t="shared" si="1"/>
        <v>0.10631249999999999</v>
      </c>
      <c r="G17" s="248">
        <f t="shared" si="2"/>
        <v>0</v>
      </c>
      <c r="H17" s="249">
        <f t="shared" si="3"/>
        <v>0.70137988019297326</v>
      </c>
      <c r="I17" s="122"/>
      <c r="J17" s="244">
        <f t="shared" si="4"/>
        <v>0.99858603376242894</v>
      </c>
      <c r="K17" s="245">
        <f t="shared" si="5"/>
        <v>2.3552212287775533E-4</v>
      </c>
      <c r="L17" s="245">
        <f t="shared" si="6"/>
        <v>6.492528636787558E-4</v>
      </c>
      <c r="M17" s="245">
        <f t="shared" si="7"/>
        <v>5.8114408644138533E-5</v>
      </c>
      <c r="N17" s="245">
        <f t="shared" si="8"/>
        <v>4.4908772386978316E-4</v>
      </c>
      <c r="O17" s="245">
        <f t="shared" si="9"/>
        <v>5.9395655995611408E-6</v>
      </c>
      <c r="P17" s="245">
        <f t="shared" si="10"/>
        <v>2.1335560911751303E-6</v>
      </c>
      <c r="Q17" s="245">
        <f t="shared" si="11"/>
        <v>1.3915996809796369E-5</v>
      </c>
      <c r="R17" s="243">
        <f t="shared" si="28"/>
        <v>0.99999999999999989</v>
      </c>
      <c r="S17" s="122"/>
      <c r="T17" s="244">
        <f t="shared" si="13"/>
        <v>1.7815955534437986E-3</v>
      </c>
      <c r="U17" s="246">
        <f t="shared" si="18"/>
        <v>0.10903364787076048</v>
      </c>
      <c r="V17" s="246">
        <f t="shared" si="19"/>
        <v>1.4979485525856617E-6</v>
      </c>
      <c r="W17" s="246">
        <f t="shared" si="20"/>
        <v>1.841259667866111E-5</v>
      </c>
      <c r="X17" s="246">
        <f t="shared" si="21"/>
        <v>1.0631822423214441E-6</v>
      </c>
      <c r="Y17" s="246">
        <f t="shared" si="22"/>
        <v>1.4934892638225913E-7</v>
      </c>
      <c r="Z17" s="246">
        <f t="shared" si="14"/>
        <v>0.10905477094716043</v>
      </c>
      <c r="AA17" s="247">
        <f t="shared" si="15"/>
        <v>7.6488822181391525E-2</v>
      </c>
      <c r="AB17" s="122"/>
      <c r="AC17" s="244">
        <f t="shared" si="23"/>
        <v>0.43751843196762191</v>
      </c>
      <c r="AD17" s="245">
        <f t="shared" si="24"/>
        <v>0.18698482473948166</v>
      </c>
      <c r="AE17" s="245">
        <f t="shared" si="25"/>
        <v>0.27713203440004319</v>
      </c>
      <c r="AF17" s="245">
        <f t="shared" si="26"/>
        <v>5.6847582353399678E-3</v>
      </c>
      <c r="AG17" s="245">
        <f t="shared" si="27"/>
        <v>1.3166174638641729E-3</v>
      </c>
      <c r="AH17" s="245">
        <f t="shared" si="16"/>
        <v>0.90863666680635091</v>
      </c>
      <c r="AI17" s="247">
        <f t="shared" si="17"/>
        <v>0.63729947650358099</v>
      </c>
    </row>
    <row r="18" spans="1:35">
      <c r="A18" s="122"/>
      <c r="B18" s="241">
        <v>14</v>
      </c>
      <c r="C18" s="248">
        <f>'Other parameters'!$D$17</f>
        <v>1.7776000000000001E-3</v>
      </c>
      <c r="D18" s="242">
        <f>'Other parameters'!$G$17</f>
        <v>61.2</v>
      </c>
      <c r="E18" s="248">
        <f t="shared" si="0"/>
        <v>2.3580000000000001E-4</v>
      </c>
      <c r="F18" s="248">
        <f t="shared" si="1"/>
        <v>0.10631249999999999</v>
      </c>
      <c r="G18" s="248">
        <f t="shared" si="2"/>
        <v>0</v>
      </c>
      <c r="H18" s="249">
        <f t="shared" si="3"/>
        <v>0.68095133999317792</v>
      </c>
      <c r="I18" s="122"/>
      <c r="J18" s="244">
        <f t="shared" si="4"/>
        <v>0.99835056717566772</v>
      </c>
      <c r="K18" s="245">
        <f t="shared" si="5"/>
        <v>2.3546658676118075E-4</v>
      </c>
      <c r="L18" s="245">
        <f t="shared" si="6"/>
        <v>7.4371785226936995E-4</v>
      </c>
      <c r="M18" s="245">
        <f t="shared" si="7"/>
        <v>6.9023695069847713E-5</v>
      </c>
      <c r="N18" s="245">
        <f t="shared" si="8"/>
        <v>5.7076512885383124E-4</v>
      </c>
      <c r="O18" s="245">
        <f t="shared" si="9"/>
        <v>8.8001971550156142E-6</v>
      </c>
      <c r="P18" s="245">
        <f t="shared" si="10"/>
        <v>3.1271084442729291E-6</v>
      </c>
      <c r="Q18" s="245">
        <f t="shared" si="11"/>
        <v>1.853225577862808E-5</v>
      </c>
      <c r="R18" s="243">
        <f t="shared" si="28"/>
        <v>0.99999999999999989</v>
      </c>
      <c r="S18" s="122"/>
      <c r="T18" s="244">
        <f t="shared" si="13"/>
        <v>1.7822162589688317E-3</v>
      </c>
      <c r="U18" s="246">
        <f t="shared" si="18"/>
        <v>0.1090716350488925</v>
      </c>
      <c r="V18" s="246">
        <f t="shared" si="19"/>
        <v>1.5533175473133565E-6</v>
      </c>
      <c r="W18" s="246">
        <f t="shared" si="20"/>
        <v>2.3401370283007081E-5</v>
      </c>
      <c r="X18" s="246">
        <f t="shared" si="21"/>
        <v>1.5752352907477949E-6</v>
      </c>
      <c r="Y18" s="246">
        <f t="shared" si="22"/>
        <v>2.1889759109910506E-7</v>
      </c>
      <c r="Z18" s="246">
        <f t="shared" si="14"/>
        <v>0.10909838386960466</v>
      </c>
      <c r="AA18" s="247">
        <f t="shared" si="15"/>
        <v>7.4290690687097399E-2</v>
      </c>
      <c r="AB18" s="122"/>
      <c r="AC18" s="244">
        <f t="shared" si="23"/>
        <v>0.45369051992823245</v>
      </c>
      <c r="AD18" s="245">
        <f t="shared" si="24"/>
        <v>0.21419074145357855</v>
      </c>
      <c r="AE18" s="245">
        <f t="shared" si="25"/>
        <v>0.35221916101569928</v>
      </c>
      <c r="AF18" s="245">
        <f t="shared" si="26"/>
        <v>8.4226686970654448E-3</v>
      </c>
      <c r="AG18" s="245">
        <f t="shared" si="27"/>
        <v>1.9297386209608245E-3</v>
      </c>
      <c r="AH18" s="245">
        <f t="shared" si="16"/>
        <v>1.0304528297155366</v>
      </c>
      <c r="AI18" s="247">
        <f t="shared" si="17"/>
        <v>0.7016882351945567</v>
      </c>
    </row>
    <row r="19" spans="1:35">
      <c r="A19" s="122"/>
      <c r="B19" s="241">
        <v>15</v>
      </c>
      <c r="C19" s="248">
        <f>'Other parameters'!$D$18</f>
        <v>1.9608E-3</v>
      </c>
      <c r="D19" s="242">
        <f>'Other parameters'!$G$18</f>
        <v>56.7</v>
      </c>
      <c r="E19" s="248">
        <f t="shared" si="0"/>
        <v>2.3580000000000001E-4</v>
      </c>
      <c r="F19" s="248">
        <f t="shared" si="1"/>
        <v>0.10631249999999999</v>
      </c>
      <c r="G19" s="248">
        <f t="shared" si="2"/>
        <v>0</v>
      </c>
      <c r="H19" s="249">
        <f t="shared" si="3"/>
        <v>0.66111780581861923</v>
      </c>
      <c r="I19" s="122"/>
      <c r="J19" s="244">
        <f t="shared" si="4"/>
        <v>0.99811515611192769</v>
      </c>
      <c r="K19" s="245">
        <f t="shared" si="5"/>
        <v>2.3541106374002247E-4</v>
      </c>
      <c r="L19" s="245">
        <f t="shared" si="6"/>
        <v>8.3094145847768678E-4</v>
      </c>
      <c r="M19" s="245">
        <f t="shared" si="7"/>
        <v>7.9066504169387382E-5</v>
      </c>
      <c r="N19" s="245">
        <f t="shared" si="8"/>
        <v>6.989352618731019E-4</v>
      </c>
      <c r="O19" s="245">
        <f t="shared" si="9"/>
        <v>1.2279480170682321E-5</v>
      </c>
      <c r="P19" s="245">
        <f t="shared" si="10"/>
        <v>4.3204723390804089E-6</v>
      </c>
      <c r="Q19" s="245">
        <f t="shared" si="11"/>
        <v>2.3889647302207374E-5</v>
      </c>
      <c r="R19" s="243">
        <f t="shared" si="28"/>
        <v>0.99999999999999989</v>
      </c>
      <c r="S19" s="250"/>
      <c r="T19" s="244">
        <f t="shared" si="13"/>
        <v>1.9661573915235792E-3</v>
      </c>
      <c r="U19" s="246">
        <f t="shared" si="18"/>
        <v>0.11148112409938694</v>
      </c>
      <c r="V19" s="246">
        <f t="shared" si="19"/>
        <v>1.6042663875269074E-6</v>
      </c>
      <c r="W19" s="246">
        <f t="shared" si="20"/>
        <v>2.8656345736797178E-5</v>
      </c>
      <c r="X19" s="246">
        <f t="shared" si="21"/>
        <v>2.1980269505521356E-6</v>
      </c>
      <c r="Y19" s="246">
        <f t="shared" si="22"/>
        <v>3.0243306373562867E-7</v>
      </c>
      <c r="Z19" s="246">
        <f t="shared" si="14"/>
        <v>0.11151388517152555</v>
      </c>
      <c r="AA19" s="247">
        <f t="shared" si="15"/>
        <v>7.3723815082908428E-2</v>
      </c>
      <c r="AB19" s="122"/>
      <c r="AC19" s="244">
        <f t="shared" si="23"/>
        <v>0.46857157618502066</v>
      </c>
      <c r="AD19" s="245">
        <f t="shared" si="24"/>
        <v>0.23931114004157378</v>
      </c>
      <c r="AE19" s="245">
        <f t="shared" si="25"/>
        <v>0.43131295010189119</v>
      </c>
      <c r="AF19" s="245">
        <f t="shared" si="26"/>
        <v>1.175269047136005E-2</v>
      </c>
      <c r="AG19" s="245">
        <f t="shared" si="27"/>
        <v>2.6661634804465203E-3</v>
      </c>
      <c r="AH19" s="245">
        <f t="shared" si="16"/>
        <v>1.1536145202802923</v>
      </c>
      <c r="AI19" s="247">
        <f t="shared" si="17"/>
        <v>0.76267510040820585</v>
      </c>
    </row>
    <row r="20" spans="1:35">
      <c r="A20" s="122"/>
      <c r="B20" s="241">
        <v>16</v>
      </c>
      <c r="C20" s="248">
        <f>'Other parameters'!$D$18</f>
        <v>1.9608E-3</v>
      </c>
      <c r="D20" s="242">
        <f>'Other parameters'!$G$18</f>
        <v>56.7</v>
      </c>
      <c r="E20" s="248">
        <f t="shared" ref="E20:E39" si="29">IF(B20&lt;rf1age,0,(pA1_1p*EXP(-0.1*(B20-$B$19))))</f>
        <v>2.1336066317287927E-4</v>
      </c>
      <c r="F20" s="248">
        <f t="shared" si="1"/>
        <v>0.10631249999999999</v>
      </c>
      <c r="G20" s="248">
        <f t="shared" si="2"/>
        <v>0</v>
      </c>
      <c r="H20" s="249">
        <f t="shared" si="3"/>
        <v>0.64186194739671765</v>
      </c>
      <c r="I20" s="122"/>
      <c r="J20" s="244">
        <f t="shared" si="4"/>
        <v>0.99790219760029675</v>
      </c>
      <c r="K20" s="245">
        <f t="shared" si="5"/>
        <v>2.1295851163094282E-4</v>
      </c>
      <c r="L20" s="245">
        <f t="shared" si="6"/>
        <v>9.1146825591353247E-4</v>
      </c>
      <c r="M20" s="245">
        <f t="shared" si="7"/>
        <v>8.8339463804409073E-5</v>
      </c>
      <c r="N20" s="245">
        <f t="shared" si="8"/>
        <v>8.3290265646521612E-4</v>
      </c>
      <c r="O20" s="245">
        <f t="shared" si="9"/>
        <v>1.6352175042570199E-5</v>
      </c>
      <c r="P20" s="245">
        <f t="shared" si="10"/>
        <v>5.6997949214835674E-6</v>
      </c>
      <c r="Q20" s="245">
        <f t="shared" si="11"/>
        <v>3.0081541924957063E-5</v>
      </c>
      <c r="R20" s="243">
        <f t="shared" si="28"/>
        <v>0.99999999999999978</v>
      </c>
      <c r="S20" s="250"/>
      <c r="T20" s="244">
        <f t="shared" si="13"/>
        <v>1.9669918946227495E-3</v>
      </c>
      <c r="U20" s="246">
        <f t="shared" si="18"/>
        <v>0.1115284404251099</v>
      </c>
      <c r="V20" s="246">
        <f t="shared" si="19"/>
        <v>1.5370324116729461E-6</v>
      </c>
      <c r="W20" s="246">
        <f t="shared" si="20"/>
        <v>3.414900891507386E-5</v>
      </c>
      <c r="X20" s="246">
        <f t="shared" si="21"/>
        <v>2.9270393326200654E-6</v>
      </c>
      <c r="Y20" s="246">
        <f t="shared" si="22"/>
        <v>3.9898564450384974E-7</v>
      </c>
      <c r="Z20" s="246">
        <f t="shared" si="14"/>
        <v>0.11156745249141377</v>
      </c>
      <c r="AA20" s="247">
        <f t="shared" si="15"/>
        <v>7.1610902322229622E-2</v>
      </c>
      <c r="AB20" s="122"/>
      <c r="AC20" s="244">
        <f t="shared" si="23"/>
        <v>0.44893398339867435</v>
      </c>
      <c r="AD20" s="245">
        <f t="shared" si="24"/>
        <v>0.26250285770309734</v>
      </c>
      <c r="AE20" s="245">
        <f t="shared" si="25"/>
        <v>0.5139842293046849</v>
      </c>
      <c r="AF20" s="245">
        <f t="shared" si="26"/>
        <v>1.5650666733243938E-2</v>
      </c>
      <c r="AG20" s="245">
        <f t="shared" si="27"/>
        <v>3.5173434460475097E-3</v>
      </c>
      <c r="AH20" s="245">
        <f t="shared" si="16"/>
        <v>1.244589080585748</v>
      </c>
      <c r="AI20" s="247">
        <f t="shared" si="17"/>
        <v>0.79885437097345857</v>
      </c>
    </row>
    <row r="21" spans="1:35">
      <c r="A21" s="122"/>
      <c r="B21" s="241">
        <v>17</v>
      </c>
      <c r="C21" s="248">
        <f>'Other parameters'!$D$18</f>
        <v>1.9608E-3</v>
      </c>
      <c r="D21" s="242">
        <f>'Other parameters'!$G$18</f>
        <v>56.7</v>
      </c>
      <c r="E21" s="248">
        <f t="shared" si="29"/>
        <v>1.9305671157578814E-4</v>
      </c>
      <c r="F21" s="248">
        <f t="shared" si="1"/>
        <v>0.10631249999999999</v>
      </c>
      <c r="G21" s="248">
        <f t="shared" si="2"/>
        <v>0</v>
      </c>
      <c r="H21" s="249">
        <f t="shared" si="3"/>
        <v>0.62316693922011435</v>
      </c>
      <c r="I21" s="122"/>
      <c r="J21" s="244">
        <f t="shared" si="4"/>
        <v>0.99770954588355376</v>
      </c>
      <c r="K21" s="245">
        <f t="shared" si="5"/>
        <v>1.9265171674296563E-4</v>
      </c>
      <c r="L21" s="245">
        <f t="shared" si="6"/>
        <v>9.7169990987336537E-4</v>
      </c>
      <c r="M21" s="245">
        <f t="shared" si="7"/>
        <v>9.6900468956807412E-5</v>
      </c>
      <c r="N21" s="245">
        <f t="shared" si="8"/>
        <v>9.63986153256574E-4</v>
      </c>
      <c r="O21" s="245">
        <f t="shared" si="9"/>
        <v>2.0990617317830941E-5</v>
      </c>
      <c r="P21" s="245">
        <f t="shared" si="10"/>
        <v>7.251446348969866E-6</v>
      </c>
      <c r="Q21" s="245">
        <f t="shared" si="11"/>
        <v>3.69738039495637E-5</v>
      </c>
      <c r="R21" s="243">
        <f t="shared" si="28"/>
        <v>0.99999999999999978</v>
      </c>
      <c r="S21" s="250"/>
      <c r="T21" s="244">
        <f t="shared" si="13"/>
        <v>1.9676922620246065E-3</v>
      </c>
      <c r="U21" s="246">
        <f t="shared" si="18"/>
        <v>0.1115681512567952</v>
      </c>
      <c r="V21" s="246">
        <f t="shared" si="19"/>
        <v>1.4771127938985685E-6</v>
      </c>
      <c r="W21" s="246">
        <f t="shared" si="20"/>
        <v>3.9523432283519535E-5</v>
      </c>
      <c r="X21" s="246">
        <f t="shared" si="21"/>
        <v>3.7573204998917384E-6</v>
      </c>
      <c r="Y21" s="246">
        <f t="shared" si="22"/>
        <v>5.0760124442789064E-7</v>
      </c>
      <c r="Z21" s="246">
        <f t="shared" si="14"/>
        <v>0.11161341672361694</v>
      </c>
      <c r="AA21" s="247">
        <f t="shared" si="15"/>
        <v>6.9553791275555485E-2</v>
      </c>
      <c r="AB21" s="122"/>
      <c r="AC21" s="244">
        <f t="shared" si="23"/>
        <v>0.43143275669266185</v>
      </c>
      <c r="AD21" s="245">
        <f t="shared" si="24"/>
        <v>0.27984957404352923</v>
      </c>
      <c r="AE21" s="245">
        <f t="shared" si="25"/>
        <v>0.59487585517463182</v>
      </c>
      <c r="AF21" s="245">
        <f t="shared" si="26"/>
        <v>2.0090119834895996E-2</v>
      </c>
      <c r="AG21" s="245">
        <f t="shared" si="27"/>
        <v>4.4748675419493044E-3</v>
      </c>
      <c r="AH21" s="245">
        <f t="shared" si="16"/>
        <v>1.3307231732876681</v>
      </c>
      <c r="AI21" s="247">
        <f t="shared" si="17"/>
        <v>0.82926268684695392</v>
      </c>
    </row>
    <row r="22" spans="1:35">
      <c r="A22" s="122"/>
      <c r="B22" s="241">
        <v>18</v>
      </c>
      <c r="C22" s="248">
        <f>'Other parameters'!$D$18</f>
        <v>1.9608E-3</v>
      </c>
      <c r="D22" s="242">
        <f>'Other parameters'!$G$18</f>
        <v>56.7</v>
      </c>
      <c r="E22" s="248">
        <f t="shared" si="29"/>
        <v>1.7468493643674909E-4</v>
      </c>
      <c r="F22" s="248">
        <f t="shared" si="1"/>
        <v>0.10631249999999999</v>
      </c>
      <c r="G22" s="248">
        <f t="shared" si="2"/>
        <v>0</v>
      </c>
      <c r="H22" s="249">
        <f t="shared" si="3"/>
        <v>0.60501644584477121</v>
      </c>
      <c r="I22" s="122"/>
      <c r="J22" s="244">
        <f t="shared" si="4"/>
        <v>0.99753526105494872</v>
      </c>
      <c r="K22" s="245">
        <f t="shared" si="5"/>
        <v>1.7428482860500639E-4</v>
      </c>
      <c r="L22" s="245">
        <f t="shared" si="6"/>
        <v>1.0149607666817915E-3</v>
      </c>
      <c r="M22" s="245">
        <f t="shared" si="7"/>
        <v>1.0330384666841215E-4</v>
      </c>
      <c r="N22" s="245">
        <f t="shared" si="8"/>
        <v>1.0924774237747376E-3</v>
      </c>
      <c r="O22" s="245">
        <f t="shared" si="9"/>
        <v>2.6100950760721015E-5</v>
      </c>
      <c r="P22" s="245">
        <f t="shared" si="10"/>
        <v>8.9379793592782376E-6</v>
      </c>
      <c r="Q22" s="245">
        <f t="shared" si="11"/>
        <v>4.467314920113634E-5</v>
      </c>
      <c r="R22" s="243">
        <f t="shared" si="28"/>
        <v>0.99999999999999989</v>
      </c>
      <c r="S22" s="250"/>
      <c r="T22" s="244">
        <f t="shared" si="13"/>
        <v>1.9684993452515724E-3</v>
      </c>
      <c r="U22" s="246">
        <f t="shared" si="18"/>
        <v>0.11161391287576417</v>
      </c>
      <c r="V22" s="246">
        <f t="shared" si="19"/>
        <v>1.4160825023537133E-6</v>
      </c>
      <c r="W22" s="246">
        <f t="shared" si="20"/>
        <v>4.4791574374764248E-5</v>
      </c>
      <c r="X22" s="246">
        <f t="shared" si="21"/>
        <v>4.6720701861690616E-6</v>
      </c>
      <c r="Y22" s="246">
        <f t="shared" si="22"/>
        <v>6.2565855514947665E-7</v>
      </c>
      <c r="Z22" s="246">
        <f t="shared" si="14"/>
        <v>0.1116654182613826</v>
      </c>
      <c r="AA22" s="247">
        <f t="shared" si="15"/>
        <v>6.7559414480271515E-2</v>
      </c>
      <c r="AB22" s="122"/>
      <c r="AC22" s="244">
        <f t="shared" si="23"/>
        <v>0.41360712615739359</v>
      </c>
      <c r="AD22" s="245">
        <f t="shared" si="24"/>
        <v>0.29230870080435595</v>
      </c>
      <c r="AE22" s="245">
        <f t="shared" si="25"/>
        <v>0.6741678182113906</v>
      </c>
      <c r="AF22" s="245">
        <f t="shared" si="26"/>
        <v>2.4981219973086083E-2</v>
      </c>
      <c r="AG22" s="245">
        <f t="shared" si="27"/>
        <v>5.5156270626106002E-3</v>
      </c>
      <c r="AH22" s="245">
        <f t="shared" si="16"/>
        <v>1.410580492208837</v>
      </c>
      <c r="AI22" s="247">
        <f t="shared" si="17"/>
        <v>0.85342439597415853</v>
      </c>
    </row>
    <row r="23" spans="1:35">
      <c r="A23" s="122"/>
      <c r="B23" s="241">
        <v>19</v>
      </c>
      <c r="C23" s="248">
        <f>'Other parameters'!$D$18</f>
        <v>1.9608E-3</v>
      </c>
      <c r="D23" s="242">
        <f>'Other parameters'!$G$18</f>
        <v>56.7</v>
      </c>
      <c r="E23" s="248">
        <f t="shared" si="29"/>
        <v>1.5806146685520375E-4</v>
      </c>
      <c r="F23" s="248">
        <f t="shared" si="1"/>
        <v>0.10631249999999999</v>
      </c>
      <c r="G23" s="248">
        <f t="shared" si="2"/>
        <v>0</v>
      </c>
      <c r="H23" s="249">
        <f t="shared" si="3"/>
        <v>0.5873946076162827</v>
      </c>
      <c r="I23" s="122"/>
      <c r="J23" s="244">
        <f t="shared" si="4"/>
        <v>0.99737758916834662</v>
      </c>
      <c r="K23" s="245">
        <f t="shared" si="5"/>
        <v>1.5767188660213379E-4</v>
      </c>
      <c r="L23" s="245">
        <f t="shared" si="6"/>
        <v>1.0437161923288747E-3</v>
      </c>
      <c r="M23" s="245">
        <f t="shared" si="7"/>
        <v>1.0790301650785795E-4</v>
      </c>
      <c r="N23" s="245">
        <f t="shared" si="8"/>
        <v>1.21754993203826E-3</v>
      </c>
      <c r="O23" s="245">
        <f t="shared" si="9"/>
        <v>3.1603391275796528E-5</v>
      </c>
      <c r="P23" s="245">
        <f t="shared" si="10"/>
        <v>1.0729077081649818E-5</v>
      </c>
      <c r="Q23" s="245">
        <f t="shared" si="11"/>
        <v>5.323733581864424E-5</v>
      </c>
      <c r="R23" s="243">
        <f t="shared" si="28"/>
        <v>0.99999999999999989</v>
      </c>
      <c r="S23" s="250"/>
      <c r="T23" s="244">
        <f t="shared" si="13"/>
        <v>1.9693641866175078E-3</v>
      </c>
      <c r="U23" s="246">
        <f t="shared" si="18"/>
        <v>0.1116629493812127</v>
      </c>
      <c r="V23" s="246">
        <f t="shared" si="19"/>
        <v>1.354795807098095E-6</v>
      </c>
      <c r="W23" s="246">
        <f t="shared" si="20"/>
        <v>4.9919547213568662E-5</v>
      </c>
      <c r="X23" s="246">
        <f t="shared" si="21"/>
        <v>5.6570070383675781E-6</v>
      </c>
      <c r="Y23" s="246">
        <f t="shared" si="22"/>
        <v>7.5103539571548731E-7</v>
      </c>
      <c r="Z23" s="246">
        <f t="shared" si="14"/>
        <v>0.11172063176666745</v>
      </c>
      <c r="AA23" s="247">
        <f t="shared" si="15"/>
        <v>6.5624096659224834E-2</v>
      </c>
      <c r="AB23" s="122"/>
      <c r="AC23" s="244">
        <f t="shared" si="23"/>
        <v>0.39570660563388765</v>
      </c>
      <c r="AD23" s="245">
        <f t="shared" si="24"/>
        <v>0.30059026339071593</v>
      </c>
      <c r="AE23" s="245">
        <f t="shared" si="25"/>
        <v>0.75135006306081031</v>
      </c>
      <c r="AF23" s="245">
        <f t="shared" si="26"/>
        <v>3.0247605790064858E-2</v>
      </c>
      <c r="AG23" s="245">
        <f t="shared" si="27"/>
        <v>6.6209134670861033E-3</v>
      </c>
      <c r="AH23" s="245">
        <f t="shared" si="16"/>
        <v>1.4845154513425649</v>
      </c>
      <c r="AI23" s="247">
        <f t="shared" si="17"/>
        <v>0.87199637104167471</v>
      </c>
    </row>
    <row r="24" spans="1:35">
      <c r="A24" s="122"/>
      <c r="B24" s="241">
        <v>20</v>
      </c>
      <c r="C24" s="248">
        <f>'Other parameters'!$D$19</f>
        <v>2.3103999999999998E-3</v>
      </c>
      <c r="D24" s="242">
        <f>'Other parameters'!$G$19</f>
        <v>52.3</v>
      </c>
      <c r="E24" s="248">
        <f t="shared" si="29"/>
        <v>1.4301992956023896E-4</v>
      </c>
      <c r="F24" s="248">
        <f t="shared" si="1"/>
        <v>0.10631249999999999</v>
      </c>
      <c r="G24" s="248">
        <f t="shared" si="2"/>
        <v>0</v>
      </c>
      <c r="H24" s="249">
        <f t="shared" si="3"/>
        <v>0.57028602681192497</v>
      </c>
      <c r="I24" s="122"/>
      <c r="J24" s="244">
        <f t="shared" si="4"/>
        <v>0.99723494429579884</v>
      </c>
      <c r="K24" s="245">
        <f t="shared" si="5"/>
        <v>1.4264487254781789E-4</v>
      </c>
      <c r="L24" s="245">
        <f t="shared" si="6"/>
        <v>1.0601441874832985E-3</v>
      </c>
      <c r="M24" s="245">
        <f t="shared" si="7"/>
        <v>1.1096007769696348E-4</v>
      </c>
      <c r="N24" s="245">
        <f t="shared" si="8"/>
        <v>1.338573774097792E-3</v>
      </c>
      <c r="O24" s="245">
        <f t="shared" si="9"/>
        <v>3.7421496395880624E-5</v>
      </c>
      <c r="P24" s="245">
        <f t="shared" si="10"/>
        <v>1.2597001182349566E-5</v>
      </c>
      <c r="Q24" s="245">
        <f t="shared" si="11"/>
        <v>6.2714294796932819E-5</v>
      </c>
      <c r="R24" s="243">
        <f t="shared" si="28"/>
        <v>0.99999999999999989</v>
      </c>
      <c r="S24" s="250"/>
      <c r="T24" s="244">
        <f t="shared" si="13"/>
        <v>2.3198769589782885E-3</v>
      </c>
      <c r="U24" s="246">
        <f t="shared" si="18"/>
        <v>0.12132956495456448</v>
      </c>
      <c r="V24" s="246">
        <f t="shared" si="19"/>
        <v>1.2937326502898162E-6</v>
      </c>
      <c r="W24" s="246">
        <f t="shared" si="20"/>
        <v>5.4881524738009472E-5</v>
      </c>
      <c r="X24" s="246">
        <f t="shared" si="21"/>
        <v>6.6984478548626313E-6</v>
      </c>
      <c r="Y24" s="246">
        <f t="shared" si="22"/>
        <v>8.8179008276446967E-7</v>
      </c>
      <c r="Z24" s="246">
        <f t="shared" si="14"/>
        <v>0.12139332044989042</v>
      </c>
      <c r="AA24" s="247">
        <f t="shared" si="15"/>
        <v>6.9228914400874808E-2</v>
      </c>
      <c r="AB24" s="122"/>
      <c r="AC24" s="244">
        <f t="shared" si="23"/>
        <v>0.37787137586472419</v>
      </c>
      <c r="AD24" s="245">
        <f t="shared" si="24"/>
        <v>0.30532152599518997</v>
      </c>
      <c r="AE24" s="245">
        <f t="shared" si="25"/>
        <v>0.8260338759957474</v>
      </c>
      <c r="AF24" s="245">
        <f t="shared" si="26"/>
        <v>3.5816114200497344E-2</v>
      </c>
      <c r="AG24" s="245">
        <f t="shared" si="27"/>
        <v>7.7736094296279173E-3</v>
      </c>
      <c r="AH24" s="245">
        <f t="shared" si="16"/>
        <v>1.5528165014857869</v>
      </c>
      <c r="AI24" s="247">
        <f t="shared" si="17"/>
        <v>0.88554955300032301</v>
      </c>
    </row>
    <row r="25" spans="1:35">
      <c r="A25" s="122"/>
      <c r="B25" s="241">
        <v>21</v>
      </c>
      <c r="C25" s="248">
        <f>'Other parameters'!$D$19</f>
        <v>2.3103999999999998E-3</v>
      </c>
      <c r="D25" s="242">
        <f>'Other parameters'!$G$19</f>
        <v>52.3</v>
      </c>
      <c r="E25" s="248">
        <f t="shared" si="29"/>
        <v>1.2940978379097142E-4</v>
      </c>
      <c r="F25" s="248">
        <f t="shared" si="1"/>
        <v>0.10631249999999999</v>
      </c>
      <c r="G25" s="248">
        <f t="shared" si="2"/>
        <v>0</v>
      </c>
      <c r="H25" s="249">
        <f t="shared" si="3"/>
        <v>0.55367575418633497</v>
      </c>
      <c r="I25" s="122"/>
      <c r="J25" s="244">
        <f t="shared" si="4"/>
        <v>0.99710589233726876</v>
      </c>
      <c r="K25" s="245">
        <f t="shared" si="5"/>
        <v>1.2905195853012076E-4</v>
      </c>
      <c r="L25" s="245">
        <f t="shared" si="6"/>
        <v>1.0661534984578161E-3</v>
      </c>
      <c r="M25" s="245">
        <f t="shared" si="7"/>
        <v>1.1270657893181816E-4</v>
      </c>
      <c r="N25" s="245">
        <f t="shared" si="8"/>
        <v>1.4550542180300126E-3</v>
      </c>
      <c r="O25" s="245">
        <f t="shared" si="9"/>
        <v>4.3483325177660274E-5</v>
      </c>
      <c r="P25" s="245">
        <f t="shared" si="10"/>
        <v>1.4516752280440024E-5</v>
      </c>
      <c r="Q25" s="245">
        <f t="shared" si="11"/>
        <v>7.3141331323287718E-5</v>
      </c>
      <c r="R25" s="243">
        <f t="shared" si="28"/>
        <v>1</v>
      </c>
      <c r="S25" s="250"/>
      <c r="T25" s="244">
        <f t="shared" si="13"/>
        <v>2.3208270365263546E-3</v>
      </c>
      <c r="U25" s="246">
        <f t="shared" si="18"/>
        <v>0.12137925401032834</v>
      </c>
      <c r="V25" s="246">
        <f t="shared" si="19"/>
        <v>1.2332997171346037E-6</v>
      </c>
      <c r="W25" s="246">
        <f t="shared" si="20"/>
        <v>5.9657222939230521E-5</v>
      </c>
      <c r="X25" s="246">
        <f t="shared" si="21"/>
        <v>7.7835152068011886E-6</v>
      </c>
      <c r="Y25" s="246">
        <f t="shared" si="22"/>
        <v>1.0161726596308017E-6</v>
      </c>
      <c r="Z25" s="246">
        <f t="shared" si="14"/>
        <v>0.12144894422085113</v>
      </c>
      <c r="AA25" s="247">
        <f t="shared" si="15"/>
        <v>6.7243335786613873E-2</v>
      </c>
      <c r="AB25" s="122"/>
      <c r="AC25" s="244">
        <f t="shared" si="23"/>
        <v>0.36022022081828897</v>
      </c>
      <c r="AD25" s="245">
        <f t="shared" si="24"/>
        <v>0.30705220755585105</v>
      </c>
      <c r="AE25" s="245">
        <f t="shared" si="25"/>
        <v>0.89791395794632078</v>
      </c>
      <c r="AF25" s="245">
        <f t="shared" si="26"/>
        <v>4.1617890527538649E-2</v>
      </c>
      <c r="AG25" s="245">
        <f t="shared" si="27"/>
        <v>8.9582878322595396E-3</v>
      </c>
      <c r="AH25" s="245">
        <f t="shared" si="16"/>
        <v>1.6157625646802589</v>
      </c>
      <c r="AI25" s="247">
        <f t="shared" si="17"/>
        <v>0.89460855658538918</v>
      </c>
    </row>
    <row r="26" spans="1:35">
      <c r="A26" s="122"/>
      <c r="B26" s="241">
        <v>22</v>
      </c>
      <c r="C26" s="248">
        <f>'Other parameters'!$D$19</f>
        <v>2.3103999999999998E-3</v>
      </c>
      <c r="D26" s="242">
        <f>'Other parameters'!$G$19</f>
        <v>52.3</v>
      </c>
      <c r="E26" s="248">
        <f t="shared" si="29"/>
        <v>1.1709481463401435E-4</v>
      </c>
      <c r="F26" s="248">
        <f t="shared" si="1"/>
        <v>0.10631249999999999</v>
      </c>
      <c r="G26" s="248">
        <f t="shared" si="2"/>
        <v>0</v>
      </c>
      <c r="H26" s="249">
        <f t="shared" si="3"/>
        <v>0.5375492759090631</v>
      </c>
      <c r="I26" s="122"/>
      <c r="J26" s="244">
        <f t="shared" si="4"/>
        <v>0.99698913640763498</v>
      </c>
      <c r="K26" s="245">
        <f t="shared" si="5"/>
        <v>1.1675592963371596E-4</v>
      </c>
      <c r="L26" s="245">
        <f t="shared" si="6"/>
        <v>1.0634144990492684E-3</v>
      </c>
      <c r="M26" s="245">
        <f t="shared" si="7"/>
        <v>1.1334544380479656E-4</v>
      </c>
      <c r="N26" s="245">
        <f t="shared" si="8"/>
        <v>1.5666140452622458E-3</v>
      </c>
      <c r="O26" s="245">
        <f t="shared" si="9"/>
        <v>4.9721960010348222E-5</v>
      </c>
      <c r="P26" s="245">
        <f t="shared" si="10"/>
        <v>1.6466018839230355E-5</v>
      </c>
      <c r="Q26" s="245">
        <f t="shared" si="11"/>
        <v>8.4545695765266308E-5</v>
      </c>
      <c r="R26" s="243">
        <f t="shared" si="28"/>
        <v>0.99999999999999967</v>
      </c>
      <c r="S26" s="250"/>
      <c r="T26" s="244">
        <f t="shared" si="13"/>
        <v>2.3218043644419786E-3</v>
      </c>
      <c r="U26" s="246">
        <f t="shared" si="18"/>
        <v>0.12143036826031547</v>
      </c>
      <c r="V26" s="246">
        <f t="shared" si="19"/>
        <v>1.1738322118972886E-6</v>
      </c>
      <c r="W26" s="246">
        <f t="shared" si="20"/>
        <v>6.4231175855752082E-5</v>
      </c>
      <c r="X26" s="246">
        <f t="shared" si="21"/>
        <v>8.9002308418523315E-6</v>
      </c>
      <c r="Y26" s="246">
        <f t="shared" si="22"/>
        <v>1.1526213187461249E-6</v>
      </c>
      <c r="Z26" s="246">
        <f t="shared" si="14"/>
        <v>0.12150582612054374</v>
      </c>
      <c r="AA26" s="247">
        <f t="shared" si="15"/>
        <v>6.5315368849830815E-2</v>
      </c>
      <c r="AB26" s="122"/>
      <c r="AC26" s="244">
        <f t="shared" si="23"/>
        <v>0.34285104642338365</v>
      </c>
      <c r="AD26" s="245">
        <f t="shared" si="24"/>
        <v>0.30626337572618934</v>
      </c>
      <c r="AE26" s="245">
        <f t="shared" si="25"/>
        <v>0.96675752733133191</v>
      </c>
      <c r="AF26" s="245">
        <f t="shared" si="26"/>
        <v>4.7588887925904287E-2</v>
      </c>
      <c r="AG26" s="245">
        <f t="shared" si="27"/>
        <v>1.0161180225689053E-2</v>
      </c>
      <c r="AH26" s="245">
        <f t="shared" si="16"/>
        <v>1.6736220176324983</v>
      </c>
      <c r="AI26" s="247">
        <f t="shared" si="17"/>
        <v>0.89965430372381472</v>
      </c>
    </row>
    <row r="27" spans="1:35">
      <c r="A27" s="122"/>
      <c r="B27" s="241">
        <v>23</v>
      </c>
      <c r="C27" s="248">
        <f>'Other parameters'!$D$19</f>
        <v>2.3103999999999998E-3</v>
      </c>
      <c r="D27" s="242">
        <f>'Other parameters'!$G$19</f>
        <v>52.3</v>
      </c>
      <c r="E27" s="248">
        <f t="shared" si="29"/>
        <v>1.0595176973884085E-4</v>
      </c>
      <c r="F27" s="248">
        <f t="shared" si="1"/>
        <v>0.10631249999999999</v>
      </c>
      <c r="G27" s="248">
        <f t="shared" si="2"/>
        <v>0</v>
      </c>
      <c r="H27" s="249">
        <f t="shared" si="3"/>
        <v>0.52189250088258554</v>
      </c>
      <c r="I27" s="122"/>
      <c r="J27" s="244">
        <f t="shared" si="4"/>
        <v>0.99688350364422218</v>
      </c>
      <c r="K27" s="245">
        <f t="shared" si="5"/>
        <v>1.0563276341278753E-4</v>
      </c>
      <c r="L27" s="245">
        <f t="shared" si="6"/>
        <v>1.0533862961775811E-3</v>
      </c>
      <c r="M27" s="245">
        <f t="shared" si="7"/>
        <v>1.1305425393017534E-4</v>
      </c>
      <c r="N27" s="245">
        <f t="shared" si="8"/>
        <v>1.6729769051362219E-3</v>
      </c>
      <c r="O27" s="245">
        <f t="shared" si="9"/>
        <v>5.6075821520883311E-5</v>
      </c>
      <c r="P27" s="245">
        <f t="shared" si="10"/>
        <v>1.8425081514865425E-5</v>
      </c>
      <c r="Q27" s="245">
        <f t="shared" si="11"/>
        <v>9.694523408514439E-5</v>
      </c>
      <c r="R27" s="243">
        <f t="shared" si="28"/>
        <v>0.99999999999999978</v>
      </c>
      <c r="S27" s="250"/>
      <c r="T27" s="244">
        <f t="shared" si="13"/>
        <v>2.3227995383198778E-3</v>
      </c>
      <c r="U27" s="246">
        <f t="shared" si="18"/>
        <v>0.1214824158541296</v>
      </c>
      <c r="V27" s="246">
        <f t="shared" si="19"/>
        <v>1.1156033597057449E-6</v>
      </c>
      <c r="W27" s="246">
        <f t="shared" si="20"/>
        <v>6.85920531105851E-5</v>
      </c>
      <c r="X27" s="246">
        <f t="shared" si="21"/>
        <v>1.0037572052238113E-5</v>
      </c>
      <c r="Y27" s="246">
        <f t="shared" si="22"/>
        <v>1.2897557060405798E-6</v>
      </c>
      <c r="Z27" s="246">
        <f t="shared" si="14"/>
        <v>0.12156345083835818</v>
      </c>
      <c r="AA27" s="247">
        <f t="shared" si="15"/>
        <v>6.3443053373947983E-2</v>
      </c>
      <c r="AB27" s="122"/>
      <c r="AC27" s="244">
        <f t="shared" si="23"/>
        <v>0.32584365584101466</v>
      </c>
      <c r="AD27" s="245">
        <f t="shared" si="24"/>
        <v>0.30337525329914333</v>
      </c>
      <c r="AE27" s="245">
        <f t="shared" si="25"/>
        <v>1.0323940481595626</v>
      </c>
      <c r="AF27" s="245">
        <f t="shared" si="26"/>
        <v>5.3670168777637417E-2</v>
      </c>
      <c r="AG27" s="245">
        <f t="shared" si="27"/>
        <v>1.1370117802823454E-2</v>
      </c>
      <c r="AH27" s="245">
        <f t="shared" si="16"/>
        <v>1.7266532438801816</v>
      </c>
      <c r="AI27" s="247">
        <f t="shared" si="17"/>
        <v>0.90112737960565681</v>
      </c>
    </row>
    <row r="28" spans="1:35">
      <c r="A28" s="122"/>
      <c r="B28" s="241">
        <v>24</v>
      </c>
      <c r="C28" s="248">
        <f>'Other parameters'!$D$19</f>
        <v>2.3103999999999998E-3</v>
      </c>
      <c r="D28" s="242">
        <f>'Other parameters'!$G$19</f>
        <v>52.3</v>
      </c>
      <c r="E28" s="248">
        <f t="shared" si="29"/>
        <v>9.5869125766833281E-5</v>
      </c>
      <c r="F28" s="248">
        <f t="shared" si="1"/>
        <v>0.10631249999999999</v>
      </c>
      <c r="G28" s="248">
        <f t="shared" si="2"/>
        <v>8.0000000000000016E-2</v>
      </c>
      <c r="H28" s="249">
        <f t="shared" si="3"/>
        <v>0.50669174842969467</v>
      </c>
      <c r="I28" s="122"/>
      <c r="J28" s="244">
        <f t="shared" si="4"/>
        <v>0.99678793329423643</v>
      </c>
      <c r="K28" s="245">
        <f t="shared" si="5"/>
        <v>9.5570349985749334E-5</v>
      </c>
      <c r="L28" s="245">
        <f t="shared" si="6"/>
        <v>1.0373409125371037E-3</v>
      </c>
      <c r="M28" s="245">
        <f t="shared" si="7"/>
        <v>1.1198813061237908E-4</v>
      </c>
      <c r="N28" s="245">
        <f t="shared" si="8"/>
        <v>1.7784387712346734E-3</v>
      </c>
      <c r="O28" s="245">
        <f t="shared" si="9"/>
        <v>5.8002744846253541E-5</v>
      </c>
      <c r="P28" s="245">
        <f t="shared" si="10"/>
        <v>2.0376683446280428E-5</v>
      </c>
      <c r="Q28" s="245">
        <f t="shared" si="11"/>
        <v>1.103491131009687E-4</v>
      </c>
      <c r="R28" s="243">
        <f t="shared" si="28"/>
        <v>0.99999999999999978</v>
      </c>
      <c r="S28" s="250"/>
      <c r="T28" s="244">
        <f t="shared" si="13"/>
        <v>2.3238038790158243E-3</v>
      </c>
      <c r="U28" s="246">
        <f t="shared" si="18"/>
        <v>0.1215349428725276</v>
      </c>
      <c r="V28" s="246">
        <f t="shared" si="19"/>
        <v>1.0588325777362059E-6</v>
      </c>
      <c r="W28" s="246">
        <f t="shared" si="20"/>
        <v>7.2915989620621618E-5</v>
      </c>
      <c r="X28" s="246">
        <f t="shared" si="21"/>
        <v>1.0382491327479383E-5</v>
      </c>
      <c r="Y28" s="246">
        <f t="shared" si="22"/>
        <v>1.42636784123963E-6</v>
      </c>
      <c r="Z28" s="246">
        <f t="shared" si="14"/>
        <v>0.12162072655389469</v>
      </c>
      <c r="AA28" s="247">
        <f t="shared" si="15"/>
        <v>6.1624218582882695E-2</v>
      </c>
      <c r="AB28" s="122"/>
      <c r="AC28" s="244">
        <f t="shared" si="23"/>
        <v>0.30926213609121134</v>
      </c>
      <c r="AD28" s="245">
        <f t="shared" si="24"/>
        <v>0.29875418281068589</v>
      </c>
      <c r="AE28" s="245">
        <f t="shared" si="25"/>
        <v>1.0974745657289169</v>
      </c>
      <c r="AF28" s="245">
        <f t="shared" si="26"/>
        <v>5.5514427092349265E-2</v>
      </c>
      <c r="AG28" s="245">
        <f t="shared" si="27"/>
        <v>1.2574451354699652E-2</v>
      </c>
      <c r="AH28" s="245">
        <f t="shared" si="16"/>
        <v>1.7735797630778631</v>
      </c>
      <c r="AI28" s="247">
        <f t="shared" si="17"/>
        <v>0.89865823113344612</v>
      </c>
    </row>
    <row r="29" spans="1:35">
      <c r="A29" s="122"/>
      <c r="B29" s="241">
        <v>25</v>
      </c>
      <c r="C29" s="248">
        <f>'Other parameters'!$D$20</f>
        <v>2.8233999999999998E-3</v>
      </c>
      <c r="D29" s="242">
        <f>'Other parameters'!$G$20</f>
        <v>47.9</v>
      </c>
      <c r="E29" s="248">
        <f t="shared" si="29"/>
        <v>8.6745972228226105E-5</v>
      </c>
      <c r="F29" s="248">
        <f t="shared" ref="F29:F60" si="30">IF(B29&lt;rf2age,0,(pA2_1p*EXP(-0.1*(B29-$B$28))))</f>
        <v>9.6195528004947933E-2</v>
      </c>
      <c r="G29" s="248">
        <f t="shared" si="2"/>
        <v>8.0000000000000016E-2</v>
      </c>
      <c r="H29" s="249">
        <f t="shared" si="3"/>
        <v>0.49193373633950943</v>
      </c>
      <c r="I29" s="122"/>
      <c r="J29" s="244">
        <f t="shared" si="4"/>
        <v>0.9967014659558574</v>
      </c>
      <c r="K29" s="245">
        <f t="shared" si="5"/>
        <v>8.6467338378972734E-5</v>
      </c>
      <c r="L29" s="245">
        <f t="shared" si="6"/>
        <v>1.026879590184703E-3</v>
      </c>
      <c r="M29" s="245">
        <f t="shared" si="7"/>
        <v>9.978755680264121E-5</v>
      </c>
      <c r="N29" s="245">
        <f t="shared" si="8"/>
        <v>1.8785015875786169E-3</v>
      </c>
      <c r="O29" s="245">
        <f t="shared" si="9"/>
        <v>6.0380780348999484E-5</v>
      </c>
      <c r="P29" s="245">
        <f t="shared" si="10"/>
        <v>2.2319362394062981E-5</v>
      </c>
      <c r="Q29" s="245">
        <f t="shared" si="11"/>
        <v>1.2419782845438429E-4</v>
      </c>
      <c r="R29" s="243">
        <f t="shared" si="28"/>
        <v>0.99999999999999978</v>
      </c>
      <c r="S29" s="250"/>
      <c r="T29" s="244">
        <f t="shared" si="13"/>
        <v>2.8372487153534155E-3</v>
      </c>
      <c r="U29" s="246">
        <f t="shared" si="18"/>
        <v>0.13590421346542861</v>
      </c>
      <c r="V29" s="246">
        <f t="shared" si="19"/>
        <v>9.5015510911826086E-7</v>
      </c>
      <c r="W29" s="246">
        <f t="shared" si="20"/>
        <v>7.7018565090723292E-5</v>
      </c>
      <c r="X29" s="246">
        <f t="shared" si="21"/>
        <v>1.0808159682470907E-5</v>
      </c>
      <c r="Y29" s="246">
        <f t="shared" si="22"/>
        <v>1.5623553675844087E-6</v>
      </c>
      <c r="Z29" s="246">
        <f t="shared" si="14"/>
        <v>0.13599455270067851</v>
      </c>
      <c r="AA29" s="247">
        <f t="shared" si="15"/>
        <v>6.6900308431865105E-2</v>
      </c>
      <c r="AB29" s="122"/>
      <c r="AC29" s="244">
        <f t="shared" si="23"/>
        <v>0.27751979382060482</v>
      </c>
      <c r="AD29" s="245">
        <f t="shared" si="24"/>
        <v>0.29574132197319447</v>
      </c>
      <c r="AE29" s="245">
        <f t="shared" si="25"/>
        <v>1.1592233296947645</v>
      </c>
      <c r="AF29" s="245">
        <f t="shared" si="26"/>
        <v>5.7790444872027405E-2</v>
      </c>
      <c r="AG29" s="245">
        <f t="shared" si="27"/>
        <v>1.3773278533376267E-2</v>
      </c>
      <c r="AH29" s="245">
        <f t="shared" si="16"/>
        <v>1.8040481688939674</v>
      </c>
      <c r="AI29" s="247">
        <f t="shared" si="17"/>
        <v>0.88747215626045972</v>
      </c>
    </row>
    <row r="30" spans="1:35">
      <c r="A30" s="122"/>
      <c r="B30" s="241">
        <v>26</v>
      </c>
      <c r="C30" s="248">
        <f>'Other parameters'!$D$20</f>
        <v>2.8233999999999998E-3</v>
      </c>
      <c r="D30" s="242">
        <f>'Other parameters'!$G$20</f>
        <v>47.9</v>
      </c>
      <c r="E30" s="248">
        <f t="shared" si="29"/>
        <v>7.8491001536007166E-5</v>
      </c>
      <c r="F30" s="248">
        <f t="shared" si="30"/>
        <v>8.7041313186602937E-2</v>
      </c>
      <c r="G30" s="248">
        <f t="shared" si="2"/>
        <v>8.0000000000000016E-2</v>
      </c>
      <c r="H30" s="249">
        <f t="shared" si="3"/>
        <v>0.47760556926165965</v>
      </c>
      <c r="I30" s="122"/>
      <c r="J30" s="244">
        <f t="shared" si="4"/>
        <v>0.99662323385956209</v>
      </c>
      <c r="K30" s="245">
        <f t="shared" si="5"/>
        <v>7.8232096295281799E-5</v>
      </c>
      <c r="L30" s="245">
        <f t="shared" si="6"/>
        <v>1.0179178301179454E-3</v>
      </c>
      <c r="M30" s="245">
        <f t="shared" si="7"/>
        <v>8.9380948014197215E-5</v>
      </c>
      <c r="N30" s="245">
        <f t="shared" si="8"/>
        <v>1.9655895689014865E-3</v>
      </c>
      <c r="O30" s="245">
        <f t="shared" si="9"/>
        <v>6.3074132898183248E-5</v>
      </c>
      <c r="P30" s="245">
        <f t="shared" si="10"/>
        <v>2.4238380172908176E-5</v>
      </c>
      <c r="Q30" s="245">
        <f t="shared" si="11"/>
        <v>1.3833318403766031E-4</v>
      </c>
      <c r="R30" s="243">
        <f t="shared" si="28"/>
        <v>0.99999999999999989</v>
      </c>
      <c r="S30" s="250"/>
      <c r="T30" s="244">
        <f t="shared" si="13"/>
        <v>2.8375353555832759E-3</v>
      </c>
      <c r="U30" s="246">
        <f t="shared" si="18"/>
        <v>0.13591794353243891</v>
      </c>
      <c r="V30" s="246">
        <f t="shared" si="19"/>
        <v>8.5505613288835606E-7</v>
      </c>
      <c r="W30" s="246">
        <f t="shared" si="20"/>
        <v>8.0589172324960952E-5</v>
      </c>
      <c r="X30" s="246">
        <f t="shared" si="21"/>
        <v>1.1290269788774802E-5</v>
      </c>
      <c r="Y30" s="246">
        <f t="shared" si="22"/>
        <v>1.6966866121035726E-6</v>
      </c>
      <c r="Z30" s="246">
        <f t="shared" si="14"/>
        <v>0.13601237471729763</v>
      </c>
      <c r="AA30" s="247">
        <f t="shared" si="15"/>
        <v>6.4960267653485101E-2</v>
      </c>
      <c r="AB30" s="122"/>
      <c r="AC30" s="244">
        <f t="shared" si="23"/>
        <v>0.24974343602112373</v>
      </c>
      <c r="AD30" s="245">
        <f t="shared" si="24"/>
        <v>0.29316033507396827</v>
      </c>
      <c r="AE30" s="245">
        <f t="shared" si="25"/>
        <v>1.2129653229691073</v>
      </c>
      <c r="AF30" s="245">
        <f t="shared" si="26"/>
        <v>6.0368252596851191E-2</v>
      </c>
      <c r="AG30" s="245">
        <f t="shared" si="27"/>
        <v>1.4957504404701637E-2</v>
      </c>
      <c r="AH30" s="245">
        <f t="shared" si="16"/>
        <v>1.8311948510657521</v>
      </c>
      <c r="AI30" s="247">
        <f t="shared" si="17"/>
        <v>0.87458885927227858</v>
      </c>
    </row>
    <row r="31" spans="1:35">
      <c r="A31" s="122"/>
      <c r="B31" s="241">
        <v>27</v>
      </c>
      <c r="C31" s="248">
        <f>'Other parameters'!$D$20</f>
        <v>2.8233999999999998E-3</v>
      </c>
      <c r="D31" s="242">
        <f>'Other parameters'!$G$20</f>
        <v>47.9</v>
      </c>
      <c r="E31" s="248">
        <f t="shared" si="29"/>
        <v>7.1021595168897235E-5</v>
      </c>
      <c r="F31" s="248">
        <f t="shared" si="30"/>
        <v>7.8758237086225119E-2</v>
      </c>
      <c r="G31" s="248">
        <f t="shared" si="2"/>
        <v>8.0000000000000016E-2</v>
      </c>
      <c r="H31" s="249">
        <f t="shared" si="3"/>
        <v>0.46369472743850448</v>
      </c>
      <c r="I31" s="122"/>
      <c r="J31" s="244">
        <f t="shared" si="4"/>
        <v>0.99655245208771093</v>
      </c>
      <c r="K31" s="245">
        <f t="shared" si="5"/>
        <v>7.0781771851091016E-5</v>
      </c>
      <c r="L31" s="245">
        <f t="shared" si="6"/>
        <v>1.0102736834689393E-3</v>
      </c>
      <c r="M31" s="245">
        <f t="shared" si="7"/>
        <v>8.0169413798724965E-5</v>
      </c>
      <c r="N31" s="245">
        <f t="shared" si="8"/>
        <v>2.0414750902761607E-3</v>
      </c>
      <c r="O31" s="245">
        <f t="shared" si="9"/>
        <v>6.5914064055991718E-5</v>
      </c>
      <c r="P31" s="245">
        <f t="shared" si="10"/>
        <v>2.6098688775799958E-5</v>
      </c>
      <c r="Q31" s="245">
        <f t="shared" si="11"/>
        <v>1.5283520006204563E-4</v>
      </c>
      <c r="R31" s="243">
        <f t="shared" si="28"/>
        <v>0.99999999999999967</v>
      </c>
      <c r="S31" s="250"/>
      <c r="T31" s="244">
        <f t="shared" si="13"/>
        <v>2.8379020160243852E-3</v>
      </c>
      <c r="U31" s="246">
        <f t="shared" si="18"/>
        <v>0.13593550656756803</v>
      </c>
      <c r="V31" s="246">
        <f t="shared" si="19"/>
        <v>7.7005782926015713E-7</v>
      </c>
      <c r="W31" s="246">
        <f t="shared" si="20"/>
        <v>8.3700478701322588E-5</v>
      </c>
      <c r="X31" s="246">
        <f t="shared" si="21"/>
        <v>1.1798617466022517E-5</v>
      </c>
      <c r="Y31" s="246">
        <f t="shared" si="22"/>
        <v>1.8269082143059972E-6</v>
      </c>
      <c r="Z31" s="246">
        <f t="shared" si="14"/>
        <v>0.13603360262977895</v>
      </c>
      <c r="AA31" s="247">
        <f t="shared" si="15"/>
        <v>6.3078064293893177E-2</v>
      </c>
      <c r="AB31" s="122"/>
      <c r="AC31" s="244">
        <f t="shared" si="23"/>
        <v>0.22491726661822578</v>
      </c>
      <c r="AD31" s="245">
        <f t="shared" si="24"/>
        <v>0.29095882083905455</v>
      </c>
      <c r="AE31" s="245">
        <f t="shared" si="25"/>
        <v>1.2597942782094189</v>
      </c>
      <c r="AF31" s="245">
        <f t="shared" si="26"/>
        <v>6.308635070798968E-2</v>
      </c>
      <c r="AG31" s="245">
        <f t="shared" si="27"/>
        <v>1.6105500843546155E-2</v>
      </c>
      <c r="AH31" s="245">
        <f t="shared" si="16"/>
        <v>1.8548622172182352</v>
      </c>
      <c r="AI31" s="247">
        <f t="shared" si="17"/>
        <v>0.86008983024898966</v>
      </c>
    </row>
    <row r="32" spans="1:35">
      <c r="A32" s="122"/>
      <c r="B32" s="241">
        <v>28</v>
      </c>
      <c r="C32" s="248">
        <f>'Other parameters'!$D$20</f>
        <v>2.8233999999999998E-3</v>
      </c>
      <c r="D32" s="242">
        <f>'Other parameters'!$G$20</f>
        <v>47.9</v>
      </c>
      <c r="E32" s="248">
        <f t="shared" si="29"/>
        <v>6.4262996797420175E-5</v>
      </c>
      <c r="F32" s="248">
        <f t="shared" si="30"/>
        <v>7.1263399894163901E-2</v>
      </c>
      <c r="G32" s="248">
        <f t="shared" si="2"/>
        <v>8.0000000000000016E-2</v>
      </c>
      <c r="H32" s="249">
        <f t="shared" si="3"/>
        <v>0.45018905576553836</v>
      </c>
      <c r="I32" s="122"/>
      <c r="J32" s="244">
        <f t="shared" si="4"/>
        <v>0.99648841064067395</v>
      </c>
      <c r="K32" s="245">
        <f t="shared" si="5"/>
        <v>6.4041447036973783E-5</v>
      </c>
      <c r="L32" s="245">
        <f t="shared" si="6"/>
        <v>1.0037147098151981E-3</v>
      </c>
      <c r="M32" s="245">
        <f t="shared" si="7"/>
        <v>7.1995537507596989E-5</v>
      </c>
      <c r="N32" s="245">
        <f t="shared" si="8"/>
        <v>2.107436452592119E-3</v>
      </c>
      <c r="O32" s="245">
        <f t="shared" si="9"/>
        <v>6.8780646712880692E-5</v>
      </c>
      <c r="P32" s="245">
        <f t="shared" si="10"/>
        <v>2.7876420571870189E-5</v>
      </c>
      <c r="Q32" s="245">
        <f t="shared" si="11"/>
        <v>1.6774414508908861E-4</v>
      </c>
      <c r="R32" s="243">
        <f t="shared" si="28"/>
        <v>0.99999999999999978</v>
      </c>
      <c r="S32" s="250"/>
      <c r="T32" s="244">
        <f t="shared" si="13"/>
        <v>2.8383089450270426E-3</v>
      </c>
      <c r="U32" s="246">
        <f t="shared" si="18"/>
        <v>0.13595499846679535</v>
      </c>
      <c r="V32" s="246">
        <f t="shared" si="19"/>
        <v>6.9397497321093376E-7</v>
      </c>
      <c r="W32" s="246">
        <f t="shared" si="20"/>
        <v>8.6404894556276881E-5</v>
      </c>
      <c r="X32" s="246">
        <f t="shared" si="21"/>
        <v>1.2311735761605643E-5</v>
      </c>
      <c r="Y32" s="246">
        <f t="shared" si="22"/>
        <v>1.9513494400309134E-6</v>
      </c>
      <c r="Z32" s="246">
        <f t="shared" si="14"/>
        <v>0.13605636042152647</v>
      </c>
      <c r="AA32" s="247">
        <f t="shared" si="15"/>
        <v>6.1251084429062762E-2</v>
      </c>
      <c r="AB32" s="122"/>
      <c r="AC32" s="244">
        <f t="shared" si="23"/>
        <v>0.20269510697141047</v>
      </c>
      <c r="AD32" s="245">
        <f t="shared" si="24"/>
        <v>0.28906983642677708</v>
      </c>
      <c r="AE32" s="245">
        <f t="shared" si="25"/>
        <v>1.3004990348945966</v>
      </c>
      <c r="AF32" s="245">
        <f t="shared" si="26"/>
        <v>6.582995696889811E-2</v>
      </c>
      <c r="AG32" s="245">
        <f t="shared" si="27"/>
        <v>1.7202539134901093E-2</v>
      </c>
      <c r="AH32" s="245">
        <f t="shared" si="16"/>
        <v>1.8752964743965834</v>
      </c>
      <c r="AI32" s="247">
        <f t="shared" si="17"/>
        <v>0.84423794908904093</v>
      </c>
    </row>
    <row r="33" spans="1:35">
      <c r="A33" s="122"/>
      <c r="B33" s="241">
        <v>29</v>
      </c>
      <c r="C33" s="248">
        <f>'Other parameters'!$D$20</f>
        <v>2.8233999999999998E-3</v>
      </c>
      <c r="D33" s="242">
        <f>'Other parameters'!$G$20</f>
        <v>47.9</v>
      </c>
      <c r="E33" s="248">
        <f t="shared" si="29"/>
        <v>5.8147564097430799E-5</v>
      </c>
      <c r="F33" s="248">
        <f t="shared" si="30"/>
        <v>6.4481790760699334E-2</v>
      </c>
      <c r="G33" s="248">
        <f t="shared" si="2"/>
        <v>8.0000000000000016E-2</v>
      </c>
      <c r="H33" s="249">
        <f t="shared" si="3"/>
        <v>0.4370767531704256</v>
      </c>
      <c r="I33" s="122"/>
      <c r="J33" s="244">
        <f t="shared" si="4"/>
        <v>0.99643046726694395</v>
      </c>
      <c r="K33" s="245">
        <f t="shared" si="5"/>
        <v>5.794337373007553E-5</v>
      </c>
      <c r="L33" s="245">
        <f t="shared" si="6"/>
        <v>9.9805833929872715E-4</v>
      </c>
      <c r="M33" s="245">
        <f t="shared" si="7"/>
        <v>6.4721321901739658E-5</v>
      </c>
      <c r="N33" s="245">
        <f t="shared" si="8"/>
        <v>2.1645879538758016E-3</v>
      </c>
      <c r="O33" s="245">
        <f t="shared" si="9"/>
        <v>7.1588794757006767E-5</v>
      </c>
      <c r="P33" s="245">
        <f t="shared" si="10"/>
        <v>2.9555536108229578E-5</v>
      </c>
      <c r="Q33" s="245">
        <f t="shared" si="11"/>
        <v>1.8307741338422271E-4</v>
      </c>
      <c r="R33" s="243">
        <f t="shared" si="28"/>
        <v>0.99999999999999978</v>
      </c>
      <c r="S33" s="250"/>
      <c r="T33" s="244">
        <f t="shared" si="13"/>
        <v>2.8387332682951339E-3</v>
      </c>
      <c r="U33" s="246">
        <f t="shared" si="18"/>
        <v>0.1359753235513369</v>
      </c>
      <c r="V33" s="246">
        <f t="shared" si="19"/>
        <v>6.2575798155189019E-7</v>
      </c>
      <c r="W33" s="246">
        <f t="shared" si="20"/>
        <v>8.8748106108907872E-5</v>
      </c>
      <c r="X33" s="246">
        <f t="shared" si="21"/>
        <v>1.2814394261504212E-5</v>
      </c>
      <c r="Y33" s="246">
        <f t="shared" si="22"/>
        <v>2.0688875275760705E-6</v>
      </c>
      <c r="Z33" s="246">
        <f t="shared" si="14"/>
        <v>0.13607958069721643</v>
      </c>
      <c r="AA33" s="247">
        <f t="shared" si="15"/>
        <v>5.9477221303932279E-2</v>
      </c>
      <c r="AB33" s="122"/>
      <c r="AC33" s="244">
        <f t="shared" si="23"/>
        <v>0.18277039649140464</v>
      </c>
      <c r="AD33" s="245">
        <f t="shared" si="24"/>
        <v>0.28744080171803343</v>
      </c>
      <c r="AE33" s="245">
        <f t="shared" si="25"/>
        <v>1.3357672263367573</v>
      </c>
      <c r="AF33" s="245">
        <f t="shared" si="26"/>
        <v>6.8517635461931181E-2</v>
      </c>
      <c r="AG33" s="245">
        <f t="shared" si="27"/>
        <v>1.8238721332388474E-2</v>
      </c>
      <c r="AH33" s="245">
        <f t="shared" si="16"/>
        <v>1.8927347813405151</v>
      </c>
      <c r="AI33" s="247">
        <f t="shared" si="17"/>
        <v>0.82727037284104776</v>
      </c>
    </row>
    <row r="34" spans="1:35">
      <c r="A34" s="122"/>
      <c r="B34" s="241">
        <v>30</v>
      </c>
      <c r="C34" s="248">
        <f>'Other parameters'!$D$21</f>
        <v>3.3604000000000004E-3</v>
      </c>
      <c r="D34" s="242">
        <f>'Other parameters'!$G$21</f>
        <v>43.5</v>
      </c>
      <c r="E34" s="248">
        <f t="shared" si="29"/>
        <v>5.2614091762999754E-5</v>
      </c>
      <c r="F34" s="248">
        <f t="shared" si="30"/>
        <v>5.8345537062246176E-2</v>
      </c>
      <c r="G34" s="248">
        <f t="shared" si="2"/>
        <v>8.0000000000000016E-2</v>
      </c>
      <c r="H34" s="249">
        <f t="shared" si="3"/>
        <v>0.42434636230138412</v>
      </c>
      <c r="I34" s="122"/>
      <c r="J34" s="244">
        <f t="shared" si="4"/>
        <v>0.99637804098290372</v>
      </c>
      <c r="K34" s="245">
        <f t="shared" si="5"/>
        <v>5.2426284040231713E-5</v>
      </c>
      <c r="L34" s="245">
        <f t="shared" si="6"/>
        <v>9.9315795861728922E-4</v>
      </c>
      <c r="M34" s="245">
        <f t="shared" si="7"/>
        <v>5.8232249825837752E-5</v>
      </c>
      <c r="N34" s="245">
        <f t="shared" si="8"/>
        <v>2.2139010484719529E-3</v>
      </c>
      <c r="O34" s="245">
        <f t="shared" si="9"/>
        <v>7.4279804857766573E-5</v>
      </c>
      <c r="P34" s="245">
        <f t="shared" si="10"/>
        <v>3.1126023848697675E-5</v>
      </c>
      <c r="Q34" s="245">
        <f t="shared" si="11"/>
        <v>1.9883564743425846E-4</v>
      </c>
      <c r="R34" s="243">
        <f t="shared" si="28"/>
        <v>0.99999999999999978</v>
      </c>
      <c r="S34" s="250"/>
      <c r="T34" s="244">
        <f t="shared" si="13"/>
        <v>3.3761582340500361E-3</v>
      </c>
      <c r="U34" s="246">
        <f t="shared" si="18"/>
        <v>0.14686288318117657</v>
      </c>
      <c r="V34" s="246">
        <f t="shared" si="19"/>
        <v>5.6451010974964755E-7</v>
      </c>
      <c r="W34" s="246">
        <f t="shared" si="20"/>
        <v>9.0769942987350069E-5</v>
      </c>
      <c r="X34" s="246">
        <f t="shared" si="21"/>
        <v>1.3296085069540216E-5</v>
      </c>
      <c r="Y34" s="246">
        <f t="shared" si="22"/>
        <v>2.1788216694088373E-6</v>
      </c>
      <c r="Z34" s="246">
        <f t="shared" si="14"/>
        <v>0.14696969254101261</v>
      </c>
      <c r="AA34" s="247">
        <f t="shared" si="15"/>
        <v>6.2366054398331566E-2</v>
      </c>
      <c r="AB34" s="122"/>
      <c r="AC34" s="244">
        <f t="shared" si="23"/>
        <v>0.16488121546044349</v>
      </c>
      <c r="AD34" s="245">
        <f t="shared" si="24"/>
        <v>0.2860294920817793</v>
      </c>
      <c r="AE34" s="245">
        <f t="shared" si="25"/>
        <v>1.3661983370120423</v>
      </c>
      <c r="AF34" s="245">
        <f t="shared" si="26"/>
        <v>7.1093201229368394E-2</v>
      </c>
      <c r="AG34" s="245">
        <f t="shared" si="27"/>
        <v>1.9207869317031334E-2</v>
      </c>
      <c r="AH34" s="245">
        <f t="shared" si="16"/>
        <v>1.9074101151006646</v>
      </c>
      <c r="AI34" s="247">
        <f t="shared" si="17"/>
        <v>0.80940254375983145</v>
      </c>
    </row>
    <row r="35" spans="1:35">
      <c r="A35" s="122"/>
      <c r="B35" s="241">
        <v>31</v>
      </c>
      <c r="C35" s="248">
        <f>'Other parameters'!$D$21</f>
        <v>3.3604000000000004E-3</v>
      </c>
      <c r="D35" s="242">
        <f>'Other parameters'!$G$21</f>
        <v>43.5</v>
      </c>
      <c r="E35" s="248">
        <f t="shared" si="29"/>
        <v>4.760719894313974E-5</v>
      </c>
      <c r="F35" s="248">
        <f t="shared" si="30"/>
        <v>5.2793225109324216E-2</v>
      </c>
      <c r="G35" s="248">
        <f t="shared" si="2"/>
        <v>8.0000000000000016E-2</v>
      </c>
      <c r="H35" s="249">
        <f t="shared" si="3"/>
        <v>0.41198675951590691</v>
      </c>
      <c r="I35" s="122"/>
      <c r="J35" s="244">
        <f t="shared" si="4"/>
        <v>0.99633060621528402</v>
      </c>
      <c r="K35" s="245">
        <f t="shared" si="5"/>
        <v>4.7434767619648936E-5</v>
      </c>
      <c r="L35" s="245">
        <f t="shared" si="6"/>
        <v>9.8889489083895353E-4</v>
      </c>
      <c r="M35" s="245">
        <f t="shared" si="7"/>
        <v>5.2432011678399454E-5</v>
      </c>
      <c r="N35" s="245">
        <f t="shared" si="8"/>
        <v>2.2562272716156566E-3</v>
      </c>
      <c r="O35" s="245">
        <f t="shared" si="9"/>
        <v>7.6814801946010764E-5</v>
      </c>
      <c r="P35" s="245">
        <f t="shared" si="10"/>
        <v>3.2582464155882804E-5</v>
      </c>
      <c r="Q35" s="245">
        <f t="shared" si="11"/>
        <v>2.1500757686113085E-4</v>
      </c>
      <c r="R35" s="243">
        <f t="shared" si="28"/>
        <v>0.99999999999999967</v>
      </c>
      <c r="S35" s="250"/>
      <c r="T35" s="244">
        <f t="shared" si="13"/>
        <v>3.3765719294268728E-3</v>
      </c>
      <c r="U35" s="246">
        <f t="shared" si="18"/>
        <v>0.14688087893006896</v>
      </c>
      <c r="V35" s="246">
        <f t="shared" si="19"/>
        <v>5.094573782273045E-7</v>
      </c>
      <c r="W35" s="246">
        <f t="shared" si="20"/>
        <v>9.2505318136241929E-5</v>
      </c>
      <c r="X35" s="246">
        <f t="shared" si="21"/>
        <v>1.3749849548335925E-5</v>
      </c>
      <c r="Y35" s="246">
        <f t="shared" si="22"/>
        <v>2.2807724909117964E-6</v>
      </c>
      <c r="Z35" s="246">
        <f t="shared" si="14"/>
        <v>0.14698992432762265</v>
      </c>
      <c r="AA35" s="247">
        <f t="shared" si="15"/>
        <v>6.0557902605225623E-2</v>
      </c>
      <c r="AB35" s="122"/>
      <c r="AC35" s="244">
        <f t="shared" si="23"/>
        <v>0.1488015011540921</v>
      </c>
      <c r="AD35" s="245">
        <f t="shared" si="24"/>
        <v>0.28480172856161862</v>
      </c>
      <c r="AE35" s="245">
        <f t="shared" si="25"/>
        <v>1.3923178493140218</v>
      </c>
      <c r="AF35" s="245">
        <f t="shared" si="26"/>
        <v>7.3519446942526906E-2</v>
      </c>
      <c r="AG35" s="245">
        <f t="shared" si="27"/>
        <v>2.010663863059528E-2</v>
      </c>
      <c r="AH35" s="245">
        <f t="shared" si="16"/>
        <v>1.9195471646028548</v>
      </c>
      <c r="AI35" s="247">
        <f t="shared" si="17"/>
        <v>0.79082801608267728</v>
      </c>
    </row>
    <row r="36" spans="1:35">
      <c r="A36" s="122"/>
      <c r="B36" s="241">
        <v>32</v>
      </c>
      <c r="C36" s="248">
        <f>'Other parameters'!$D$21</f>
        <v>3.3604000000000004E-3</v>
      </c>
      <c r="D36" s="242">
        <f>'Other parameters'!$G$21</f>
        <v>43.5</v>
      </c>
      <c r="E36" s="248">
        <f t="shared" si="29"/>
        <v>4.3076774971634824E-5</v>
      </c>
      <c r="F36" s="248">
        <f t="shared" si="30"/>
        <v>4.7769285497712116E-2</v>
      </c>
      <c r="G36" s="248">
        <f t="shared" si="2"/>
        <v>8.0000000000000016E-2</v>
      </c>
      <c r="H36" s="249">
        <f t="shared" si="3"/>
        <v>0.39998714516107459</v>
      </c>
      <c r="I36" s="122"/>
      <c r="J36" s="244">
        <f t="shared" si="4"/>
        <v>0.99628768750596275</v>
      </c>
      <c r="K36" s="245">
        <f t="shared" si="5"/>
        <v>4.2918709321288295E-5</v>
      </c>
      <c r="L36" s="245">
        <f t="shared" si="6"/>
        <v>9.8517231510800141E-4</v>
      </c>
      <c r="M36" s="245">
        <f t="shared" si="7"/>
        <v>4.7238802367714829E-5</v>
      </c>
      <c r="N36" s="245">
        <f t="shared" si="8"/>
        <v>2.2923163664204226E-3</v>
      </c>
      <c r="O36" s="245">
        <f t="shared" si="9"/>
        <v>7.9169712297026511E-5</v>
      </c>
      <c r="P36" s="245">
        <f t="shared" si="10"/>
        <v>3.3922901994338126E-5</v>
      </c>
      <c r="Q36" s="245">
        <f t="shared" si="11"/>
        <v>2.3157368652817911E-4</v>
      </c>
      <c r="R36" s="243">
        <f t="shared" si="28"/>
        <v>0.99999999999999967</v>
      </c>
      <c r="S36" s="250"/>
      <c r="T36" s="244">
        <f t="shared" si="13"/>
        <v>3.3769661096670488E-3</v>
      </c>
      <c r="U36" s="246">
        <f t="shared" si="18"/>
        <v>0.14689802577051661</v>
      </c>
      <c r="V36" s="246">
        <f t="shared" si="19"/>
        <v>4.5992681305458587E-7</v>
      </c>
      <c r="W36" s="246">
        <f t="shared" si="20"/>
        <v>9.3984971023237335E-5</v>
      </c>
      <c r="X36" s="246">
        <f t="shared" si="21"/>
        <v>1.4171378501167744E-5</v>
      </c>
      <c r="Y36" s="246">
        <f t="shared" si="22"/>
        <v>2.3746031396036691E-6</v>
      </c>
      <c r="Z36" s="246">
        <f t="shared" si="14"/>
        <v>0.14700901664999363</v>
      </c>
      <c r="AA36" s="247">
        <f t="shared" si="15"/>
        <v>5.8801716882767835E-2</v>
      </c>
      <c r="AB36" s="122"/>
      <c r="AC36" s="244">
        <f t="shared" si="23"/>
        <v>0.13433469241661466</v>
      </c>
      <c r="AD36" s="245">
        <f t="shared" si="24"/>
        <v>0.28372962675110441</v>
      </c>
      <c r="AE36" s="245">
        <f t="shared" si="25"/>
        <v>1.4145884297180429</v>
      </c>
      <c r="AF36" s="245">
        <f t="shared" si="26"/>
        <v>7.5773331639484076E-2</v>
      </c>
      <c r="AG36" s="245">
        <f t="shared" si="27"/>
        <v>2.0933822820706056E-2</v>
      </c>
      <c r="AH36" s="245">
        <f t="shared" si="16"/>
        <v>1.9293599033459521</v>
      </c>
      <c r="AI36" s="247">
        <f t="shared" si="17"/>
        <v>0.77171915972759419</v>
      </c>
    </row>
    <row r="37" spans="1:35">
      <c r="A37" s="122"/>
      <c r="B37" s="241">
        <v>33</v>
      </c>
      <c r="C37" s="248">
        <f>'Other parameters'!$D$21</f>
        <v>3.3604000000000004E-3</v>
      </c>
      <c r="D37" s="242">
        <f>'Other parameters'!$G$21</f>
        <v>43.5</v>
      </c>
      <c r="E37" s="248">
        <f t="shared" si="29"/>
        <v>3.8977477842650109E-5</v>
      </c>
      <c r="F37" s="248">
        <f t="shared" si="30"/>
        <v>4.3223436951172436E-2</v>
      </c>
      <c r="G37" s="248">
        <f t="shared" ref="G37:G68" si="31">IF(B37&lt;rhdage,0,pVS_1p)</f>
        <v>8.0000000000000016E-2</v>
      </c>
      <c r="H37" s="249">
        <f t="shared" ref="H37:H68" si="32">1/(1+disc)^($B37-1)</f>
        <v>0.38833703413696569</v>
      </c>
      <c r="I37" s="122"/>
      <c r="J37" s="244">
        <f t="shared" ref="J37:J68" si="33">IF(B37&lt;rf1age,1,J36*(1-E37))</f>
        <v>0.99624885472469804</v>
      </c>
      <c r="K37" s="245">
        <f t="shared" ref="K37:K68" si="34">IF(B37&lt;rf1age,0,J36*E37)</f>
        <v>3.883278126466878E-5</v>
      </c>
      <c r="L37" s="245">
        <f t="shared" ref="L37:L68" si="35">IF(B37&lt;rf1age,0,(K36*cpARF1_Remission)+(L36*(1-F37))+(M36*cpARF2_Remission))</f>
        <v>9.8191065714790761E-4</v>
      </c>
      <c r="M37" s="245">
        <f t="shared" ref="M37:M68" si="36">IF(B37&lt;rf1age,0,L36*F37)</f>
        <v>4.2582533448111286E-5</v>
      </c>
      <c r="N37" s="245">
        <f t="shared" ref="N37:N68" si="37">IF(B37&lt;rf1age,0,(K36*pARF1_RHDMild)+(M36*pARF2_RHDMild)+(N36*cpRHDMild_RHDMild)+(O36*G37))</f>
        <v>2.3228309401578935E-3</v>
      </c>
      <c r="O37" s="245">
        <f t="shared" ref="O37:O68" si="38">IF(B37&lt;rf1age,0,(N36*pRHDMild_RHDSevere)+(O36*(1-(G37+pRHDSevere_Death))))</f>
        <v>8.1331412566208828E-5</v>
      </c>
      <c r="P37" s="245">
        <f t="shared" ref="P37:P68" si="39">IF(B37&lt;rf1age,0,(N36*pRHDMild_Stroke)+(P36*(1-pStroke_Death)))</f>
        <v>3.5147962377920716E-5</v>
      </c>
      <c r="Q37" s="245">
        <f t="shared" ref="Q37:Q68" si="40">IF(B37&lt;rf1age,0,(K36*pARF1_Death)+(M36*pARF2_Death)+(O36*pRHDSevere_Death)+(P36*pStroke_Death)+Q36)</f>
        <v>2.4850898833892908E-4</v>
      </c>
      <c r="R37" s="243">
        <f t="shared" si="28"/>
        <v>0.99999999999999967</v>
      </c>
      <c r="S37" s="250"/>
      <c r="T37" s="244">
        <f t="shared" si="13"/>
        <v>3.3773353018107504E-3</v>
      </c>
      <c r="U37" s="246">
        <f t="shared" si="18"/>
        <v>0.14691408562876765</v>
      </c>
      <c r="V37" s="246">
        <f t="shared" si="19"/>
        <v>4.1532963286355204E-7</v>
      </c>
      <c r="W37" s="246">
        <f t="shared" si="20"/>
        <v>9.523606854647364E-5</v>
      </c>
      <c r="X37" s="246">
        <f t="shared" si="21"/>
        <v>1.4558322849351379E-5</v>
      </c>
      <c r="Y37" s="246">
        <f t="shared" si="22"/>
        <v>2.4603573664544505E-6</v>
      </c>
      <c r="Z37" s="246">
        <f t="shared" si="14"/>
        <v>0.14702675570716278</v>
      </c>
      <c r="AA37" s="247">
        <f t="shared" si="15"/>
        <v>5.7095934250099789E-2</v>
      </c>
      <c r="AB37" s="122"/>
      <c r="AC37" s="244">
        <f t="shared" si="23"/>
        <v>0.1213088189220423</v>
      </c>
      <c r="AD37" s="245">
        <f t="shared" si="24"/>
        <v>0.2827902692585974</v>
      </c>
      <c r="AE37" s="245">
        <f t="shared" si="25"/>
        <v>1.4334189731714362</v>
      </c>
      <c r="AF37" s="245">
        <f t="shared" si="26"/>
        <v>7.7842294967118475E-2</v>
      </c>
      <c r="AG37" s="245">
        <f t="shared" si="27"/>
        <v>2.1689807583414874E-2</v>
      </c>
      <c r="AH37" s="245">
        <f t="shared" si="16"/>
        <v>1.9370501639026092</v>
      </c>
      <c r="AI37" s="247">
        <f t="shared" ref="AI37:AI68" si="41">AH37*H37</f>
        <v>0.75222831562446257</v>
      </c>
    </row>
    <row r="38" spans="1:35">
      <c r="A38" s="122"/>
      <c r="B38" s="241">
        <v>34</v>
      </c>
      <c r="C38" s="248">
        <f>'Other parameters'!$D$21</f>
        <v>3.3604000000000004E-3</v>
      </c>
      <c r="D38" s="242">
        <f>'Other parameters'!$G$21</f>
        <v>43.5</v>
      </c>
      <c r="E38" s="248">
        <f t="shared" si="29"/>
        <v>3.5268280412697343E-5</v>
      </c>
      <c r="F38" s="248">
        <f t="shared" si="30"/>
        <v>3.9110183089538959E-2</v>
      </c>
      <c r="G38" s="248">
        <f t="shared" si="31"/>
        <v>8.0000000000000016E-2</v>
      </c>
      <c r="H38" s="249">
        <f t="shared" si="32"/>
        <v>0.37702624673491814</v>
      </c>
      <c r="I38" s="122"/>
      <c r="J38" s="244">
        <f t="shared" si="33"/>
        <v>0.99621371874072884</v>
      </c>
      <c r="K38" s="245">
        <f t="shared" si="34"/>
        <v>3.5135983969259229E-5</v>
      </c>
      <c r="L38" s="245">
        <f t="shared" si="35"/>
        <v>9.7904406246253372E-4</v>
      </c>
      <c r="M38" s="245">
        <f t="shared" si="36"/>
        <v>3.8402705578624182E-5</v>
      </c>
      <c r="N38" s="245">
        <f t="shared" si="37"/>
        <v>2.3483584606998811E-3</v>
      </c>
      <c r="O38" s="245">
        <f t="shared" si="38"/>
        <v>8.3294785861267112E-5</v>
      </c>
      <c r="P38" s="245">
        <f t="shared" si="39"/>
        <v>3.626015759090675E-5</v>
      </c>
      <c r="Q38" s="245">
        <f t="shared" si="40"/>
        <v>2.6578510310842684E-4</v>
      </c>
      <c r="R38" s="243">
        <f t="shared" si="28"/>
        <v>0.99999999999999978</v>
      </c>
      <c r="S38" s="250"/>
      <c r="T38" s="244">
        <f t="shared" si="13"/>
        <v>3.3776761147694982E-3</v>
      </c>
      <c r="U38" s="246">
        <f t="shared" si="18"/>
        <v>0.14692891099247318</v>
      </c>
      <c r="V38" s="246">
        <f t="shared" si="19"/>
        <v>3.7514805462509301E-7</v>
      </c>
      <c r="W38" s="246">
        <f t="shared" si="20"/>
        <v>9.6282696888695131E-5</v>
      </c>
      <c r="X38" s="246">
        <f t="shared" si="21"/>
        <v>1.4909766669166812E-5</v>
      </c>
      <c r="Y38" s="246">
        <f t="shared" si="22"/>
        <v>2.5382110313634728E-6</v>
      </c>
      <c r="Z38" s="246">
        <f t="shared" si="14"/>
        <v>0.14704301681511703</v>
      </c>
      <c r="AA38" s="247">
        <f t="shared" si="15"/>
        <v>5.5439076738383032E-2</v>
      </c>
      <c r="AB38" s="122"/>
      <c r="AC38" s="244">
        <f t="shared" si="23"/>
        <v>0.1095726474263463</v>
      </c>
      <c r="AD38" s="245">
        <f t="shared" si="24"/>
        <v>0.2819646899892097</v>
      </c>
      <c r="AE38" s="245">
        <f t="shared" si="25"/>
        <v>1.4491720060978968</v>
      </c>
      <c r="AF38" s="245">
        <f t="shared" si="26"/>
        <v>7.9721439547818754E-2</v>
      </c>
      <c r="AG38" s="245">
        <f t="shared" si="27"/>
        <v>2.2376143249348557E-2</v>
      </c>
      <c r="AH38" s="245">
        <f t="shared" si="16"/>
        <v>1.94280692631062</v>
      </c>
      <c r="AI38" s="247">
        <f t="shared" si="41"/>
        <v>0.73248920355749569</v>
      </c>
    </row>
    <row r="39" spans="1:35">
      <c r="A39" s="122"/>
      <c r="B39" s="241">
        <v>35</v>
      </c>
      <c r="C39" s="248">
        <f>'Other parameters'!$D$22</f>
        <v>4.1983999999999997E-3</v>
      </c>
      <c r="D39" s="242">
        <f>'Other parameters'!$G$22</f>
        <v>39.200000000000003</v>
      </c>
      <c r="E39" s="248">
        <f t="shared" si="29"/>
        <v>3.1912059787193278E-5</v>
      </c>
      <c r="F39" s="248">
        <f t="shared" si="30"/>
        <v>3.5388357085652078E-2</v>
      </c>
      <c r="G39" s="248">
        <f t="shared" si="31"/>
        <v>8.0000000000000016E-2</v>
      </c>
      <c r="H39" s="249">
        <f t="shared" si="32"/>
        <v>0.36604489974263904</v>
      </c>
      <c r="I39" s="122"/>
      <c r="J39" s="244">
        <f t="shared" si="33"/>
        <v>0.99618192750897561</v>
      </c>
      <c r="K39" s="245">
        <f t="shared" si="34"/>
        <v>3.1791231753276286E-5</v>
      </c>
      <c r="L39" s="245">
        <f t="shared" si="35"/>
        <v>9.765176749285977E-4</v>
      </c>
      <c r="M39" s="245">
        <f t="shared" si="36"/>
        <v>3.46467608850116E-5</v>
      </c>
      <c r="N39" s="245">
        <f t="shared" si="37"/>
        <v>2.3694211881171586E-3</v>
      </c>
      <c r="O39" s="245">
        <f t="shared" si="38"/>
        <v>8.5060477568324637E-5</v>
      </c>
      <c r="P39" s="245">
        <f t="shared" si="39"/>
        <v>3.7263346161774374E-5</v>
      </c>
      <c r="Q39" s="245">
        <f t="shared" si="40"/>
        <v>2.8337181161003171E-4</v>
      </c>
      <c r="R39" s="243">
        <f t="shared" si="28"/>
        <v>0.99999999999999956</v>
      </c>
      <c r="S39" s="250"/>
      <c r="T39" s="244">
        <f t="shared" si="13"/>
        <v>4.2159867085016043E-3</v>
      </c>
      <c r="U39" s="246">
        <f t="shared" si="18"/>
        <v>0.16526667897326289</v>
      </c>
      <c r="V39" s="246">
        <f t="shared" si="19"/>
        <v>3.3892477340408789E-7</v>
      </c>
      <c r="W39" s="246">
        <f t="shared" si="20"/>
        <v>9.7146268712803508E-5</v>
      </c>
      <c r="X39" s="246">
        <f t="shared" si="21"/>
        <v>1.5225825484730109E-5</v>
      </c>
      <c r="Y39" s="246">
        <f t="shared" si="22"/>
        <v>2.6084342313242066E-6</v>
      </c>
      <c r="Z39" s="246">
        <f t="shared" si="14"/>
        <v>0.16538199842646517</v>
      </c>
      <c r="AA39" s="247">
        <f t="shared" si="15"/>
        <v>6.0537237033252728E-2</v>
      </c>
      <c r="AB39" s="122"/>
      <c r="AC39" s="244">
        <f t="shared" si="23"/>
        <v>9.8992609031048964E-2</v>
      </c>
      <c r="AD39" s="245">
        <f t="shared" si="24"/>
        <v>0.28123709037943612</v>
      </c>
      <c r="AE39" s="245">
        <f t="shared" si="25"/>
        <v>1.4621698151870985</v>
      </c>
      <c r="AF39" s="245">
        <f t="shared" si="26"/>
        <v>8.141138308064351E-2</v>
      </c>
      <c r="AG39" s="245">
        <f t="shared" si="27"/>
        <v>2.2995210916430968E-2</v>
      </c>
      <c r="AH39" s="245">
        <f t="shared" si="16"/>
        <v>1.946806108594658</v>
      </c>
      <c r="AI39" s="247">
        <f t="shared" si="41"/>
        <v>0.71261844683888886</v>
      </c>
    </row>
    <row r="40" spans="1:35">
      <c r="A40" s="122"/>
      <c r="B40" s="241">
        <v>36</v>
      </c>
      <c r="C40" s="248">
        <f>'Other parameters'!$D$22</f>
        <v>4.1983999999999997E-3</v>
      </c>
      <c r="D40" s="242">
        <f>'Other parameters'!$G$22</f>
        <v>39.200000000000003</v>
      </c>
      <c r="E40" s="234">
        <v>0</v>
      </c>
      <c r="F40" s="248">
        <f t="shared" si="30"/>
        <v>3.2020709653915978E-2</v>
      </c>
      <c r="G40" s="248">
        <f t="shared" si="31"/>
        <v>8.0000000000000016E-2</v>
      </c>
      <c r="H40" s="249">
        <f t="shared" si="32"/>
        <v>0.35538339780838735</v>
      </c>
      <c r="I40" s="122"/>
      <c r="J40" s="244">
        <f t="shared" si="33"/>
        <v>0.99618192750897561</v>
      </c>
      <c r="K40" s="245">
        <f t="shared" si="34"/>
        <v>0</v>
      </c>
      <c r="L40" s="245">
        <f t="shared" si="35"/>
        <v>9.7428551982245903E-4</v>
      </c>
      <c r="M40" s="245">
        <f t="shared" si="36"/>
        <v>3.126878894080573E-5</v>
      </c>
      <c r="N40" s="245">
        <f t="shared" si="37"/>
        <v>2.38648448165417E-3</v>
      </c>
      <c r="O40" s="245">
        <f t="shared" si="38"/>
        <v>8.6633190915911819E-5</v>
      </c>
      <c r="P40" s="245">
        <f t="shared" si="39"/>
        <v>3.8162312040506706E-5</v>
      </c>
      <c r="Q40" s="245">
        <f t="shared" si="40"/>
        <v>3.0123819765032162E-4</v>
      </c>
      <c r="R40" s="243">
        <f t="shared" si="28"/>
        <v>0.99999999999999967</v>
      </c>
      <c r="S40" s="250"/>
      <c r="T40" s="244">
        <f t="shared" si="13"/>
        <v>4.2162663860402898E-3</v>
      </c>
      <c r="U40" s="246">
        <f t="shared" si="18"/>
        <v>0.16527764233277936</v>
      </c>
      <c r="V40" s="246">
        <f t="shared" si="19"/>
        <v>1.5951365755556241E-7</v>
      </c>
      <c r="W40" s="246">
        <f t="shared" si="20"/>
        <v>9.7845863747820971E-5</v>
      </c>
      <c r="X40" s="246">
        <f t="shared" si="21"/>
        <v>1.5507341173948216E-5</v>
      </c>
      <c r="Y40" s="246">
        <f t="shared" si="22"/>
        <v>2.6713618428354695E-6</v>
      </c>
      <c r="Z40" s="246">
        <f t="shared" si="14"/>
        <v>0.16539382641320152</v>
      </c>
      <c r="AA40" s="247">
        <f t="shared" si="15"/>
        <v>5.8778220007254162E-2</v>
      </c>
      <c r="AB40" s="122"/>
      <c r="AC40" s="244">
        <f t="shared" si="23"/>
        <v>4.6590495521800536E-2</v>
      </c>
      <c r="AD40" s="245">
        <f t="shared" si="24"/>
        <v>0.28059422970886821</v>
      </c>
      <c r="AE40" s="245">
        <f t="shared" si="25"/>
        <v>1.4726995736287884</v>
      </c>
      <c r="AF40" s="245">
        <f t="shared" si="26"/>
        <v>8.2916627025619208E-2</v>
      </c>
      <c r="AG40" s="245">
        <f t="shared" si="27"/>
        <v>2.3549962760196691E-2</v>
      </c>
      <c r="AH40" s="245">
        <f t="shared" si="16"/>
        <v>1.9063508886452731</v>
      </c>
      <c r="AI40" s="247">
        <f t="shared" si="41"/>
        <v>0.67748545622179579</v>
      </c>
    </row>
    <row r="41" spans="1:35">
      <c r="A41" s="122"/>
      <c r="B41" s="241">
        <v>37</v>
      </c>
      <c r="C41" s="248">
        <f>'Other parameters'!$D$22</f>
        <v>4.1983999999999997E-3</v>
      </c>
      <c r="D41" s="242">
        <f>'Other parameters'!$G$22</f>
        <v>39.200000000000003</v>
      </c>
      <c r="E41" s="234">
        <v>0</v>
      </c>
      <c r="F41" s="248">
        <f t="shared" si="30"/>
        <v>2.8973536246928461E-2</v>
      </c>
      <c r="G41" s="248">
        <f t="shared" si="31"/>
        <v>8.0000000000000016E-2</v>
      </c>
      <c r="H41" s="249">
        <f t="shared" si="32"/>
        <v>0.34503242505668674</v>
      </c>
      <c r="I41" s="122"/>
      <c r="J41" s="244">
        <f t="shared" si="33"/>
        <v>0.99618192750897561</v>
      </c>
      <c r="K41" s="245">
        <f t="shared" si="34"/>
        <v>0</v>
      </c>
      <c r="L41" s="245">
        <f t="shared" si="35"/>
        <v>9.5418690812363498E-4</v>
      </c>
      <c r="M41" s="245">
        <f t="shared" si="36"/>
        <v>2.8228496823433554E-5</v>
      </c>
      <c r="N41" s="245">
        <f t="shared" si="37"/>
        <v>2.3896084200544826E-3</v>
      </c>
      <c r="O41" s="245">
        <f t="shared" si="38"/>
        <v>8.8020398596058193E-5</v>
      </c>
      <c r="P41" s="245">
        <f t="shared" si="39"/>
        <v>3.8962439022174074E-5</v>
      </c>
      <c r="Q41" s="245">
        <f t="shared" si="40"/>
        <v>3.1906582840439136E-4</v>
      </c>
      <c r="R41" s="243">
        <f t="shared" si="28"/>
        <v>0.99999999999999967</v>
      </c>
      <c r="S41" s="250"/>
      <c r="T41" s="244">
        <f t="shared" si="13"/>
        <v>4.2162276307540691E-3</v>
      </c>
      <c r="U41" s="246">
        <f t="shared" si="18"/>
        <v>0.16527612312555953</v>
      </c>
      <c r="V41" s="246">
        <f t="shared" si="19"/>
        <v>1.4400400297324187E-7</v>
      </c>
      <c r="W41" s="246">
        <f t="shared" si="20"/>
        <v>9.7973945222233795E-5</v>
      </c>
      <c r="X41" s="246">
        <f t="shared" si="21"/>
        <v>1.5755651348694416E-5</v>
      </c>
      <c r="Y41" s="246">
        <f t="shared" si="22"/>
        <v>2.7273707315521856E-6</v>
      </c>
      <c r="Z41" s="246">
        <f t="shared" si="14"/>
        <v>0.16539272409686501</v>
      </c>
      <c r="AA41" s="247">
        <f t="shared" si="15"/>
        <v>5.7065852681872843E-2</v>
      </c>
      <c r="AB41" s="122"/>
      <c r="AC41" s="244">
        <f t="shared" si="23"/>
        <v>4.2060460266915997E-2</v>
      </c>
      <c r="AD41" s="245">
        <f t="shared" si="24"/>
        <v>0.27480582953960686</v>
      </c>
      <c r="AE41" s="245">
        <f t="shared" si="25"/>
        <v>1.4746273560156213</v>
      </c>
      <c r="AF41" s="245">
        <f t="shared" si="26"/>
        <v>8.4244323496287299E-2</v>
      </c>
      <c r="AG41" s="245">
        <f t="shared" si="27"/>
        <v>2.4043721120583623E-2</v>
      </c>
      <c r="AH41" s="245">
        <f t="shared" si="16"/>
        <v>1.8997816904390152</v>
      </c>
      <c r="AI41" s="247">
        <f t="shared" si="41"/>
        <v>0.65548628373046514</v>
      </c>
    </row>
    <row r="42" spans="1:35">
      <c r="A42" s="122"/>
      <c r="B42" s="241">
        <v>38</v>
      </c>
      <c r="C42" s="248">
        <f>'Other parameters'!$D$22</f>
        <v>4.1983999999999997E-3</v>
      </c>
      <c r="D42" s="242">
        <f>'Other parameters'!$G$22</f>
        <v>39.200000000000003</v>
      </c>
      <c r="E42" s="234">
        <v>0</v>
      </c>
      <c r="F42" s="248">
        <f t="shared" si="30"/>
        <v>2.6216339729042033E-2</v>
      </c>
      <c r="G42" s="248">
        <f t="shared" si="31"/>
        <v>8.0000000000000016E-2</v>
      </c>
      <c r="H42" s="249">
        <f t="shared" si="32"/>
        <v>0.33498293694823961</v>
      </c>
      <c r="I42" s="122"/>
      <c r="J42" s="244">
        <f t="shared" si="33"/>
        <v>0.99618192750897561</v>
      </c>
      <c r="K42" s="245">
        <f t="shared" si="34"/>
        <v>0</v>
      </c>
      <c r="L42" s="245">
        <f t="shared" si="35"/>
        <v>9.3651102914935427E-4</v>
      </c>
      <c r="M42" s="245">
        <f t="shared" si="36"/>
        <v>2.5015288148373431E-5</v>
      </c>
      <c r="N42" s="245">
        <f t="shared" si="37"/>
        <v>2.3906198712108869E-3</v>
      </c>
      <c r="O42" s="245">
        <f t="shared" si="38"/>
        <v>8.9148292382652873E-5</v>
      </c>
      <c r="P42" s="245">
        <f t="shared" si="39"/>
        <v>3.9638334650836917E-5</v>
      </c>
      <c r="Q42" s="245">
        <f t="shared" si="40"/>
        <v>3.3713967548207037E-4</v>
      </c>
      <c r="R42" s="243">
        <f t="shared" si="28"/>
        <v>0.99999999999999978</v>
      </c>
      <c r="S42" s="250"/>
      <c r="T42" s="244">
        <f t="shared" si="13"/>
        <v>4.2164738470776789E-3</v>
      </c>
      <c r="U42" s="246">
        <f t="shared" si="18"/>
        <v>0.16528577480544501</v>
      </c>
      <c r="V42" s="246">
        <f t="shared" si="19"/>
        <v>1.2761223707471599E-7</v>
      </c>
      <c r="W42" s="246">
        <f t="shared" si="20"/>
        <v>9.8015414719646363E-5</v>
      </c>
      <c r="X42" s="246">
        <f t="shared" si="21"/>
        <v>1.5957544336494865E-5</v>
      </c>
      <c r="Y42" s="246">
        <f t="shared" si="22"/>
        <v>2.7746834255585846E-6</v>
      </c>
      <c r="Z42" s="246">
        <f t="shared" si="14"/>
        <v>0.1654026500601638</v>
      </c>
      <c r="AA42" s="247">
        <f t="shared" si="15"/>
        <v>5.5407065496175592E-2</v>
      </c>
      <c r="AB42" s="122"/>
      <c r="AC42" s="244">
        <f t="shared" si="23"/>
        <v>3.7272779341076409E-2</v>
      </c>
      <c r="AD42" s="245">
        <f t="shared" si="24"/>
        <v>0.26971517639501402</v>
      </c>
      <c r="AE42" s="245">
        <f t="shared" si="25"/>
        <v>1.4752515225242384</v>
      </c>
      <c r="AF42" s="245">
        <f t="shared" si="26"/>
        <v>8.5323830639437062E-2</v>
      </c>
      <c r="AG42" s="245">
        <f t="shared" si="27"/>
        <v>2.4460816313031462E-2</v>
      </c>
      <c r="AH42" s="245">
        <f t="shared" si="16"/>
        <v>1.8920241252127974</v>
      </c>
      <c r="AI42" s="247">
        <f t="shared" si="41"/>
        <v>0.63379579824070675</v>
      </c>
    </row>
    <row r="43" spans="1:35">
      <c r="A43" s="122"/>
      <c r="B43" s="241">
        <v>39</v>
      </c>
      <c r="C43" s="248">
        <f>'Other parameters'!$D$22</f>
        <v>4.1983999999999997E-3</v>
      </c>
      <c r="D43" s="242">
        <f>'Other parameters'!$G$22</f>
        <v>39.200000000000003</v>
      </c>
      <c r="E43" s="234">
        <v>0</v>
      </c>
      <c r="F43" s="248">
        <f t="shared" si="30"/>
        <v>2.3721525150779944E-2</v>
      </c>
      <c r="G43" s="248">
        <f t="shared" si="31"/>
        <v>8.0000000000000016E-2</v>
      </c>
      <c r="H43" s="249">
        <f t="shared" si="32"/>
        <v>0.3252261523769317</v>
      </c>
      <c r="I43" s="122"/>
      <c r="J43" s="244">
        <f t="shared" si="33"/>
        <v>0.99618192750897561</v>
      </c>
      <c r="K43" s="245">
        <f t="shared" si="34"/>
        <v>0</v>
      </c>
      <c r="L43" s="245">
        <f t="shared" si="35"/>
        <v>9.2079953413598211E-4</v>
      </c>
      <c r="M43" s="245">
        <f t="shared" si="36"/>
        <v>2.2215469931949216E-5</v>
      </c>
      <c r="N43" s="245">
        <f t="shared" si="37"/>
        <v>2.3893968884533138E-3</v>
      </c>
      <c r="O43" s="245">
        <f t="shared" si="38"/>
        <v>9.005308292023257E-5</v>
      </c>
      <c r="P43" s="245">
        <f t="shared" si="39"/>
        <v>4.0204395903137744E-5</v>
      </c>
      <c r="Q43" s="245">
        <f t="shared" si="40"/>
        <v>3.5540311967955919E-4</v>
      </c>
      <c r="R43" s="243">
        <f t="shared" si="28"/>
        <v>0.99999999999999967</v>
      </c>
      <c r="S43" s="250"/>
      <c r="T43" s="244">
        <f t="shared" si="13"/>
        <v>4.2166634441974885E-3</v>
      </c>
      <c r="U43" s="246">
        <f t="shared" si="18"/>
        <v>0.16529320701254155</v>
      </c>
      <c r="V43" s="246">
        <f t="shared" si="19"/>
        <v>1.1332932880353273E-7</v>
      </c>
      <c r="W43" s="246">
        <f t="shared" si="20"/>
        <v>9.7965272426585862E-5</v>
      </c>
      <c r="X43" s="246">
        <f t="shared" si="21"/>
        <v>1.6119501842721631E-5</v>
      </c>
      <c r="Y43" s="246">
        <f t="shared" si="22"/>
        <v>2.8143077132196422E-6</v>
      </c>
      <c r="Z43" s="246">
        <f t="shared" si="14"/>
        <v>0.16541021942385287</v>
      </c>
      <c r="AA43" s="247">
        <f t="shared" si="15"/>
        <v>5.3795729227043683E-2</v>
      </c>
      <c r="AB43" s="122"/>
      <c r="AC43" s="244">
        <f t="shared" si="23"/>
        <v>3.3101050198604334E-2</v>
      </c>
      <c r="AD43" s="245">
        <f t="shared" si="24"/>
        <v>0.26519026583116284</v>
      </c>
      <c r="AE43" s="245">
        <f t="shared" si="25"/>
        <v>1.4744968198645401</v>
      </c>
      <c r="AF43" s="245">
        <f t="shared" si="26"/>
        <v>8.6189805662954588E-2</v>
      </c>
      <c r="AG43" s="245">
        <f t="shared" si="27"/>
        <v>2.4810132711826301E-2</v>
      </c>
      <c r="AH43" s="245">
        <f t="shared" si="16"/>
        <v>1.883788074269088</v>
      </c>
      <c r="AI43" s="247">
        <f t="shared" si="41"/>
        <v>0.61265714728808518</v>
      </c>
    </row>
    <row r="44" spans="1:35">
      <c r="A44" s="122"/>
      <c r="B44" s="241">
        <v>40</v>
      </c>
      <c r="C44" s="248">
        <f>'Other parameters'!$D$23</f>
        <v>5.1936000000000005E-3</v>
      </c>
      <c r="D44" s="242">
        <f>'Other parameters'!$G$23</f>
        <v>35</v>
      </c>
      <c r="E44" s="234">
        <v>0</v>
      </c>
      <c r="F44" s="248">
        <f t="shared" si="30"/>
        <v>2.1464123569306798E-2</v>
      </c>
      <c r="G44" s="248">
        <f t="shared" si="31"/>
        <v>8.0000000000000016E-2</v>
      </c>
      <c r="H44" s="249">
        <f t="shared" si="32"/>
        <v>0.31575354599702099</v>
      </c>
      <c r="I44" s="122"/>
      <c r="J44" s="244">
        <f t="shared" si="33"/>
        <v>0.99618192750897561</v>
      </c>
      <c r="K44" s="245">
        <f t="shared" si="34"/>
        <v>0</v>
      </c>
      <c r="L44" s="245">
        <f t="shared" si="35"/>
        <v>9.0681140133503399E-4</v>
      </c>
      <c r="M44" s="245">
        <f t="shared" si="36"/>
        <v>1.9764154983254853E-5</v>
      </c>
      <c r="N44" s="245">
        <f t="shared" si="37"/>
        <v>2.3862439079498916E-3</v>
      </c>
      <c r="O44" s="245">
        <f t="shared" si="38"/>
        <v>9.0762579280457704E-5</v>
      </c>
      <c r="P44" s="245">
        <f t="shared" si="39"/>
        <v>4.0672248916485053E-5</v>
      </c>
      <c r="Q44" s="245">
        <f t="shared" si="40"/>
        <v>3.7381819855905124E-4</v>
      </c>
      <c r="R44" s="243">
        <f t="shared" si="28"/>
        <v>0.99999999999999978</v>
      </c>
      <c r="S44" s="250"/>
      <c r="T44" s="244">
        <f t="shared" si="13"/>
        <v>5.2120150788794927E-3</v>
      </c>
      <c r="U44" s="246">
        <f t="shared" si="18"/>
        <v>0.18242052776078224</v>
      </c>
      <c r="V44" s="246">
        <f t="shared" si="19"/>
        <v>1.0082426459950833E-7</v>
      </c>
      <c r="W44" s="246">
        <f t="shared" si="20"/>
        <v>9.7836000225945554E-5</v>
      </c>
      <c r="X44" s="246">
        <f t="shared" si="21"/>
        <v>1.6246501691201928E-5</v>
      </c>
      <c r="Y44" s="246">
        <f t="shared" si="22"/>
        <v>2.8470574241539541E-6</v>
      </c>
      <c r="Z44" s="246">
        <f t="shared" si="14"/>
        <v>0.18253755814438816</v>
      </c>
      <c r="AA44" s="247">
        <f t="shared" si="15"/>
        <v>5.763688126172796E-2</v>
      </c>
      <c r="AB44" s="122"/>
      <c r="AC44" s="244">
        <f t="shared" si="23"/>
        <v>2.9448590925049731E-2</v>
      </c>
      <c r="AD44" s="245">
        <f t="shared" si="24"/>
        <v>0.26116168358448977</v>
      </c>
      <c r="AE44" s="245">
        <f t="shared" si="25"/>
        <v>1.4725511155958781</v>
      </c>
      <c r="AF44" s="245">
        <f t="shared" si="26"/>
        <v>8.6868864629326067E-2</v>
      </c>
      <c r="AG44" s="245">
        <f t="shared" si="27"/>
        <v>2.5098844806362926E-2</v>
      </c>
      <c r="AH44" s="245">
        <f t="shared" si="16"/>
        <v>1.8751290995411067</v>
      </c>
      <c r="AI44" s="247">
        <f t="shared" si="41"/>
        <v>0.59207866238230544</v>
      </c>
    </row>
    <row r="45" spans="1:35">
      <c r="A45" s="122"/>
      <c r="B45" s="241">
        <v>41</v>
      </c>
      <c r="C45" s="248">
        <f>'Other parameters'!$D$23</f>
        <v>5.1936000000000005E-3</v>
      </c>
      <c r="D45" s="242">
        <f>'Other parameters'!$G$23</f>
        <v>35</v>
      </c>
      <c r="E45" s="234">
        <v>0</v>
      </c>
      <c r="F45" s="248">
        <f t="shared" si="30"/>
        <v>1.9421542150856345E-2</v>
      </c>
      <c r="G45" s="248">
        <f t="shared" si="31"/>
        <v>8.0000000000000016E-2</v>
      </c>
      <c r="H45" s="249">
        <f t="shared" si="32"/>
        <v>0.30655684077380685</v>
      </c>
      <c r="I45" s="122"/>
      <c r="J45" s="244">
        <f t="shared" si="33"/>
        <v>0.99618192750897561</v>
      </c>
      <c r="K45" s="245">
        <f t="shared" si="34"/>
        <v>0</v>
      </c>
      <c r="L45" s="245">
        <f t="shared" si="35"/>
        <v>8.9433840577677476E-4</v>
      </c>
      <c r="M45" s="245">
        <f t="shared" si="36"/>
        <v>1.7611675853905472E-5</v>
      </c>
      <c r="N45" s="245">
        <f t="shared" si="37"/>
        <v>2.3814175142278363E-3</v>
      </c>
      <c r="O45" s="245">
        <f t="shared" si="38"/>
        <v>9.1301332198161475E-5</v>
      </c>
      <c r="P45" s="245">
        <f t="shared" si="39"/>
        <v>4.1052493329669954E-5</v>
      </c>
      <c r="Q45" s="245">
        <f t="shared" si="40"/>
        <v>3.9235106963782658E-4</v>
      </c>
      <c r="R45" s="243">
        <f t="shared" si="28"/>
        <v>0.99999999999999978</v>
      </c>
      <c r="S45" s="250"/>
      <c r="T45" s="244">
        <f t="shared" si="13"/>
        <v>5.2121328710787755E-3</v>
      </c>
      <c r="U45" s="246">
        <f t="shared" si="18"/>
        <v>0.18242465048775713</v>
      </c>
      <c r="V45" s="246">
        <f t="shared" si="19"/>
        <v>8.9843672438279432E-8</v>
      </c>
      <c r="W45" s="246">
        <f t="shared" si="20"/>
        <v>9.7638118083341298E-5</v>
      </c>
      <c r="X45" s="246">
        <f t="shared" si="21"/>
        <v>1.6342938463470902E-5</v>
      </c>
      <c r="Y45" s="246">
        <f t="shared" si="22"/>
        <v>2.873674533076897E-6</v>
      </c>
      <c r="Z45" s="246">
        <f t="shared" si="14"/>
        <v>0.18254159506250947</v>
      </c>
      <c r="AA45" s="247">
        <f t="shared" si="15"/>
        <v>5.5959374692174442E-2</v>
      </c>
      <c r="AB45" s="122"/>
      <c r="AC45" s="244">
        <f t="shared" si="23"/>
        <v>2.6241397022319153E-2</v>
      </c>
      <c r="AD45" s="245">
        <f t="shared" si="24"/>
        <v>0.25756946086371113</v>
      </c>
      <c r="AE45" s="245">
        <f t="shared" si="25"/>
        <v>1.4695727480299978</v>
      </c>
      <c r="AF45" s="245">
        <f t="shared" si="26"/>
        <v>8.738450504686035E-2</v>
      </c>
      <c r="AG45" s="245">
        <f t="shared" si="27"/>
        <v>2.533349363373933E-2</v>
      </c>
      <c r="AH45" s="245">
        <f t="shared" si="16"/>
        <v>1.8661016045966277</v>
      </c>
      <c r="AI45" s="247">
        <f t="shared" si="41"/>
        <v>0.57206621246807388</v>
      </c>
    </row>
    <row r="46" spans="1:35">
      <c r="A46" s="122"/>
      <c r="B46" s="241">
        <v>42</v>
      </c>
      <c r="C46" s="248">
        <f>'Other parameters'!$D$23</f>
        <v>5.1936000000000005E-3</v>
      </c>
      <c r="D46" s="242">
        <f>'Other parameters'!$G$23</f>
        <v>35</v>
      </c>
      <c r="E46" s="234">
        <v>0</v>
      </c>
      <c r="F46" s="248">
        <f t="shared" si="30"/>
        <v>1.7573338054057416E-2</v>
      </c>
      <c r="G46" s="248">
        <f t="shared" si="31"/>
        <v>8.0000000000000016E-2</v>
      </c>
      <c r="H46" s="249">
        <f t="shared" si="32"/>
        <v>0.29762800075126877</v>
      </c>
      <c r="I46" s="122"/>
      <c r="J46" s="244">
        <f t="shared" si="33"/>
        <v>0.99618192750897561</v>
      </c>
      <c r="K46" s="245">
        <f t="shared" si="34"/>
        <v>0</v>
      </c>
      <c r="L46" s="245">
        <f t="shared" si="35"/>
        <v>8.8320093035934816E-4</v>
      </c>
      <c r="M46" s="245">
        <f t="shared" si="36"/>
        <v>1.5716511139442038E-5</v>
      </c>
      <c r="N46" s="245">
        <f t="shared" si="37"/>
        <v>2.3751376654710036E-3</v>
      </c>
      <c r="O46" s="245">
        <f t="shared" si="38"/>
        <v>9.1690918111735276E-5</v>
      </c>
      <c r="P46" s="245">
        <f t="shared" si="39"/>
        <v>4.1354729876915387E-5</v>
      </c>
      <c r="Q46" s="245">
        <f t="shared" si="40"/>
        <v>4.1097173606572974E-4</v>
      </c>
      <c r="R46" s="243">
        <f t="shared" si="28"/>
        <v>0.99999999999999978</v>
      </c>
      <c r="S46" s="250"/>
      <c r="T46" s="244">
        <f t="shared" si="13"/>
        <v>5.2122206664279034E-3</v>
      </c>
      <c r="U46" s="246">
        <f t="shared" si="18"/>
        <v>0.18242772332497662</v>
      </c>
      <c r="V46" s="246">
        <f t="shared" si="19"/>
        <v>8.017573627846871E-8</v>
      </c>
      <c r="W46" s="246">
        <f t="shared" si="20"/>
        <v>9.7380644284311157E-5</v>
      </c>
      <c r="X46" s="246">
        <f t="shared" si="21"/>
        <v>1.6412674342000613E-5</v>
      </c>
      <c r="Y46" s="246">
        <f t="shared" si="22"/>
        <v>2.8948310913840774E-6</v>
      </c>
      <c r="Z46" s="246">
        <f t="shared" si="14"/>
        <v>0.18254449165043057</v>
      </c>
      <c r="AA46" s="247">
        <f t="shared" si="15"/>
        <v>5.4330352098074325E-2</v>
      </c>
      <c r="AB46" s="122"/>
      <c r="AC46" s="244">
        <f t="shared" si="23"/>
        <v>2.3417601597768636E-2</v>
      </c>
      <c r="AD46" s="245">
        <f t="shared" si="24"/>
        <v>0.25436186794349225</v>
      </c>
      <c r="AE46" s="245">
        <f t="shared" si="25"/>
        <v>1.4656974533621565</v>
      </c>
      <c r="AF46" s="245">
        <f t="shared" si="26"/>
        <v>8.7757377724741834E-2</v>
      </c>
      <c r="AG46" s="245">
        <f t="shared" si="27"/>
        <v>2.5520003807044486E-2</v>
      </c>
      <c r="AH46" s="245">
        <f t="shared" si="16"/>
        <v>1.8567543044352037</v>
      </c>
      <c r="AI46" s="247">
        <f t="shared" si="41"/>
        <v>0.55262207151536236</v>
      </c>
    </row>
    <row r="47" spans="1:35">
      <c r="A47" s="122"/>
      <c r="B47" s="241">
        <v>43</v>
      </c>
      <c r="C47" s="248">
        <f>'Other parameters'!$D$23</f>
        <v>5.1936000000000005E-3</v>
      </c>
      <c r="D47" s="242">
        <f>'Other parameters'!$G$23</f>
        <v>35</v>
      </c>
      <c r="E47" s="234">
        <v>0</v>
      </c>
      <c r="F47" s="248">
        <f t="shared" si="30"/>
        <v>1.5901013831106387E-2</v>
      </c>
      <c r="G47" s="248">
        <f t="shared" si="31"/>
        <v>8.0000000000000016E-2</v>
      </c>
      <c r="H47" s="249">
        <f t="shared" si="32"/>
        <v>0.28895922403035801</v>
      </c>
      <c r="I47" s="122"/>
      <c r="J47" s="244">
        <f t="shared" si="33"/>
        <v>0.99618192750897561</v>
      </c>
      <c r="K47" s="245">
        <f t="shared" si="34"/>
        <v>0</v>
      </c>
      <c r="L47" s="245">
        <f t="shared" si="35"/>
        <v>8.73243433046313E-4</v>
      </c>
      <c r="M47" s="245">
        <f t="shared" si="36"/>
        <v>1.4043790209290024E-5</v>
      </c>
      <c r="N47" s="245">
        <f t="shared" si="37"/>
        <v>2.367593724675255E-3</v>
      </c>
      <c r="O47" s="245">
        <f t="shared" si="38"/>
        <v>9.1950255036958497E-5</v>
      </c>
      <c r="P47" s="245">
        <f t="shared" si="39"/>
        <v>4.1587617114427125E-5</v>
      </c>
      <c r="Q47" s="245">
        <f t="shared" si="40"/>
        <v>4.2965367094193038E-4</v>
      </c>
      <c r="R47" s="243">
        <f t="shared" si="28"/>
        <v>0.99999999999999978</v>
      </c>
      <c r="S47" s="250"/>
      <c r="T47" s="244">
        <f t="shared" si="13"/>
        <v>5.2122819348762008E-3</v>
      </c>
      <c r="U47" s="246">
        <f t="shared" si="18"/>
        <v>0.18242986772066702</v>
      </c>
      <c r="V47" s="246">
        <f t="shared" si="19"/>
        <v>7.1642568136158981E-8</v>
      </c>
      <c r="W47" s="246">
        <f t="shared" si="20"/>
        <v>9.7071342711685453E-5</v>
      </c>
      <c r="X47" s="246">
        <f t="shared" si="21"/>
        <v>1.6459095651615571E-5</v>
      </c>
      <c r="Y47" s="246">
        <f t="shared" si="22"/>
        <v>2.9111331980098992E-6</v>
      </c>
      <c r="Z47" s="246">
        <f t="shared" si="14"/>
        <v>0.18254638093479647</v>
      </c>
      <c r="AA47" s="247">
        <f t="shared" si="15"/>
        <v>5.2748460584468929E-2</v>
      </c>
      <c r="AB47" s="122"/>
      <c r="AC47" s="244">
        <f t="shared" si="23"/>
        <v>2.0925247411842134E-2</v>
      </c>
      <c r="AD47" s="245">
        <f t="shared" si="24"/>
        <v>0.25149410871733813</v>
      </c>
      <c r="AE47" s="245">
        <f t="shared" si="25"/>
        <v>1.4610420874971</v>
      </c>
      <c r="AF47" s="245">
        <f t="shared" si="26"/>
        <v>8.8005589095872985E-2</v>
      </c>
      <c r="AG47" s="245">
        <f t="shared" si="27"/>
        <v>2.5663718521312981E-2</v>
      </c>
      <c r="AH47" s="245">
        <f t="shared" si="16"/>
        <v>1.8471307512434663</v>
      </c>
      <c r="AI47" s="247">
        <f t="shared" si="41"/>
        <v>0.53374546856192429</v>
      </c>
    </row>
    <row r="48" spans="1:35">
      <c r="A48" s="122"/>
      <c r="B48" s="241">
        <v>44</v>
      </c>
      <c r="C48" s="248">
        <f>'Other parameters'!$D$23</f>
        <v>5.1936000000000005E-3</v>
      </c>
      <c r="D48" s="242">
        <f>'Other parameters'!$G$23</f>
        <v>35</v>
      </c>
      <c r="E48" s="234">
        <v>0</v>
      </c>
      <c r="F48" s="248">
        <f t="shared" si="30"/>
        <v>1.4387832299092386E-2</v>
      </c>
      <c r="G48" s="248">
        <f t="shared" si="31"/>
        <v>8.0000000000000016E-2</v>
      </c>
      <c r="H48" s="249">
        <f t="shared" si="32"/>
        <v>0.28054293595180391</v>
      </c>
      <c r="I48" s="122"/>
      <c r="J48" s="244">
        <f t="shared" si="33"/>
        <v>0.99618192750897561</v>
      </c>
      <c r="K48" s="245">
        <f t="shared" si="34"/>
        <v>0</v>
      </c>
      <c r="L48" s="245">
        <f t="shared" si="35"/>
        <v>8.6433073842977432E-4</v>
      </c>
      <c r="M48" s="245">
        <f t="shared" si="36"/>
        <v>1.2564080070954062E-5</v>
      </c>
      <c r="N48" s="245">
        <f t="shared" si="37"/>
        <v>2.358949372962423E-3</v>
      </c>
      <c r="O48" s="245">
        <f t="shared" si="38"/>
        <v>9.2095902075276366E-5</v>
      </c>
      <c r="P48" s="245">
        <f t="shared" si="39"/>
        <v>4.175893680190092E-5</v>
      </c>
      <c r="Q48" s="245">
        <f t="shared" si="40"/>
        <v>4.483734606838453E-4</v>
      </c>
      <c r="R48" s="243">
        <f t="shared" si="28"/>
        <v>0.99999999999999978</v>
      </c>
      <c r="S48" s="250"/>
      <c r="T48" s="244">
        <f t="shared" si="13"/>
        <v>5.2123197897419151E-3</v>
      </c>
      <c r="U48" s="246">
        <f t="shared" si="18"/>
        <v>0.18243119264096702</v>
      </c>
      <c r="V48" s="246">
        <f t="shared" si="19"/>
        <v>6.4094019430456076E-8</v>
      </c>
      <c r="W48" s="246">
        <f t="shared" si="20"/>
        <v>9.6716924291459342E-5</v>
      </c>
      <c r="X48" s="246">
        <f t="shared" si="21"/>
        <v>1.6485166471474469E-5</v>
      </c>
      <c r="Y48" s="246">
        <f t="shared" si="22"/>
        <v>2.9231255761330647E-6</v>
      </c>
      <c r="Z48" s="246">
        <f t="shared" si="14"/>
        <v>0.1825473819513255</v>
      </c>
      <c r="AA48" s="247">
        <f t="shared" si="15"/>
        <v>5.1212378482940191E-2</v>
      </c>
      <c r="AB48" s="122"/>
      <c r="AC48" s="244">
        <f t="shared" si="23"/>
        <v>1.8720479305721554E-2</v>
      </c>
      <c r="AD48" s="245">
        <f t="shared" si="24"/>
        <v>0.24892725266777499</v>
      </c>
      <c r="AE48" s="245">
        <f t="shared" si="25"/>
        <v>1.4557076580551114</v>
      </c>
      <c r="AF48" s="245">
        <f t="shared" si="26"/>
        <v>8.8144987876247013E-2</v>
      </c>
      <c r="AG48" s="245">
        <f t="shared" si="27"/>
        <v>2.5769439900453057E-2</v>
      </c>
      <c r="AH48" s="245">
        <f t="shared" si="16"/>
        <v>1.837269817805308</v>
      </c>
      <c r="AI48" s="247">
        <f t="shared" si="41"/>
        <v>0.51543306882273698</v>
      </c>
    </row>
    <row r="49" spans="1:35">
      <c r="A49" s="122"/>
      <c r="B49" s="241">
        <v>45</v>
      </c>
      <c r="C49" s="248">
        <f>'Other parameters'!$D$24</f>
        <v>5.7866000000000003E-3</v>
      </c>
      <c r="D49" s="242">
        <f>'Other parameters'!$G$24</f>
        <v>30.9</v>
      </c>
      <c r="E49" s="234">
        <v>0</v>
      </c>
      <c r="F49" s="248">
        <f t="shared" si="30"/>
        <v>1.3018649028645137E-2</v>
      </c>
      <c r="G49" s="248">
        <f t="shared" si="31"/>
        <v>8.0000000000000016E-2</v>
      </c>
      <c r="H49" s="249">
        <f t="shared" si="32"/>
        <v>0.27237178247747956</v>
      </c>
      <c r="I49" s="122"/>
      <c r="J49" s="244">
        <f t="shared" si="33"/>
        <v>0.99618192750897561</v>
      </c>
      <c r="K49" s="245">
        <f t="shared" si="34"/>
        <v>0</v>
      </c>
      <c r="L49" s="245">
        <f t="shared" si="35"/>
        <v>8.5634498071993548E-4</v>
      </c>
      <c r="M49" s="245">
        <f t="shared" si="36"/>
        <v>1.1252418528286916E-5</v>
      </c>
      <c r="N49" s="245">
        <f t="shared" si="37"/>
        <v>2.349346619208824E-3</v>
      </c>
      <c r="O49" s="245">
        <f t="shared" si="38"/>
        <v>9.2142336942906979E-5</v>
      </c>
      <c r="P49" s="245">
        <f t="shared" si="39"/>
        <v>4.1875663133629525E-5</v>
      </c>
      <c r="Q49" s="245">
        <f t="shared" si="40"/>
        <v>4.6711047249059138E-4</v>
      </c>
      <c r="R49" s="243">
        <f t="shared" si="28"/>
        <v>0.99999999999999978</v>
      </c>
      <c r="S49" s="250"/>
      <c r="T49" s="244">
        <f t="shared" si="13"/>
        <v>5.8053370118067464E-3</v>
      </c>
      <c r="U49" s="246">
        <f t="shared" si="18"/>
        <v>0.17938491366482845</v>
      </c>
      <c r="V49" s="246">
        <f t="shared" si="19"/>
        <v>5.7402748766219837E-8</v>
      </c>
      <c r="W49" s="246">
        <f t="shared" si="20"/>
        <v>9.6323211387561785E-5</v>
      </c>
      <c r="X49" s="246">
        <f t="shared" si="21"/>
        <v>1.649347831278035E-5</v>
      </c>
      <c r="Y49" s="246">
        <f t="shared" si="22"/>
        <v>2.931296419354067E-6</v>
      </c>
      <c r="Z49" s="246">
        <f t="shared" si="14"/>
        <v>0.17950071905369691</v>
      </c>
      <c r="AA49" s="247">
        <f t="shared" si="15"/>
        <v>4.8890930804644704E-2</v>
      </c>
      <c r="AB49" s="122"/>
      <c r="AC49" s="244">
        <f t="shared" si="23"/>
        <v>1.6766103607147503E-2</v>
      </c>
      <c r="AD49" s="245">
        <f t="shared" si="24"/>
        <v>0.24662735444734141</v>
      </c>
      <c r="AE49" s="245">
        <f t="shared" si="25"/>
        <v>1.4497817987137653</v>
      </c>
      <c r="AF49" s="245">
        <f t="shared" si="26"/>
        <v>8.8189430688056278E-2</v>
      </c>
      <c r="AG49" s="245">
        <f t="shared" si="27"/>
        <v>2.5841471719762782E-2</v>
      </c>
      <c r="AH49" s="245">
        <f t="shared" si="16"/>
        <v>1.8272061591760733</v>
      </c>
      <c r="AI49" s="247">
        <f t="shared" si="41"/>
        <v>0.49767939852861631</v>
      </c>
    </row>
    <row r="50" spans="1:35">
      <c r="A50" s="122"/>
      <c r="B50" s="241">
        <v>46</v>
      </c>
      <c r="C50" s="248">
        <f>'Other parameters'!$D$24</f>
        <v>5.7866000000000003E-3</v>
      </c>
      <c r="D50" s="242">
        <f>'Other parameters'!$G$24</f>
        <v>30.9</v>
      </c>
      <c r="E50" s="234">
        <v>0</v>
      </c>
      <c r="F50" s="248">
        <f t="shared" si="30"/>
        <v>1.1779760773395619E-2</v>
      </c>
      <c r="G50" s="248">
        <f t="shared" si="31"/>
        <v>8.0000000000000016E-2</v>
      </c>
      <c r="H50" s="249">
        <f t="shared" si="32"/>
        <v>0.26443862376454325</v>
      </c>
      <c r="I50" s="122"/>
      <c r="J50" s="244">
        <f t="shared" si="33"/>
        <v>0.99618192750897561</v>
      </c>
      <c r="K50" s="245">
        <f t="shared" si="34"/>
        <v>0</v>
      </c>
      <c r="L50" s="245">
        <f t="shared" si="35"/>
        <v>8.4918307052491121E-4</v>
      </c>
      <c r="M50" s="245">
        <f t="shared" si="36"/>
        <v>1.0087539012378924E-5</v>
      </c>
      <c r="N50" s="245">
        <f t="shared" si="37"/>
        <v>2.3389090915283497E-3</v>
      </c>
      <c r="O50" s="245">
        <f t="shared" si="38"/>
        <v>9.2102208776145643E-5</v>
      </c>
      <c r="P50" s="245">
        <f t="shared" si="39"/>
        <v>4.1944032460052147E-5</v>
      </c>
      <c r="Q50" s="245">
        <f t="shared" si="40"/>
        <v>4.8584654872233662E-4</v>
      </c>
      <c r="R50" s="243">
        <f t="shared" si="28"/>
        <v>0.99999999999999967</v>
      </c>
      <c r="S50" s="250"/>
      <c r="T50" s="244">
        <f t="shared" si="13"/>
        <v>5.8053360762317452E-3</v>
      </c>
      <c r="U50" s="246">
        <f t="shared" si="18"/>
        <v>0.17938488475556091</v>
      </c>
      <c r="V50" s="246">
        <f t="shared" si="19"/>
        <v>5.1460267509724815E-8</v>
      </c>
      <c r="W50" s="246">
        <f t="shared" si="20"/>
        <v>9.5895272752662337E-5</v>
      </c>
      <c r="X50" s="246">
        <f t="shared" si="21"/>
        <v>1.6486295370930071E-5</v>
      </c>
      <c r="Y50" s="246">
        <f t="shared" si="22"/>
        <v>2.9360822722036506E-6</v>
      </c>
      <c r="Z50" s="246">
        <f t="shared" si="14"/>
        <v>0.17950025386622423</v>
      </c>
      <c r="AA50" s="247">
        <f t="shared" si="15"/>
        <v>4.7466800097770469E-2</v>
      </c>
      <c r="AB50" s="122"/>
      <c r="AC50" s="244">
        <f t="shared" si="23"/>
        <v>1.5030433128444596E-2</v>
      </c>
      <c r="AD50" s="245">
        <f t="shared" si="24"/>
        <v>0.24456472431117443</v>
      </c>
      <c r="AE50" s="245">
        <f t="shared" si="25"/>
        <v>1.4433408003821446</v>
      </c>
      <c r="AF50" s="245">
        <f t="shared" si="26"/>
        <v>8.8151024019648999E-2</v>
      </c>
      <c r="AG50" s="245">
        <f t="shared" si="27"/>
        <v>2.588366243109818E-2</v>
      </c>
      <c r="AH50" s="245">
        <f t="shared" si="16"/>
        <v>1.8169706442725109</v>
      </c>
      <c r="AI50" s="247">
        <f t="shared" si="41"/>
        <v>0.48047721659199827</v>
      </c>
    </row>
    <row r="51" spans="1:35">
      <c r="A51" s="122"/>
      <c r="B51" s="241">
        <v>47</v>
      </c>
      <c r="C51" s="248">
        <f>'Other parameters'!$D$24</f>
        <v>5.7866000000000003E-3</v>
      </c>
      <c r="D51" s="242">
        <f>'Other parameters'!$G$24</f>
        <v>30.9</v>
      </c>
      <c r="E51" s="234">
        <v>0</v>
      </c>
      <c r="F51" s="248">
        <f t="shared" si="30"/>
        <v>1.0658768323280568E-2</v>
      </c>
      <c r="G51" s="248">
        <f t="shared" si="31"/>
        <v>8.0000000000000016E-2</v>
      </c>
      <c r="H51" s="249">
        <f t="shared" si="32"/>
        <v>0.25673652792674101</v>
      </c>
      <c r="I51" s="122"/>
      <c r="J51" s="244">
        <f t="shared" si="33"/>
        <v>0.99618192750897561</v>
      </c>
      <c r="K51" s="245">
        <f t="shared" si="34"/>
        <v>0</v>
      </c>
      <c r="L51" s="245">
        <f t="shared" si="35"/>
        <v>8.4275458505535261E-4</v>
      </c>
      <c r="M51" s="245">
        <f t="shared" si="36"/>
        <v>9.0512456127770516E-6</v>
      </c>
      <c r="N51" s="245">
        <f t="shared" si="37"/>
        <v>2.3277447545568624E-3</v>
      </c>
      <c r="O51" s="245">
        <f t="shared" si="38"/>
        <v>9.1986565519491082E-5</v>
      </c>
      <c r="P51" s="245">
        <f t="shared" si="39"/>
        <v>4.1969611259259494E-5</v>
      </c>
      <c r="Q51" s="245">
        <f t="shared" si="40"/>
        <v>5.0456572902043116E-4</v>
      </c>
      <c r="R51" s="243">
        <f t="shared" si="28"/>
        <v>0.99999999999999978</v>
      </c>
      <c r="S51" s="250"/>
      <c r="T51" s="244">
        <f t="shared" si="13"/>
        <v>5.8053191802980948E-3</v>
      </c>
      <c r="U51" s="246">
        <f t="shared" si="18"/>
        <v>0.17938436267121113</v>
      </c>
      <c r="V51" s="246">
        <f t="shared" si="19"/>
        <v>4.6173751591755816E-8</v>
      </c>
      <c r="W51" s="246">
        <f t="shared" si="20"/>
        <v>9.5437534936831364E-5</v>
      </c>
      <c r="X51" s="246">
        <f t="shared" si="21"/>
        <v>1.6465595227988903E-5</v>
      </c>
      <c r="Y51" s="246">
        <f t="shared" si="22"/>
        <v>2.9378727881481649E-6</v>
      </c>
      <c r="Z51" s="246">
        <f t="shared" si="14"/>
        <v>0.17949924984791571</v>
      </c>
      <c r="AA51" s="247">
        <f t="shared" si="15"/>
        <v>4.608401417140847E-2</v>
      </c>
      <c r="AB51" s="122"/>
      <c r="AC51" s="244">
        <f t="shared" si="23"/>
        <v>1.3486355963037808E-2</v>
      </c>
      <c r="AD51" s="245">
        <f t="shared" si="24"/>
        <v>0.24271332049594155</v>
      </c>
      <c r="AE51" s="245">
        <f t="shared" si="25"/>
        <v>1.4364512880370399</v>
      </c>
      <c r="AF51" s="245">
        <f t="shared" si="26"/>
        <v>8.8040341858704921E-2</v>
      </c>
      <c r="AG51" s="245">
        <f t="shared" si="27"/>
        <v>2.5899447108089033E-2</v>
      </c>
      <c r="AH51" s="245">
        <f t="shared" si="16"/>
        <v>1.8065907534628134</v>
      </c>
      <c r="AI51" s="247">
        <f t="shared" si="41"/>
        <v>0.46381783742859767</v>
      </c>
    </row>
    <row r="52" spans="1:35">
      <c r="A52" s="122"/>
      <c r="B52" s="241">
        <v>48</v>
      </c>
      <c r="C52" s="248">
        <f>'Other parameters'!$D$24</f>
        <v>5.7866000000000003E-3</v>
      </c>
      <c r="D52" s="242">
        <f>'Other parameters'!$G$24</f>
        <v>30.9</v>
      </c>
      <c r="E52" s="234">
        <v>0</v>
      </c>
      <c r="F52" s="248">
        <f t="shared" si="30"/>
        <v>9.644452409080663E-3</v>
      </c>
      <c r="G52" s="248">
        <f t="shared" si="31"/>
        <v>8.0000000000000016E-2</v>
      </c>
      <c r="H52" s="249">
        <f t="shared" si="32"/>
        <v>0.24925876497741845</v>
      </c>
      <c r="I52" s="122"/>
      <c r="J52" s="244">
        <f t="shared" si="33"/>
        <v>0.99618192750897561</v>
      </c>
      <c r="K52" s="245">
        <f t="shared" si="34"/>
        <v>0</v>
      </c>
      <c r="L52" s="245">
        <f t="shared" si="35"/>
        <v>8.3698000242657378E-4</v>
      </c>
      <c r="M52" s="245">
        <f t="shared" si="36"/>
        <v>8.1279064881008693E-6</v>
      </c>
      <c r="N52" s="245">
        <f t="shared" si="37"/>
        <v>2.3159481649815202E-3</v>
      </c>
      <c r="O52" s="245">
        <f t="shared" si="38"/>
        <v>9.1805056500259528E-5</v>
      </c>
      <c r="P52" s="245">
        <f t="shared" si="39"/>
        <v>4.1957360924800414E-5</v>
      </c>
      <c r="Q52" s="245">
        <f t="shared" si="40"/>
        <v>5.232539997029194E-4</v>
      </c>
      <c r="R52" s="243">
        <f t="shared" si="28"/>
        <v>0.99999999999999978</v>
      </c>
      <c r="S52" s="250"/>
      <c r="T52" s="244">
        <f t="shared" si="13"/>
        <v>5.8052882706824882E-3</v>
      </c>
      <c r="U52" s="246">
        <f t="shared" si="18"/>
        <v>0.17938340756408888</v>
      </c>
      <c r="V52" s="246">
        <f t="shared" si="19"/>
        <v>4.1463457207791286E-8</v>
      </c>
      <c r="W52" s="246">
        <f t="shared" si="20"/>
        <v>9.4953874764242335E-5</v>
      </c>
      <c r="X52" s="246">
        <f t="shared" si="21"/>
        <v>1.6433105113546454E-5</v>
      </c>
      <c r="Y52" s="246">
        <f t="shared" si="22"/>
        <v>2.9370152647360292E-6</v>
      </c>
      <c r="Z52" s="246">
        <f t="shared" si="14"/>
        <v>0.1794977730226886</v>
      </c>
      <c r="AA52" s="247">
        <f t="shared" si="15"/>
        <v>4.4741393219832337E-2</v>
      </c>
      <c r="AB52" s="122"/>
      <c r="AC52" s="244">
        <f t="shared" si="23"/>
        <v>1.2110580667270296E-2</v>
      </c>
      <c r="AD52" s="245">
        <f t="shared" si="24"/>
        <v>0.24105024069885325</v>
      </c>
      <c r="AE52" s="245">
        <f t="shared" si="25"/>
        <v>1.4291716126100962</v>
      </c>
      <c r="AF52" s="245">
        <f t="shared" si="26"/>
        <v>8.7866619576398394E-2</v>
      </c>
      <c r="AG52" s="245">
        <f t="shared" si="27"/>
        <v>2.5891887426694335E-2</v>
      </c>
      <c r="AH52" s="245">
        <f t="shared" si="16"/>
        <v>1.7960909409793124</v>
      </c>
      <c r="AI52" s="247">
        <f t="shared" si="41"/>
        <v>0.44769140973563276</v>
      </c>
    </row>
    <row r="53" spans="1:35">
      <c r="A53" s="122"/>
      <c r="B53" s="241">
        <v>49</v>
      </c>
      <c r="C53" s="248">
        <f>'Other parameters'!$D$24</f>
        <v>5.7866000000000003E-3</v>
      </c>
      <c r="D53" s="242">
        <f>'Other parameters'!$G$24</f>
        <v>30.9</v>
      </c>
      <c r="E53" s="234">
        <v>0</v>
      </c>
      <c r="F53" s="248">
        <f t="shared" si="30"/>
        <v>8.7266614162032404E-3</v>
      </c>
      <c r="G53" s="248">
        <f t="shared" si="31"/>
        <v>8.0000000000000016E-2</v>
      </c>
      <c r="H53" s="249">
        <f t="shared" si="32"/>
        <v>0.24199880094894996</v>
      </c>
      <c r="I53" s="122"/>
      <c r="J53" s="244">
        <f t="shared" si="33"/>
        <v>0.99618192750897561</v>
      </c>
      <c r="K53" s="245">
        <f t="shared" si="34"/>
        <v>0</v>
      </c>
      <c r="L53" s="245">
        <f t="shared" si="35"/>
        <v>8.3178921702017027E-4</v>
      </c>
      <c r="M53" s="245">
        <f t="shared" si="36"/>
        <v>7.3040410933096758E-6</v>
      </c>
      <c r="N53" s="245">
        <f t="shared" si="37"/>
        <v>2.3036023536557545E-3</v>
      </c>
      <c r="O53" s="245">
        <f t="shared" si="38"/>
        <v>9.1566111571747972E-5</v>
      </c>
      <c r="P53" s="245">
        <f t="shared" si="39"/>
        <v>4.1911698513536311E-5</v>
      </c>
      <c r="Q53" s="245">
        <f t="shared" si="40"/>
        <v>5.4189906916965555E-4</v>
      </c>
      <c r="R53" s="243">
        <f t="shared" si="28"/>
        <v>0.99999999999999989</v>
      </c>
      <c r="S53" s="250"/>
      <c r="T53" s="244">
        <f t="shared" si="13"/>
        <v>5.8052450694667367E-3</v>
      </c>
      <c r="U53" s="246">
        <f t="shared" si="18"/>
        <v>0.17938207264652214</v>
      </c>
      <c r="V53" s="246">
        <f t="shared" si="19"/>
        <v>3.7260615111623608E-8</v>
      </c>
      <c r="W53" s="246">
        <f t="shared" si="20"/>
        <v>9.4447696499885936E-5</v>
      </c>
      <c r="X53" s="246">
        <f t="shared" si="21"/>
        <v>1.6390333971342888E-5</v>
      </c>
      <c r="Y53" s="246">
        <f t="shared" si="22"/>
        <v>2.9338188959475421E-6</v>
      </c>
      <c r="Z53" s="246">
        <f t="shared" si="14"/>
        <v>0.17949588175650444</v>
      </c>
      <c r="AA53" s="247">
        <f t="shared" si="15"/>
        <v>4.3437788160348573E-2</v>
      </c>
      <c r="AB53" s="122"/>
      <c r="AC53" s="244">
        <f t="shared" si="23"/>
        <v>1.0883021229031417E-2</v>
      </c>
      <c r="AD53" s="245">
        <f t="shared" si="24"/>
        <v>0.23955529450180904</v>
      </c>
      <c r="AE53" s="245">
        <f t="shared" si="25"/>
        <v>1.4215530124409661</v>
      </c>
      <c r="AF53" s="245">
        <f t="shared" si="26"/>
        <v>8.763792538531999E-2</v>
      </c>
      <c r="AG53" s="245">
        <f t="shared" si="27"/>
        <v>2.5863709152703258E-2</v>
      </c>
      <c r="AH53" s="245">
        <f t="shared" si="16"/>
        <v>1.7854929627098297</v>
      </c>
      <c r="AI53" s="247">
        <f t="shared" si="41"/>
        <v>0.43208715607856701</v>
      </c>
    </row>
    <row r="54" spans="1:35">
      <c r="A54" s="122"/>
      <c r="B54" s="241">
        <v>50</v>
      </c>
      <c r="C54" s="248">
        <f>'Other parameters'!$D$25</f>
        <v>7.5960000000000003E-3</v>
      </c>
      <c r="D54" s="242">
        <f>'Other parameters'!$G$25</f>
        <v>26.7</v>
      </c>
      <c r="E54" s="234">
        <v>0</v>
      </c>
      <c r="F54" s="248">
        <f t="shared" si="30"/>
        <v>7.8962097839113694E-3</v>
      </c>
      <c r="G54" s="248">
        <f t="shared" si="31"/>
        <v>8.0000000000000016E-2</v>
      </c>
      <c r="H54" s="249">
        <f t="shared" si="32"/>
        <v>0.2349502921834466</v>
      </c>
      <c r="I54" s="122"/>
      <c r="J54" s="244">
        <f t="shared" si="33"/>
        <v>0.99618192750897561</v>
      </c>
      <c r="K54" s="245">
        <f t="shared" si="34"/>
        <v>0</v>
      </c>
      <c r="L54" s="245">
        <f t="shared" si="35"/>
        <v>8.2712028555084413E-4</v>
      </c>
      <c r="M54" s="245">
        <f t="shared" si="36"/>
        <v>6.5679821535866461E-6</v>
      </c>
      <c r="N54" s="245">
        <f t="shared" si="37"/>
        <v>2.2907804040917246E-3</v>
      </c>
      <c r="O54" s="245">
        <f t="shared" si="38"/>
        <v>9.1277098632452046E-5</v>
      </c>
      <c r="P54" s="245">
        <f t="shared" si="39"/>
        <v>4.1836553005816145E-5</v>
      </c>
      <c r="Q54" s="245">
        <f t="shared" si="40"/>
        <v>5.6049016758975086E-4</v>
      </c>
      <c r="R54" s="243">
        <f t="shared" si="28"/>
        <v>0.99999999999999978</v>
      </c>
      <c r="S54" s="250"/>
      <c r="T54" s="244">
        <f t="shared" si="13"/>
        <v>7.6145910984200954E-3</v>
      </c>
      <c r="U54" s="246">
        <f t="shared" si="18"/>
        <v>0.20330958232781654</v>
      </c>
      <c r="V54" s="246">
        <f t="shared" si="19"/>
        <v>3.3505706219118729E-8</v>
      </c>
      <c r="W54" s="246">
        <f t="shared" si="20"/>
        <v>9.3921996567760711E-5</v>
      </c>
      <c r="X54" s="246">
        <f t="shared" si="21"/>
        <v>1.6338600655208916E-5</v>
      </c>
      <c r="Y54" s="246">
        <f t="shared" si="22"/>
        <v>2.9285587104071303E-6</v>
      </c>
      <c r="Z54" s="246">
        <f t="shared" si="14"/>
        <v>0.20342280498945611</v>
      </c>
      <c r="AA54" s="247">
        <f t="shared" si="15"/>
        <v>4.7794247469048992E-2</v>
      </c>
      <c r="AB54" s="122"/>
      <c r="AC54" s="244">
        <f t="shared" si="23"/>
        <v>9.7862934088441024E-3</v>
      </c>
      <c r="AD54" s="245">
        <f t="shared" si="24"/>
        <v>0.23821064223864311</v>
      </c>
      <c r="AE54" s="245">
        <f t="shared" si="25"/>
        <v>1.4136405873650033</v>
      </c>
      <c r="AF54" s="245">
        <f t="shared" si="26"/>
        <v>8.736131110111986E-2</v>
      </c>
      <c r="AG54" s="245">
        <f t="shared" si="27"/>
        <v>2.5817336859889142E-2</v>
      </c>
      <c r="AH54" s="245">
        <f t="shared" si="16"/>
        <v>1.7748161709734993</v>
      </c>
      <c r="AI54" s="247">
        <f t="shared" si="41"/>
        <v>0.41699357794212955</v>
      </c>
    </row>
    <row r="55" spans="1:35">
      <c r="A55" s="122"/>
      <c r="B55" s="241">
        <v>51</v>
      </c>
      <c r="C55" s="248">
        <f>'Other parameters'!$D$25</f>
        <v>7.5960000000000003E-3</v>
      </c>
      <c r="D55" s="242">
        <f>'Other parameters'!$G$25</f>
        <v>26.7</v>
      </c>
      <c r="E55" s="234">
        <v>0</v>
      </c>
      <c r="F55" s="248">
        <f t="shared" si="30"/>
        <v>7.144786073144645E-3</v>
      </c>
      <c r="G55" s="248">
        <f t="shared" si="31"/>
        <v>8.0000000000000016E-2</v>
      </c>
      <c r="H55" s="249">
        <f t="shared" si="32"/>
        <v>0.22810707978975397</v>
      </c>
      <c r="I55" s="122"/>
      <c r="J55" s="244">
        <f t="shared" si="33"/>
        <v>0.99618192750897561</v>
      </c>
      <c r="K55" s="245">
        <f t="shared" si="34"/>
        <v>0</v>
      </c>
      <c r="L55" s="245">
        <f t="shared" si="35"/>
        <v>8.2291836341375759E-4</v>
      </c>
      <c r="M55" s="245">
        <f t="shared" si="36"/>
        <v>5.9095974970190928E-6</v>
      </c>
      <c r="N55" s="245">
        <f t="shared" si="37"/>
        <v>2.277546782766501E-3</v>
      </c>
      <c r="O55" s="245">
        <f t="shared" si="38"/>
        <v>9.0944461518252436E-5</v>
      </c>
      <c r="P55" s="245">
        <f t="shared" si="39"/>
        <v>4.1735416914793934E-5</v>
      </c>
      <c r="Q55" s="245">
        <f t="shared" si="40"/>
        <v>5.7901786891385041E-4</v>
      </c>
      <c r="R55" s="243">
        <f t="shared" si="28"/>
        <v>0.99999999999999978</v>
      </c>
      <c r="S55" s="250"/>
      <c r="T55" s="244">
        <f t="shared" si="13"/>
        <v>7.6145277013240998E-3</v>
      </c>
      <c r="U55" s="246">
        <f t="shared" si="18"/>
        <v>0.20330788962535346</v>
      </c>
      <c r="V55" s="246">
        <f t="shared" si="19"/>
        <v>3.0147042573834387E-8</v>
      </c>
      <c r="W55" s="246">
        <f t="shared" si="20"/>
        <v>9.337941809342654E-5</v>
      </c>
      <c r="X55" s="246">
        <f t="shared" si="21"/>
        <v>1.6279058611767184E-5</v>
      </c>
      <c r="Y55" s="246">
        <f t="shared" si="22"/>
        <v>2.9214791840355756E-6</v>
      </c>
      <c r="Z55" s="246">
        <f t="shared" si="14"/>
        <v>0.20342049972828527</v>
      </c>
      <c r="AA55" s="247">
        <f t="shared" si="15"/>
        <v>4.6401656162391593E-2</v>
      </c>
      <c r="AB55" s="122"/>
      <c r="AC55" s="244">
        <f t="shared" si="23"/>
        <v>8.8053002705584475E-3</v>
      </c>
      <c r="AD55" s="245">
        <f t="shared" si="24"/>
        <v>0.2370004886631622</v>
      </c>
      <c r="AE55" s="245">
        <f t="shared" si="25"/>
        <v>1.4054741196452079</v>
      </c>
      <c r="AF55" s="245">
        <f t="shared" si="26"/>
        <v>8.7042944119119406E-2</v>
      </c>
      <c r="AG55" s="245">
        <f t="shared" si="27"/>
        <v>2.5754925778119338E-2</v>
      </c>
      <c r="AH55" s="245">
        <f t="shared" si="16"/>
        <v>1.7640777784761672</v>
      </c>
      <c r="AI55" s="247">
        <f t="shared" si="41"/>
        <v>0.40239863057019498</v>
      </c>
    </row>
    <row r="56" spans="1:35">
      <c r="A56" s="122"/>
      <c r="B56" s="241">
        <v>52</v>
      </c>
      <c r="C56" s="248">
        <f>'Other parameters'!$D$25</f>
        <v>7.5960000000000003E-3</v>
      </c>
      <c r="D56" s="242">
        <f>'Other parameters'!$G$25</f>
        <v>26.7</v>
      </c>
      <c r="E56" s="234">
        <v>0</v>
      </c>
      <c r="F56" s="248">
        <f t="shared" si="30"/>
        <v>6.4648697828434826E-3</v>
      </c>
      <c r="G56" s="248">
        <f t="shared" si="31"/>
        <v>8.0000000000000016E-2</v>
      </c>
      <c r="H56" s="249">
        <f t="shared" si="32"/>
        <v>0.22146318426189707</v>
      </c>
      <c r="I56" s="122"/>
      <c r="J56" s="244">
        <f t="shared" si="33"/>
        <v>0.99618192750897561</v>
      </c>
      <c r="K56" s="245">
        <f t="shared" si="34"/>
        <v>0</v>
      </c>
      <c r="L56" s="245">
        <f t="shared" si="35"/>
        <v>8.1913479870160193E-4</v>
      </c>
      <c r="M56" s="245">
        <f t="shared" si="36"/>
        <v>5.3200600613806134E-6</v>
      </c>
      <c r="N56" s="245">
        <f t="shared" si="37"/>
        <v>2.2639584655073717E-3</v>
      </c>
      <c r="O56" s="245">
        <f t="shared" si="38"/>
        <v>9.0573840299887305E-5</v>
      </c>
      <c r="P56" s="245">
        <f t="shared" si="39"/>
        <v>4.1611393275589935E-5</v>
      </c>
      <c r="Q56" s="245">
        <f t="shared" si="40"/>
        <v>5.9747393317834293E-4</v>
      </c>
      <c r="R56" s="243">
        <f t="shared" si="28"/>
        <v>0.99999999999999978</v>
      </c>
      <c r="S56" s="250"/>
      <c r="T56" s="244">
        <f t="shared" si="13"/>
        <v>7.6144560642644925E-3</v>
      </c>
      <c r="U56" s="246">
        <f t="shared" si="18"/>
        <v>0.20330597691586194</v>
      </c>
      <c r="V56" s="246">
        <f t="shared" si="19"/>
        <v>2.7139594066549873E-8</v>
      </c>
      <c r="W56" s="246">
        <f t="shared" si="20"/>
        <v>9.2822297085802248E-5</v>
      </c>
      <c r="X56" s="246">
        <f t="shared" si="21"/>
        <v>1.6212717413679827E-5</v>
      </c>
      <c r="Y56" s="246">
        <f t="shared" si="22"/>
        <v>2.9127975292912956E-6</v>
      </c>
      <c r="Z56" s="246">
        <f t="shared" si="14"/>
        <v>0.20341795186748476</v>
      </c>
      <c r="AA56" s="247">
        <f t="shared" si="15"/>
        <v>4.5049587356606489E-2</v>
      </c>
      <c r="AB56" s="122"/>
      <c r="AC56" s="244">
        <f t="shared" si="23"/>
        <v>7.9268894914571141E-3</v>
      </c>
      <c r="AD56" s="245">
        <f t="shared" si="24"/>
        <v>0.23591082202606137</v>
      </c>
      <c r="AE56" s="245">
        <f t="shared" si="25"/>
        <v>1.3970887690645992</v>
      </c>
      <c r="AF56" s="245">
        <f t="shared" si="26"/>
        <v>8.668822255102214E-2</v>
      </c>
      <c r="AG56" s="245">
        <f t="shared" si="27"/>
        <v>2.5678390790366549E-2</v>
      </c>
      <c r="AH56" s="245">
        <f t="shared" si="16"/>
        <v>1.7532930939235065</v>
      </c>
      <c r="AI56" s="247">
        <f t="shared" si="41"/>
        <v>0.38828987152469313</v>
      </c>
    </row>
    <row r="57" spans="1:35">
      <c r="A57" s="122"/>
      <c r="B57" s="241">
        <v>53</v>
      </c>
      <c r="C57" s="248">
        <f>'Other parameters'!$D$25</f>
        <v>7.5960000000000003E-3</v>
      </c>
      <c r="D57" s="242">
        <f>'Other parameters'!$G$25</f>
        <v>26.7</v>
      </c>
      <c r="E57" s="234">
        <v>0</v>
      </c>
      <c r="F57" s="248">
        <f t="shared" si="30"/>
        <v>5.8496560822467909E-3</v>
      </c>
      <c r="G57" s="248">
        <f t="shared" si="31"/>
        <v>8.0000000000000016E-2</v>
      </c>
      <c r="H57" s="249">
        <f t="shared" si="32"/>
        <v>0.215012800254269</v>
      </c>
      <c r="I57" s="122"/>
      <c r="J57" s="244">
        <f t="shared" si="33"/>
        <v>0.99618192750897561</v>
      </c>
      <c r="K57" s="245">
        <f t="shared" si="34"/>
        <v>0</v>
      </c>
      <c r="L57" s="245">
        <f t="shared" si="35"/>
        <v>8.1572635746015611E-4</v>
      </c>
      <c r="M57" s="245">
        <f t="shared" si="36"/>
        <v>4.7916568574048266E-6</v>
      </c>
      <c r="N57" s="245">
        <f t="shared" si="37"/>
        <v>2.2500658954830639E-3</v>
      </c>
      <c r="O57" s="245">
        <f t="shared" si="38"/>
        <v>9.0170175956548511E-5</v>
      </c>
      <c r="P57" s="245">
        <f t="shared" si="39"/>
        <v>4.146723817292168E-5</v>
      </c>
      <c r="Q57" s="245">
        <f t="shared" si="40"/>
        <v>6.1585116709407994E-4</v>
      </c>
      <c r="R57" s="243">
        <f t="shared" si="28"/>
        <v>0.99999999999999978</v>
      </c>
      <c r="S57" s="250"/>
      <c r="T57" s="244">
        <f t="shared" si="13"/>
        <v>7.6143772339157378E-3</v>
      </c>
      <c r="U57" s="246">
        <f t="shared" si="18"/>
        <v>0.20330387214555018</v>
      </c>
      <c r="V57" s="246">
        <f t="shared" si="19"/>
        <v>2.4444013886267912E-8</v>
      </c>
      <c r="W57" s="246">
        <f t="shared" si="20"/>
        <v>9.2252701714805617E-5</v>
      </c>
      <c r="X57" s="246">
        <f t="shared" si="21"/>
        <v>1.6140461496222183E-5</v>
      </c>
      <c r="Y57" s="246">
        <f t="shared" si="22"/>
        <v>2.9027066721045178E-6</v>
      </c>
      <c r="Z57" s="246">
        <f t="shared" si="14"/>
        <v>0.20341519245944722</v>
      </c>
      <c r="AA57" s="247">
        <f t="shared" si="15"/>
        <v>4.3736870144966813E-2</v>
      </c>
      <c r="AB57" s="122"/>
      <c r="AC57" s="244">
        <f t="shared" si="23"/>
        <v>7.1395687175331915E-3</v>
      </c>
      <c r="AD57" s="245">
        <f t="shared" si="24"/>
        <v>0.23492919094852496</v>
      </c>
      <c r="AE57" s="245">
        <f t="shared" si="25"/>
        <v>1.3885156641025989</v>
      </c>
      <c r="AF57" s="245">
        <f t="shared" si="26"/>
        <v>8.6301875408012582E-2</v>
      </c>
      <c r="AG57" s="245">
        <f t="shared" si="27"/>
        <v>2.5589432676509968E-2</v>
      </c>
      <c r="AH57" s="245">
        <f t="shared" si="16"/>
        <v>1.7424757318531796</v>
      </c>
      <c r="AI57" s="247">
        <f t="shared" si="41"/>
        <v>0.37465458648085892</v>
      </c>
    </row>
    <row r="58" spans="1:35">
      <c r="A58" s="122"/>
      <c r="B58" s="241">
        <v>54</v>
      </c>
      <c r="C58" s="248">
        <f>'Other parameters'!$D$25</f>
        <v>7.5960000000000003E-3</v>
      </c>
      <c r="D58" s="242">
        <f>'Other parameters'!$G$25</f>
        <v>26.7</v>
      </c>
      <c r="E58" s="234">
        <v>0</v>
      </c>
      <c r="F58" s="248">
        <f t="shared" si="30"/>
        <v>5.2929877058585347E-3</v>
      </c>
      <c r="G58" s="248">
        <f t="shared" si="31"/>
        <v>8.0000000000000016E-2</v>
      </c>
      <c r="H58" s="249">
        <f t="shared" si="32"/>
        <v>0.20875029150899907</v>
      </c>
      <c r="I58" s="122"/>
      <c r="J58" s="244">
        <f t="shared" si="33"/>
        <v>0.99618192750897561</v>
      </c>
      <c r="K58" s="245">
        <f t="shared" si="34"/>
        <v>0</v>
      </c>
      <c r="L58" s="245">
        <f t="shared" si="35"/>
        <v>8.1265455866170002E-4</v>
      </c>
      <c r="M58" s="245">
        <f t="shared" si="36"/>
        <v>4.3176295813813711E-6</v>
      </c>
      <c r="N58" s="245">
        <f t="shared" si="37"/>
        <v>2.2359138014568397E-3</v>
      </c>
      <c r="O58" s="245">
        <f t="shared" si="38"/>
        <v>8.9737801277453349E-5</v>
      </c>
      <c r="P58" s="245">
        <f t="shared" si="39"/>
        <v>4.1305399046125725E-5</v>
      </c>
      <c r="Q58" s="245">
        <f t="shared" si="40"/>
        <v>6.3414330100067457E-4</v>
      </c>
      <c r="R58" s="243">
        <f t="shared" si="28"/>
        <v>0.99999999999999978</v>
      </c>
      <c r="S58" s="250"/>
      <c r="T58" s="244">
        <f t="shared" si="13"/>
        <v>7.6142921339065949E-3</v>
      </c>
      <c r="U58" s="246">
        <f t="shared" si="18"/>
        <v>0.20330159997530609</v>
      </c>
      <c r="V58" s="246">
        <f t="shared" si="19"/>
        <v>2.2025825426115381E-8</v>
      </c>
      <c r="W58" s="246">
        <f t="shared" si="20"/>
        <v>9.167246585973043E-5</v>
      </c>
      <c r="X58" s="246">
        <f t="shared" si="21"/>
        <v>1.6063066428664149E-5</v>
      </c>
      <c r="Y58" s="246">
        <f t="shared" si="22"/>
        <v>2.8913779332288008E-6</v>
      </c>
      <c r="Z58" s="246">
        <f t="shared" si="14"/>
        <v>0.20341224891135309</v>
      </c>
      <c r="AA58" s="247">
        <f t="shared" si="15"/>
        <v>4.2462366256746036E-2</v>
      </c>
      <c r="AB58" s="122"/>
      <c r="AC58" s="244">
        <f t="shared" si="23"/>
        <v>6.4332680762582426E-3</v>
      </c>
      <c r="AD58" s="245">
        <f t="shared" si="24"/>
        <v>0.2340445128945696</v>
      </c>
      <c r="AE58" s="245">
        <f t="shared" si="25"/>
        <v>1.3797824068790159</v>
      </c>
      <c r="AF58" s="245">
        <f t="shared" si="26"/>
        <v>8.5888049602650604E-2</v>
      </c>
      <c r="AG58" s="245">
        <f t="shared" si="27"/>
        <v>2.5489561751364187E-2</v>
      </c>
      <c r="AH58" s="245">
        <f t="shared" si="16"/>
        <v>1.7316377992038585</v>
      </c>
      <c r="AI58" s="247">
        <f t="shared" si="41"/>
        <v>0.36147989537180708</v>
      </c>
    </row>
    <row r="59" spans="1:35">
      <c r="A59" s="122"/>
      <c r="B59" s="241">
        <v>55</v>
      </c>
      <c r="C59" s="248">
        <f>'Other parameters'!$D$26</f>
        <v>9.7777999999999997E-3</v>
      </c>
      <c r="D59" s="242">
        <f>'Other parameters'!$G$26</f>
        <v>22.7</v>
      </c>
      <c r="E59" s="234">
        <v>0</v>
      </c>
      <c r="F59" s="248">
        <f t="shared" si="30"/>
        <v>4.7892933294651132E-3</v>
      </c>
      <c r="G59" s="248">
        <f t="shared" si="31"/>
        <v>8.0000000000000016E-2</v>
      </c>
      <c r="H59" s="249">
        <f t="shared" si="32"/>
        <v>0.20267018593106703</v>
      </c>
      <c r="I59" s="122"/>
      <c r="J59" s="244">
        <f t="shared" si="33"/>
        <v>0.99618192750897561</v>
      </c>
      <c r="K59" s="245">
        <f t="shared" si="34"/>
        <v>0</v>
      </c>
      <c r="L59" s="245">
        <f t="shared" si="35"/>
        <v>8.0988510129590134E-4</v>
      </c>
      <c r="M59" s="245">
        <f t="shared" si="36"/>
        <v>3.8920410569578952E-6</v>
      </c>
      <c r="N59" s="245">
        <f t="shared" si="37"/>
        <v>2.2215418995283807E-3</v>
      </c>
      <c r="O59" s="245">
        <f t="shared" si="38"/>
        <v>8.9280519693523295E-5</v>
      </c>
      <c r="P59" s="245">
        <f t="shared" si="39"/>
        <v>4.1128049056724696E-5</v>
      </c>
      <c r="Q59" s="245">
        <f t="shared" si="40"/>
        <v>6.5234488039268683E-4</v>
      </c>
      <c r="R59" s="243">
        <f t="shared" si="28"/>
        <v>0.99999999999999978</v>
      </c>
      <c r="S59" s="250"/>
      <c r="T59" s="244">
        <f t="shared" si="13"/>
        <v>9.7960015793920122E-3</v>
      </c>
      <c r="U59" s="246">
        <f t="shared" si="18"/>
        <v>0.22236923585219867</v>
      </c>
      <c r="V59" s="246">
        <f t="shared" si="19"/>
        <v>1.9854740953576991E-8</v>
      </c>
      <c r="W59" s="246">
        <f t="shared" si="20"/>
        <v>9.1083217880663607E-5</v>
      </c>
      <c r="X59" s="246">
        <f t="shared" si="21"/>
        <v>1.5981213025140671E-5</v>
      </c>
      <c r="Y59" s="246">
        <f t="shared" si="22"/>
        <v>2.8789634339707291E-6</v>
      </c>
      <c r="Z59" s="246">
        <f t="shared" si="14"/>
        <v>0.22247919910127942</v>
      </c>
      <c r="AA59" s="247">
        <f t="shared" si="15"/>
        <v>4.5089900647651178E-2</v>
      </c>
      <c r="AB59" s="122"/>
      <c r="AC59" s="244">
        <f t="shared" si="23"/>
        <v>5.7991411748672637E-3</v>
      </c>
      <c r="AD59" s="245">
        <f t="shared" si="24"/>
        <v>0.23324690917321958</v>
      </c>
      <c r="AE59" s="245">
        <f t="shared" si="25"/>
        <v>1.3709135061989637</v>
      </c>
      <c r="AF59" s="245">
        <f t="shared" si="26"/>
        <v>8.5450385398671141E-2</v>
      </c>
      <c r="AG59" s="245">
        <f t="shared" si="27"/>
        <v>2.538011907290481E-2</v>
      </c>
      <c r="AH59" s="245">
        <f t="shared" si="16"/>
        <v>1.7207900610186266</v>
      </c>
      <c r="AI59" s="247">
        <f t="shared" si="41"/>
        <v>0.34875284161497722</v>
      </c>
    </row>
    <row r="60" spans="1:35">
      <c r="A60" s="122"/>
      <c r="B60" s="241">
        <v>56</v>
      </c>
      <c r="C60" s="248">
        <f>'Other parameters'!$D$26</f>
        <v>9.7777999999999997E-3</v>
      </c>
      <c r="D60" s="242">
        <f>'Other parameters'!$G$26</f>
        <v>22.7</v>
      </c>
      <c r="E60" s="234">
        <v>0</v>
      </c>
      <c r="F60" s="248">
        <f t="shared" si="30"/>
        <v>4.3335318104500576E-3</v>
      </c>
      <c r="G60" s="248">
        <f t="shared" si="31"/>
        <v>8.0000000000000016E-2</v>
      </c>
      <c r="H60" s="249">
        <f t="shared" si="32"/>
        <v>0.19676717080686118</v>
      </c>
      <c r="I60" s="122"/>
      <c r="J60" s="244">
        <f t="shared" si="33"/>
        <v>0.99618192750897561</v>
      </c>
      <c r="K60" s="245">
        <f t="shared" si="34"/>
        <v>0</v>
      </c>
      <c r="L60" s="245">
        <f t="shared" si="35"/>
        <v>8.0738736912143504E-4</v>
      </c>
      <c r="M60" s="245">
        <f t="shared" si="36"/>
        <v>3.5096628492753554E-6</v>
      </c>
      <c r="N60" s="245">
        <f t="shared" si="37"/>
        <v>2.2069854972808704E-3</v>
      </c>
      <c r="O60" s="245">
        <f t="shared" si="38"/>
        <v>8.8801673578716301E-5</v>
      </c>
      <c r="P60" s="245">
        <f t="shared" si="39"/>
        <v>4.0937117825888177E-5</v>
      </c>
      <c r="Q60" s="245">
        <f t="shared" si="40"/>
        <v>6.7045117036798943E-4</v>
      </c>
      <c r="R60" s="243">
        <f t="shared" si="28"/>
        <v>0.99999999999999978</v>
      </c>
      <c r="S60" s="250"/>
      <c r="T60" s="244">
        <f t="shared" si="13"/>
        <v>9.7959062899753025E-3</v>
      </c>
      <c r="U60" s="246">
        <f t="shared" si="18"/>
        <v>0.22236707278243936</v>
      </c>
      <c r="V60" s="246">
        <f t="shared" si="19"/>
        <v>1.7904088288632089E-8</v>
      </c>
      <c r="W60" s="246">
        <f t="shared" si="20"/>
        <v>9.0486405388515685E-5</v>
      </c>
      <c r="X60" s="246">
        <f t="shared" si="21"/>
        <v>1.5895499570590217E-5</v>
      </c>
      <c r="Y60" s="246">
        <f t="shared" si="22"/>
        <v>2.8655982478121727E-6</v>
      </c>
      <c r="Z60" s="246">
        <f t="shared" si="14"/>
        <v>0.22247633818973458</v>
      </c>
      <c r="AA60" s="247">
        <f t="shared" si="15"/>
        <v>4.3776039637064515E-2</v>
      </c>
      <c r="AB60" s="122"/>
      <c r="AC60" s="244">
        <f t="shared" si="23"/>
        <v>5.2293976454202799E-3</v>
      </c>
      <c r="AD60" s="245">
        <f t="shared" si="24"/>
        <v>0.2325275623069733</v>
      </c>
      <c r="AE60" s="245">
        <f t="shared" si="25"/>
        <v>1.3619307503720253</v>
      </c>
      <c r="AF60" s="245">
        <f t="shared" si="26"/>
        <v>8.499208178218938E-2</v>
      </c>
      <c r="AG60" s="245">
        <f t="shared" si="27"/>
        <v>2.5262295410355594E-2</v>
      </c>
      <c r="AH60" s="245">
        <f t="shared" si="16"/>
        <v>1.709942087516964</v>
      </c>
      <c r="AI60" s="247">
        <f t="shared" si="41"/>
        <v>0.3364604668042912</v>
      </c>
    </row>
    <row r="61" spans="1:35">
      <c r="A61" s="122"/>
      <c r="B61" s="241">
        <v>57</v>
      </c>
      <c r="C61" s="248">
        <f>'Other parameters'!$D$26</f>
        <v>9.7777999999999997E-3</v>
      </c>
      <c r="D61" s="242">
        <f>'Other parameters'!$G$26</f>
        <v>22.7</v>
      </c>
      <c r="E61" s="234">
        <v>0</v>
      </c>
      <c r="F61" s="248">
        <f t="shared" ref="F61:F92" si="42">IF(B61&lt;rf2age,0,(pA2_1p*EXP(-0.1*(B61-$B$28))))</f>
        <v>3.9211417343443262E-3</v>
      </c>
      <c r="G61" s="248">
        <f t="shared" si="31"/>
        <v>8.0000000000000016E-2</v>
      </c>
      <c r="H61" s="249">
        <f t="shared" si="32"/>
        <v>0.19103608816200118</v>
      </c>
      <c r="I61" s="122"/>
      <c r="J61" s="244">
        <f t="shared" si="33"/>
        <v>0.99618192750897561</v>
      </c>
      <c r="K61" s="245">
        <f t="shared" si="34"/>
        <v>0</v>
      </c>
      <c r="L61" s="245">
        <f t="shared" si="35"/>
        <v>8.0513400115340213E-4</v>
      </c>
      <c r="M61" s="245">
        <f t="shared" si="36"/>
        <v>3.1658803088445263E-6</v>
      </c>
      <c r="N61" s="245">
        <f t="shared" si="37"/>
        <v>2.1922760158113027E-3</v>
      </c>
      <c r="O61" s="245">
        <f t="shared" si="38"/>
        <v>8.8304203396720487E-5</v>
      </c>
      <c r="P61" s="245">
        <f t="shared" si="39"/>
        <v>4.0734318854667245E-5</v>
      </c>
      <c r="Q61" s="245">
        <f t="shared" si="40"/>
        <v>6.8845807149923782E-4</v>
      </c>
      <c r="R61" s="243">
        <f t="shared" si="28"/>
        <v>0.99999999999999967</v>
      </c>
      <c r="S61" s="250"/>
      <c r="T61" s="244">
        <f t="shared" si="13"/>
        <v>9.7958069011312484E-3</v>
      </c>
      <c r="U61" s="246">
        <f t="shared" si="18"/>
        <v>0.22236481665567934</v>
      </c>
      <c r="V61" s="246">
        <f t="shared" si="19"/>
        <v>1.615032639744797E-8</v>
      </c>
      <c r="W61" s="246">
        <f t="shared" si="20"/>
        <v>8.9883316648263416E-5</v>
      </c>
      <c r="X61" s="246">
        <f t="shared" si="21"/>
        <v>1.5806452408012966E-5</v>
      </c>
      <c r="Y61" s="246">
        <f t="shared" si="22"/>
        <v>2.8514023198267075E-6</v>
      </c>
      <c r="Z61" s="246">
        <f t="shared" si="14"/>
        <v>0.22247337397738184</v>
      </c>
      <c r="AA61" s="247">
        <f t="shared" si="15"/>
        <v>4.250044308484098E-2</v>
      </c>
      <c r="AB61" s="122"/>
      <c r="AC61" s="244">
        <f t="shared" si="23"/>
        <v>4.7171616601783444E-3</v>
      </c>
      <c r="AD61" s="245">
        <f t="shared" si="24"/>
        <v>0.23187859233217981</v>
      </c>
      <c r="AE61" s="245">
        <f t="shared" si="25"/>
        <v>1.3528535293571549</v>
      </c>
      <c r="AF61" s="245">
        <f t="shared" si="26"/>
        <v>8.4515953071001182E-2</v>
      </c>
      <c r="AG61" s="245">
        <f t="shared" si="27"/>
        <v>2.5137148165215159E-2</v>
      </c>
      <c r="AH61" s="245">
        <f t="shared" si="16"/>
        <v>1.6991023845857294</v>
      </c>
      <c r="AI61" s="247">
        <f t="shared" si="41"/>
        <v>0.32458987293798586</v>
      </c>
    </row>
    <row r="62" spans="1:35">
      <c r="A62" s="122"/>
      <c r="B62" s="241">
        <v>58</v>
      </c>
      <c r="C62" s="248">
        <f>'Other parameters'!$D$26</f>
        <v>9.7777999999999997E-3</v>
      </c>
      <c r="D62" s="242">
        <f>'Other parameters'!$G$26</f>
        <v>22.7</v>
      </c>
      <c r="E62" s="234">
        <v>0</v>
      </c>
      <c r="F62" s="248">
        <f t="shared" si="42"/>
        <v>3.5479957626571644E-3</v>
      </c>
      <c r="G62" s="248">
        <f t="shared" si="31"/>
        <v>8.0000000000000016E-2</v>
      </c>
      <c r="H62" s="249">
        <f t="shared" si="32"/>
        <v>0.18547193025437006</v>
      </c>
      <c r="I62" s="122"/>
      <c r="J62" s="244">
        <f t="shared" si="33"/>
        <v>0.99618192750897561</v>
      </c>
      <c r="K62" s="245">
        <f t="shared" si="34"/>
        <v>0</v>
      </c>
      <c r="L62" s="245">
        <f t="shared" si="35"/>
        <v>8.0310051800923821E-4</v>
      </c>
      <c r="M62" s="245">
        <f t="shared" si="36"/>
        <v>2.8566120244634794E-6</v>
      </c>
      <c r="N62" s="245">
        <f t="shared" si="37"/>
        <v>2.1774414423667053E-3</v>
      </c>
      <c r="O62" s="245">
        <f t="shared" si="38"/>
        <v>8.7790698910878795E-5</v>
      </c>
      <c r="P62" s="245">
        <f t="shared" si="39"/>
        <v>4.0521173934154982E-5</v>
      </c>
      <c r="Q62" s="245">
        <f t="shared" si="40"/>
        <v>7.0636204577873419E-4</v>
      </c>
      <c r="R62" s="243">
        <f t="shared" si="28"/>
        <v>0.99999999999999989</v>
      </c>
      <c r="S62" s="250"/>
      <c r="T62" s="244">
        <f t="shared" si="13"/>
        <v>9.7957039742794967E-3</v>
      </c>
      <c r="U62" s="246">
        <f t="shared" si="18"/>
        <v>0.22236248021614458</v>
      </c>
      <c r="V62" s="246">
        <f t="shared" si="19"/>
        <v>1.4572634491920547E-8</v>
      </c>
      <c r="W62" s="246">
        <f t="shared" si="20"/>
        <v>8.9275099137034927E-5</v>
      </c>
      <c r="X62" s="246">
        <f t="shared" si="21"/>
        <v>1.5714535105047304E-5</v>
      </c>
      <c r="Y62" s="246">
        <f t="shared" si="22"/>
        <v>2.8364821753908491E-6</v>
      </c>
      <c r="Z62" s="246">
        <f t="shared" si="14"/>
        <v>0.22247032090519653</v>
      </c>
      <c r="AA62" s="247">
        <f t="shared" si="15"/>
        <v>4.1261999842595938E-2</v>
      </c>
      <c r="AB62" s="122"/>
      <c r="AC62" s="244">
        <f t="shared" si="23"/>
        <v>4.2563519164505841E-3</v>
      </c>
      <c r="AD62" s="245">
        <f t="shared" si="24"/>
        <v>0.2312929491866606</v>
      </c>
      <c r="AE62" s="245">
        <f t="shared" si="25"/>
        <v>1.3436991140844938</v>
      </c>
      <c r="AF62" s="245">
        <f t="shared" si="26"/>
        <v>8.4024477927602093E-2</v>
      </c>
      <c r="AG62" s="245">
        <f t="shared" si="27"/>
        <v>2.500561643476704E-2</v>
      </c>
      <c r="AH62" s="245">
        <f t="shared" si="16"/>
        <v>1.6882785095499739</v>
      </c>
      <c r="AI62" s="247">
        <f t="shared" si="41"/>
        <v>0.31312827397320459</v>
      </c>
    </row>
    <row r="63" spans="1:35">
      <c r="A63" s="122"/>
      <c r="B63" s="241">
        <v>59</v>
      </c>
      <c r="C63" s="248">
        <f>'Other parameters'!$D$26</f>
        <v>9.7777999999999997E-3</v>
      </c>
      <c r="D63" s="242">
        <f>'Other parameters'!$G$26</f>
        <v>22.7</v>
      </c>
      <c r="E63" s="234">
        <v>0</v>
      </c>
      <c r="F63" s="248">
        <f t="shared" si="42"/>
        <v>3.2103593250852355E-3</v>
      </c>
      <c r="G63" s="248">
        <f t="shared" si="31"/>
        <v>8.0000000000000016E-2</v>
      </c>
      <c r="H63" s="249">
        <f t="shared" si="32"/>
        <v>0.18006983519841754</v>
      </c>
      <c r="I63" s="122"/>
      <c r="J63" s="244">
        <f t="shared" si="33"/>
        <v>0.99618192750897561</v>
      </c>
      <c r="K63" s="245">
        <f t="shared" si="34"/>
        <v>0</v>
      </c>
      <c r="L63" s="245">
        <f t="shared" si="35"/>
        <v>8.0126499589862701E-4</v>
      </c>
      <c r="M63" s="245">
        <f t="shared" si="36"/>
        <v>2.578241236971741E-6</v>
      </c>
      <c r="N63" s="245">
        <f t="shared" si="37"/>
        <v>2.1625067240911905E-3</v>
      </c>
      <c r="O63" s="245">
        <f t="shared" si="38"/>
        <v>8.7263443527626391E-5</v>
      </c>
      <c r="P63" s="245">
        <f t="shared" si="39"/>
        <v>4.0299034839672375E-5</v>
      </c>
      <c r="Q63" s="245">
        <f t="shared" si="40"/>
        <v>7.2416005143008725E-4</v>
      </c>
      <c r="R63" s="243">
        <f t="shared" si="28"/>
        <v>0.99999999999999978</v>
      </c>
      <c r="S63" s="250"/>
      <c r="T63" s="244">
        <f t="shared" si="13"/>
        <v>9.7955980056513535E-3</v>
      </c>
      <c r="U63" s="246">
        <f t="shared" si="18"/>
        <v>0.22236007472828573</v>
      </c>
      <c r="V63" s="246">
        <f t="shared" si="19"/>
        <v>1.3152562145866801E-8</v>
      </c>
      <c r="W63" s="246">
        <f t="shared" si="20"/>
        <v>8.8662775687738812E-5</v>
      </c>
      <c r="X63" s="246">
        <f t="shared" si="21"/>
        <v>1.5620156391445122E-5</v>
      </c>
      <c r="Y63" s="246">
        <f t="shared" si="22"/>
        <v>2.8209324387770664E-6</v>
      </c>
      <c r="Z63" s="246">
        <f t="shared" si="14"/>
        <v>0.22246719174536583</v>
      </c>
      <c r="AA63" s="247">
        <f t="shared" si="15"/>
        <v>4.0059630554642782E-2</v>
      </c>
      <c r="AB63" s="122"/>
      <c r="AC63" s="244">
        <f t="shared" si="23"/>
        <v>3.841579443087894E-3</v>
      </c>
      <c r="AD63" s="245">
        <f t="shared" si="24"/>
        <v>0.23076431881880458</v>
      </c>
      <c r="AE63" s="245">
        <f t="shared" si="25"/>
        <v>1.3344828994366738</v>
      </c>
      <c r="AF63" s="245">
        <f t="shared" si="26"/>
        <v>8.351984180029122E-2</v>
      </c>
      <c r="AG63" s="245">
        <f t="shared" si="27"/>
        <v>2.4868534399561822E-2</v>
      </c>
      <c r="AH63" s="245">
        <f t="shared" si="16"/>
        <v>1.6774771738984191</v>
      </c>
      <c r="AI63" s="247">
        <f t="shared" si="41"/>
        <v>0.30206303825299552</v>
      </c>
    </row>
    <row r="64" spans="1:35">
      <c r="A64" s="122"/>
      <c r="B64" s="241">
        <v>60</v>
      </c>
      <c r="C64" s="248">
        <f>'Other parameters'!$D$27</f>
        <v>1.46842E-2</v>
      </c>
      <c r="D64" s="242">
        <f>'Other parameters'!$G$27</f>
        <v>18.7</v>
      </c>
      <c r="E64" s="234">
        <v>0</v>
      </c>
      <c r="F64" s="248">
        <f t="shared" si="42"/>
        <v>2.90485324267779E-3</v>
      </c>
      <c r="G64" s="248">
        <f t="shared" si="31"/>
        <v>8.0000000000000016E-2</v>
      </c>
      <c r="H64" s="249">
        <f t="shared" si="32"/>
        <v>0.17482508271691022</v>
      </c>
      <c r="I64" s="122"/>
      <c r="J64" s="244">
        <f t="shared" si="33"/>
        <v>0.99618192750897561</v>
      </c>
      <c r="K64" s="245">
        <f t="shared" si="34"/>
        <v>0</v>
      </c>
      <c r="L64" s="245">
        <f t="shared" si="35"/>
        <v>7.9960778139865935E-4</v>
      </c>
      <c r="M64" s="245">
        <f t="shared" si="36"/>
        <v>2.3275572215803329E-6</v>
      </c>
      <c r="N64" s="245">
        <f t="shared" si="37"/>
        <v>2.1474941115957936E-3</v>
      </c>
      <c r="O64" s="245">
        <f t="shared" si="38"/>
        <v>8.672445270859654E-5</v>
      </c>
      <c r="P64" s="245">
        <f t="shared" si="39"/>
        <v>4.0069102585539847E-5</v>
      </c>
      <c r="Q64" s="245">
        <f t="shared" si="40"/>
        <v>7.4184948551400524E-4</v>
      </c>
      <c r="R64" s="243">
        <f t="shared" si="28"/>
        <v>0.99999999999999989</v>
      </c>
      <c r="S64" s="250"/>
      <c r="T64" s="244">
        <f t="shared" si="13"/>
        <v>1.4701889434083917E-2</v>
      </c>
      <c r="U64" s="246">
        <f t="shared" si="18"/>
        <v>0.27492533241736922</v>
      </c>
      <c r="V64" s="246">
        <f t="shared" si="19"/>
        <v>1.187373026460981E-8</v>
      </c>
      <c r="W64" s="246">
        <f t="shared" si="20"/>
        <v>8.8047258575427542E-5</v>
      </c>
      <c r="X64" s="246">
        <f t="shared" si="21"/>
        <v>1.5523677034838779E-5</v>
      </c>
      <c r="Y64" s="246">
        <f t="shared" si="22"/>
        <v>2.8048371809877895E-6</v>
      </c>
      <c r="Z64" s="246">
        <f t="shared" si="14"/>
        <v>0.27503172006389076</v>
      </c>
      <c r="AA64" s="247">
        <f t="shared" si="15"/>
        <v>4.8082443209943801E-2</v>
      </c>
      <c r="AB64" s="122"/>
      <c r="AC64" s="244">
        <f t="shared" si="23"/>
        <v>3.4680602601546958E-3</v>
      </c>
      <c r="AD64" s="245">
        <f t="shared" si="24"/>
        <v>0.23028704104281389</v>
      </c>
      <c r="AE64" s="245">
        <f t="shared" si="25"/>
        <v>1.3252186162657642</v>
      </c>
      <c r="AF64" s="245">
        <f t="shared" si="26"/>
        <v>8.3003973687397745E-2</v>
      </c>
      <c r="AG64" s="245">
        <f t="shared" si="27"/>
        <v>2.4726643205536639E-2</v>
      </c>
      <c r="AH64" s="245">
        <f t="shared" si="16"/>
        <v>1.6667043344616672</v>
      </c>
      <c r="AI64" s="247">
        <f t="shared" si="41"/>
        <v>0.29138172313689376</v>
      </c>
    </row>
    <row r="65" spans="1:35">
      <c r="A65" s="122"/>
      <c r="B65" s="241">
        <v>61</v>
      </c>
      <c r="C65" s="248">
        <f>'Other parameters'!$D$27</f>
        <v>1.46842E-2</v>
      </c>
      <c r="D65" s="242">
        <f>'Other parameters'!$G$27</f>
        <v>18.7</v>
      </c>
      <c r="E65" s="234">
        <v>0</v>
      </c>
      <c r="F65" s="248">
        <f t="shared" si="42"/>
        <v>2.6284199078779559E-3</v>
      </c>
      <c r="G65" s="248">
        <f t="shared" si="31"/>
        <v>8.0000000000000016E-2</v>
      </c>
      <c r="H65" s="249">
        <f t="shared" si="32"/>
        <v>0.1697330900164177</v>
      </c>
      <c r="I65" s="122"/>
      <c r="J65" s="244">
        <f t="shared" si="33"/>
        <v>0.99618192750897561</v>
      </c>
      <c r="K65" s="245">
        <f t="shared" si="34"/>
        <v>0</v>
      </c>
      <c r="L65" s="245">
        <f t="shared" si="35"/>
        <v>7.9811124126514784E-4</v>
      </c>
      <c r="M65" s="245">
        <f t="shared" si="36"/>
        <v>2.1017050111223609E-6</v>
      </c>
      <c r="N65" s="245">
        <f t="shared" si="37"/>
        <v>2.1324234596073717E-3</v>
      </c>
      <c r="O65" s="245">
        <f t="shared" si="38"/>
        <v>8.6175507264741314E-5</v>
      </c>
      <c r="P65" s="245">
        <f t="shared" si="39"/>
        <v>3.9832444496995256E-5</v>
      </c>
      <c r="Q65" s="245">
        <f t="shared" si="40"/>
        <v>7.5942813337879654E-4</v>
      </c>
      <c r="R65" s="243">
        <f t="shared" si="28"/>
        <v>0.99999999999999989</v>
      </c>
      <c r="S65" s="250"/>
      <c r="T65" s="244">
        <f t="shared" si="13"/>
        <v>1.4701778647864792E-2</v>
      </c>
      <c r="U65" s="246">
        <f t="shared" si="18"/>
        <v>0.27492326071507162</v>
      </c>
      <c r="V65" s="246">
        <f t="shared" si="19"/>
        <v>1.0721574604684483E-8</v>
      </c>
      <c r="W65" s="246">
        <f t="shared" si="20"/>
        <v>8.7429361843902246E-5</v>
      </c>
      <c r="X65" s="246">
        <f t="shared" si="21"/>
        <v>1.5425415800388694E-5</v>
      </c>
      <c r="Y65" s="246">
        <f t="shared" si="22"/>
        <v>2.7882711147896682E-6</v>
      </c>
      <c r="Z65" s="246">
        <f t="shared" si="14"/>
        <v>0.27502891448540534</v>
      </c>
      <c r="AA65" s="247">
        <f t="shared" si="15"/>
        <v>4.6681507499468949E-2</v>
      </c>
      <c r="AB65" s="122"/>
      <c r="AC65" s="244">
        <f t="shared" si="23"/>
        <v>3.1315404665723176E-3</v>
      </c>
      <c r="AD65" s="245">
        <f t="shared" si="24"/>
        <v>0.22985603748436256</v>
      </c>
      <c r="AE65" s="245">
        <f t="shared" si="25"/>
        <v>1.3159185169237091</v>
      </c>
      <c r="AF65" s="245">
        <f t="shared" si="26"/>
        <v>8.2478578003083919E-2</v>
      </c>
      <c r="AG65" s="245">
        <f t="shared" si="27"/>
        <v>2.4580601499095772E-2</v>
      </c>
      <c r="AH65" s="245">
        <f t="shared" si="16"/>
        <v>1.6559652743768236</v>
      </c>
      <c r="AI65" s="247">
        <f t="shared" si="41"/>
        <v>0.28107210297986324</v>
      </c>
    </row>
    <row r="66" spans="1:35">
      <c r="A66" s="122"/>
      <c r="B66" s="241">
        <v>62</v>
      </c>
      <c r="C66" s="248">
        <f>'Other parameters'!$D$27</f>
        <v>1.46842E-2</v>
      </c>
      <c r="D66" s="242">
        <f>'Other parameters'!$G$27</f>
        <v>18.7</v>
      </c>
      <c r="E66" s="234">
        <v>0</v>
      </c>
      <c r="F66" s="248">
        <f t="shared" si="42"/>
        <v>2.3782926829586043E-3</v>
      </c>
      <c r="G66" s="248">
        <f t="shared" si="31"/>
        <v>8.0000000000000016E-2</v>
      </c>
      <c r="H66" s="249">
        <f t="shared" si="32"/>
        <v>0.16478940778292983</v>
      </c>
      <c r="I66" s="122"/>
      <c r="J66" s="244">
        <f t="shared" si="33"/>
        <v>0.99618192750897561</v>
      </c>
      <c r="K66" s="245">
        <f t="shared" si="34"/>
        <v>0</v>
      </c>
      <c r="L66" s="245">
        <f t="shared" si="35"/>
        <v>7.9675954244275171E-4</v>
      </c>
      <c r="M66" s="245">
        <f t="shared" si="36"/>
        <v>1.8981421252879104E-6</v>
      </c>
      <c r="N66" s="245">
        <f t="shared" si="37"/>
        <v>2.1173124907659471E-3</v>
      </c>
      <c r="O66" s="245">
        <f t="shared" si="38"/>
        <v>8.5618182237294664E-5</v>
      </c>
      <c r="P66" s="245">
        <f t="shared" si="39"/>
        <v>3.9590009334784219E-5</v>
      </c>
      <c r="Q66" s="245">
        <f t="shared" si="40"/>
        <v>7.7689412411810987E-4</v>
      </c>
      <c r="R66" s="243">
        <f t="shared" si="28"/>
        <v>0.99999999999999967</v>
      </c>
      <c r="S66" s="250"/>
      <c r="T66" s="244">
        <f t="shared" si="13"/>
        <v>1.4701665990739313E-2</v>
      </c>
      <c r="U66" s="246">
        <f t="shared" si="18"/>
        <v>0.27492115402682515</v>
      </c>
      <c r="V66" s="246">
        <f t="shared" si="19"/>
        <v>9.6831250336605201E-9</v>
      </c>
      <c r="W66" s="246">
        <f t="shared" si="20"/>
        <v>8.6809812121403833E-5</v>
      </c>
      <c r="X66" s="246">
        <f t="shared" si="21"/>
        <v>1.5325654620475743E-5</v>
      </c>
      <c r="Y66" s="246">
        <f t="shared" si="22"/>
        <v>2.7713006534348957E-6</v>
      </c>
      <c r="Z66" s="246">
        <f t="shared" si="14"/>
        <v>0.27502607047734551</v>
      </c>
      <c r="AA66" s="247">
        <f t="shared" si="15"/>
        <v>4.5321383278828085E-2</v>
      </c>
      <c r="AB66" s="122"/>
      <c r="AC66" s="244">
        <f t="shared" si="23"/>
        <v>2.8282317666789864E-3</v>
      </c>
      <c r="AD66" s="245">
        <f t="shared" si="24"/>
        <v>0.22946674822351248</v>
      </c>
      <c r="AE66" s="245">
        <f t="shared" si="25"/>
        <v>1.306593538051666</v>
      </c>
      <c r="AF66" s="245">
        <f t="shared" si="26"/>
        <v>8.1945162219314721E-2</v>
      </c>
      <c r="AG66" s="245">
        <f t="shared" si="27"/>
        <v>2.4430994760495341E-2</v>
      </c>
      <c r="AH66" s="245">
        <f t="shared" si="16"/>
        <v>1.6452646750216675</v>
      </c>
      <c r="AI66" s="247">
        <f t="shared" si="41"/>
        <v>0.2711221914429951</v>
      </c>
    </row>
    <row r="67" spans="1:35">
      <c r="A67" s="122"/>
      <c r="B67" s="241">
        <v>63</v>
      </c>
      <c r="C67" s="248">
        <f>'Other parameters'!$D$27</f>
        <v>1.46842E-2</v>
      </c>
      <c r="D67" s="242">
        <f>'Other parameters'!$G$27</f>
        <v>18.7</v>
      </c>
      <c r="E67" s="234">
        <v>0</v>
      </c>
      <c r="F67" s="248">
        <f t="shared" si="42"/>
        <v>2.151968210582078E-3</v>
      </c>
      <c r="G67" s="248">
        <f t="shared" si="31"/>
        <v>8.0000000000000016E-2</v>
      </c>
      <c r="H67" s="249">
        <f t="shared" si="32"/>
        <v>0.15998971629410663</v>
      </c>
      <c r="I67" s="122"/>
      <c r="J67" s="244">
        <f t="shared" si="33"/>
        <v>0.99618192750897561</v>
      </c>
      <c r="K67" s="245">
        <f t="shared" si="34"/>
        <v>0</v>
      </c>
      <c r="L67" s="245">
        <f t="shared" si="35"/>
        <v>7.9553845818851191E-4</v>
      </c>
      <c r="M67" s="245">
        <f t="shared" si="36"/>
        <v>1.7146012068147237E-6</v>
      </c>
      <c r="N67" s="245">
        <f t="shared" si="37"/>
        <v>2.1021770276681917E-3</v>
      </c>
      <c r="O67" s="245">
        <f t="shared" si="38"/>
        <v>8.5053871974611426E-5</v>
      </c>
      <c r="P67" s="245">
        <f t="shared" si="39"/>
        <v>3.9342640686859066E-5</v>
      </c>
      <c r="Q67" s="245">
        <f t="shared" si="40"/>
        <v>7.9424589129918643E-4</v>
      </c>
      <c r="R67" s="243">
        <f t="shared" si="28"/>
        <v>0.99999999999999978</v>
      </c>
      <c r="S67" s="250"/>
      <c r="T67" s="244">
        <f t="shared" si="13"/>
        <v>1.4701551767181076E-2</v>
      </c>
      <c r="U67" s="246">
        <f t="shared" si="18"/>
        <v>0.2749190180462861</v>
      </c>
      <c r="V67" s="246">
        <f t="shared" si="19"/>
        <v>8.7468149235315507E-9</v>
      </c>
      <c r="W67" s="246">
        <f t="shared" si="20"/>
        <v>8.6189258134395868E-5</v>
      </c>
      <c r="X67" s="246">
        <f t="shared" si="21"/>
        <v>1.5224643083455445E-5</v>
      </c>
      <c r="Y67" s="246">
        <f t="shared" si="22"/>
        <v>2.7539848480801347E-6</v>
      </c>
      <c r="Z67" s="246">
        <f t="shared" si="14"/>
        <v>0.27502319467916697</v>
      </c>
      <c r="AA67" s="247">
        <f t="shared" si="15"/>
        <v>4.4000882891018778E-2</v>
      </c>
      <c r="AB67" s="122"/>
      <c r="AC67" s="244">
        <f t="shared" si="23"/>
        <v>2.5547557981539385E-3</v>
      </c>
      <c r="AD67" s="245">
        <f t="shared" si="24"/>
        <v>0.22911507595829142</v>
      </c>
      <c r="AE67" s="245">
        <f t="shared" si="25"/>
        <v>1.2972534437740411</v>
      </c>
      <c r="AF67" s="245">
        <f t="shared" si="26"/>
        <v>8.1405060866900594E-2</v>
      </c>
      <c r="AG67" s="245">
        <f t="shared" si="27"/>
        <v>2.4278343567860732E-2</v>
      </c>
      <c r="AH67" s="245">
        <f t="shared" si="16"/>
        <v>1.6346066799652477</v>
      </c>
      <c r="AI67" s="247">
        <f t="shared" si="41"/>
        <v>0.26152025898009151</v>
      </c>
    </row>
    <row r="68" spans="1:35">
      <c r="A68" s="122"/>
      <c r="B68" s="241">
        <v>64</v>
      </c>
      <c r="C68" s="248">
        <f>'Other parameters'!$D$27</f>
        <v>1.46842E-2</v>
      </c>
      <c r="D68" s="242">
        <f>'Other parameters'!$G$27</f>
        <v>18.7</v>
      </c>
      <c r="E68" s="234">
        <v>0</v>
      </c>
      <c r="F68" s="248">
        <f t="shared" si="42"/>
        <v>1.9471813593585521E-3</v>
      </c>
      <c r="G68" s="248">
        <f t="shared" si="31"/>
        <v>8.0000000000000016E-2</v>
      </c>
      <c r="H68" s="249">
        <f t="shared" si="32"/>
        <v>0.15532982164476369</v>
      </c>
      <c r="I68" s="122"/>
      <c r="J68" s="244">
        <f t="shared" si="33"/>
        <v>0.99618192750897561</v>
      </c>
      <c r="K68" s="245">
        <f t="shared" si="34"/>
        <v>0</v>
      </c>
      <c r="L68" s="245">
        <f t="shared" si="35"/>
        <v>7.9443519684584617E-4</v>
      </c>
      <c r="M68" s="245">
        <f t="shared" si="36"/>
        <v>1.5490576564375133E-6</v>
      </c>
      <c r="N68" s="245">
        <f t="shared" si="37"/>
        <v>2.0870311974559397E-3</v>
      </c>
      <c r="O68" s="245">
        <f t="shared" si="38"/>
        <v>8.4483811929963242E-5</v>
      </c>
      <c r="P68" s="245">
        <f t="shared" si="39"/>
        <v>3.9091088821134335E-5</v>
      </c>
      <c r="Q68" s="245">
        <f t="shared" si="40"/>
        <v>8.1148213831485467E-4</v>
      </c>
      <c r="R68" s="243">
        <f t="shared" si="28"/>
        <v>0.99999999999999978</v>
      </c>
      <c r="S68" s="250"/>
      <c r="T68" s="244">
        <f t="shared" si="13"/>
        <v>1.4701436247015668E-2</v>
      </c>
      <c r="U68" s="246">
        <f t="shared" si="18"/>
        <v>0.27491685781919301</v>
      </c>
      <c r="V68" s="246">
        <f t="shared" si="19"/>
        <v>7.9023160446209595E-9</v>
      </c>
      <c r="W68" s="246">
        <f t="shared" si="20"/>
        <v>8.5568279095693528E-5</v>
      </c>
      <c r="X68" s="246">
        <f t="shared" si="21"/>
        <v>1.512260233546342E-5</v>
      </c>
      <c r="Y68" s="246">
        <f t="shared" si="22"/>
        <v>2.7363762174794039E-6</v>
      </c>
      <c r="Z68" s="246">
        <f t="shared" si="14"/>
        <v>0.27502029297915764</v>
      </c>
      <c r="AA68" s="247">
        <f t="shared" si="15"/>
        <v>4.2718853057143215E-2</v>
      </c>
      <c r="AB68" s="122"/>
      <c r="AC68" s="244">
        <f t="shared" si="23"/>
        <v>2.3080959080918947E-3</v>
      </c>
      <c r="AD68" s="245">
        <f t="shared" si="24"/>
        <v>0.22879733669160371</v>
      </c>
      <c r="AE68" s="245">
        <f t="shared" si="25"/>
        <v>1.2879069519500603</v>
      </c>
      <c r="AF68" s="245">
        <f t="shared" si="26"/>
        <v>8.0859456398167814E-2</v>
      </c>
      <c r="AG68" s="245">
        <f t="shared" si="27"/>
        <v>2.4123110911522E-2</v>
      </c>
      <c r="AH68" s="245">
        <f t="shared" si="16"/>
        <v>1.6239949518594456</v>
      </c>
      <c r="AI68" s="247">
        <f t="shared" si="41"/>
        <v>0.25225484622432431</v>
      </c>
    </row>
    <row r="69" spans="1:35">
      <c r="A69" s="122"/>
      <c r="B69" s="241">
        <v>65</v>
      </c>
      <c r="C69" s="248">
        <f>'Other parameters'!$D$28</f>
        <v>2.30286E-2</v>
      </c>
      <c r="D69" s="242">
        <f>'Other parameters'!$G$28</f>
        <v>15</v>
      </c>
      <c r="E69" s="234">
        <v>0</v>
      </c>
      <c r="F69" s="248">
        <f t="shared" si="42"/>
        <v>1.7618825536497415E-3</v>
      </c>
      <c r="G69" s="248">
        <f t="shared" ref="G69:G104" si="43">IF(B69&lt;rhdage,0,pVS_1p)</f>
        <v>8.0000000000000016E-2</v>
      </c>
      <c r="H69" s="249">
        <f t="shared" ref="H69:H104" si="44">1/(1+disc)^($B69-1)</f>
        <v>0.15080565208229488</v>
      </c>
      <c r="I69" s="122"/>
      <c r="J69" s="244">
        <f t="shared" ref="J69:J104" si="45">IF(B69&lt;rf1age,1,J68*(1-E69))</f>
        <v>0.99618192750897561</v>
      </c>
      <c r="K69" s="245">
        <f t="shared" ref="K69:K104" si="46">IF(B69&lt;rf1age,0,J68*E69)</f>
        <v>0</v>
      </c>
      <c r="L69" s="245">
        <f t="shared" ref="L69:L104" si="47">IF(B69&lt;rf1age,0,(K68*cpARF1_Remission)+(L68*(1-F69))+(M68*cpARF2_Remission))</f>
        <v>7.934382503231919E-4</v>
      </c>
      <c r="M69" s="245">
        <f t="shared" ref="M69:M104" si="48">IF(B69&lt;rf1age,0,L68*F69)</f>
        <v>1.3997015133279945E-6</v>
      </c>
      <c r="N69" s="245">
        <f t="shared" ref="N69:N104" si="49">IF(B69&lt;rf1age,0,(K68*pARF1_RHDMild)+(M68*pARF2_RHDMild)+(N68*cpRHDMild_RHDMild)+(O68*G69))</f>
        <v>2.0718876125892971E-3</v>
      </c>
      <c r="O69" s="245">
        <f t="shared" ref="O69:O104" si="50">IF(B69&lt;rf1age,0,(N68*pRHDMild_RHDSevere)+(O68*(1-(G69+pRHDSevere_Death))))</f>
        <v>8.39090976322211E-5</v>
      </c>
      <c r="P69" s="245">
        <f t="shared" ref="P69:P104" si="51">IF(B69&lt;rf1age,0,(N68*pRHDMild_Stroke)+(P68*(1-pStroke_Death)))</f>
        <v>3.883602117377897E-5</v>
      </c>
      <c r="Q69" s="245">
        <f t="shared" ref="Q69:Q104" si="52">IF(B69&lt;rf1age,0,(K68*pARF1_Death)+(M68*pARF2_Death)+(O68*pRHDSevere_Death)+(P68*pStroke_Death)+Q68)</f>
        <v>8.2860180779235828E-4</v>
      </c>
      <c r="R69" s="243">
        <f t="shared" si="28"/>
        <v>0.99999999999999978</v>
      </c>
      <c r="S69" s="250"/>
      <c r="T69" s="244">
        <f t="shared" ref="T69:T103" si="53">((K68*pARF1_Death)+(M68*pARF2_Death)+(O68*pRHDSevere_Death)+(P68*pStroke_Death))+C69</f>
        <v>2.3045719669477504E-2</v>
      </c>
      <c r="U69" s="246">
        <f t="shared" si="18"/>
        <v>0.34568579504216257</v>
      </c>
      <c r="V69" s="246">
        <f t="shared" si="19"/>
        <v>7.140395117306099E-9</v>
      </c>
      <c r="W69" s="246">
        <f t="shared" si="20"/>
        <v>8.4947392116161181E-5</v>
      </c>
      <c r="X69" s="246">
        <f t="shared" si="21"/>
        <v>1.5019728476167577E-5</v>
      </c>
      <c r="Y69" s="246">
        <f t="shared" si="22"/>
        <v>2.7185214821645282E-6</v>
      </c>
      <c r="Z69" s="246">
        <f t="shared" ref="Z69:Z104" si="54">SUM(U69:Y69)</f>
        <v>0.34578848782463217</v>
      </c>
      <c r="AA69" s="247">
        <f t="shared" ref="AA69:AA100" si="55">Z69*H69</f>
        <v>5.2146858388944339E-2</v>
      </c>
      <c r="AB69" s="122"/>
      <c r="AC69" s="244">
        <f t="shared" si="23"/>
        <v>2.0855552548587116E-3</v>
      </c>
      <c r="AD69" s="245">
        <f t="shared" si="24"/>
        <v>0.22851021609307925</v>
      </c>
      <c r="AE69" s="245">
        <f t="shared" si="25"/>
        <v>1.2785618457288552</v>
      </c>
      <c r="AF69" s="245">
        <f t="shared" si="26"/>
        <v>8.0309397343798813E-2</v>
      </c>
      <c r="AG69" s="245">
        <f t="shared" si="27"/>
        <v>2.3965708666339004E-2</v>
      </c>
      <c r="AH69" s="245">
        <f t="shared" ref="AH69:AH104" si="56">SUM(AC69:AG69)</f>
        <v>1.613432723086931</v>
      </c>
      <c r="AI69" s="247">
        <f t="shared" ref="AI69:AI100" si="57">AH69*H69</f>
        <v>0.24331477389603734</v>
      </c>
    </row>
    <row r="70" spans="1:35">
      <c r="A70" s="122"/>
      <c r="B70" s="241">
        <v>66</v>
      </c>
      <c r="C70" s="248">
        <f>'Other parameters'!$D$28</f>
        <v>2.30286E-2</v>
      </c>
      <c r="D70" s="242">
        <f>'Other parameters'!$G$28</f>
        <v>15</v>
      </c>
      <c r="E70" s="234">
        <v>0</v>
      </c>
      <c r="F70" s="248">
        <f t="shared" si="42"/>
        <v>1.5942172607270357E-3</v>
      </c>
      <c r="G70" s="248">
        <f t="shared" si="43"/>
        <v>8.0000000000000016E-2</v>
      </c>
      <c r="H70" s="249">
        <f t="shared" si="44"/>
        <v>0.14641325444882999</v>
      </c>
      <c r="I70" s="122"/>
      <c r="J70" s="244">
        <f t="shared" si="45"/>
        <v>0.99618192750897561</v>
      </c>
      <c r="K70" s="245">
        <f t="shared" si="46"/>
        <v>0</v>
      </c>
      <c r="L70" s="245">
        <f t="shared" si="47"/>
        <v>7.9253725976267085E-4</v>
      </c>
      <c r="M70" s="245">
        <f t="shared" si="48"/>
        <v>1.2649129539862909E-6</v>
      </c>
      <c r="N70" s="245">
        <f t="shared" si="49"/>
        <v>2.0567575308976086E-3</v>
      </c>
      <c r="O70" s="245">
        <f t="shared" si="50"/>
        <v>8.3330701217909317E-5</v>
      </c>
      <c r="P70" s="245">
        <f t="shared" si="51"/>
        <v>3.8578031629326825E-5</v>
      </c>
      <c r="Q70" s="245">
        <f t="shared" si="52"/>
        <v>8.4560405456267352E-4</v>
      </c>
      <c r="R70" s="243">
        <f t="shared" si="28"/>
        <v>0.99999999999999978</v>
      </c>
      <c r="S70" s="250"/>
      <c r="T70" s="244">
        <f t="shared" si="53"/>
        <v>2.3045602246770314E-2</v>
      </c>
      <c r="U70" s="246">
        <f t="shared" ref="U70:U104" si="58">$D70*T70</f>
        <v>0.3456840337015547</v>
      </c>
      <c r="V70" s="246">
        <f t="shared" ref="V70:V104" si="59">($K70+$M70)*wAR</f>
        <v>6.4527888228012986E-9</v>
      </c>
      <c r="W70" s="246">
        <f t="shared" ref="W70:W104" si="60">$N70*wRM</f>
        <v>8.4327058766801952E-5</v>
      </c>
      <c r="X70" s="246">
        <f t="shared" ref="X70:X104" si="61">$O70*wRH</f>
        <v>1.4916195518005766E-5</v>
      </c>
      <c r="Y70" s="246">
        <f t="shared" ref="Y70:Y104" si="62">$P70*wRS</f>
        <v>2.7004622140528779E-6</v>
      </c>
      <c r="Z70" s="246">
        <f t="shared" si="54"/>
        <v>0.34578598387084242</v>
      </c>
      <c r="AA70" s="247">
        <f t="shared" si="55"/>
        <v>5.0627651241320674E-2</v>
      </c>
      <c r="AB70" s="122"/>
      <c r="AC70" s="244">
        <f t="shared" ref="AC70:AC104" si="63">($K70+$M70)*cARF</f>
        <v>1.8847203014395735E-3</v>
      </c>
      <c r="AD70" s="245">
        <f t="shared" ref="AD70:AD104" si="64">$L70*cRFR</f>
        <v>0.22825073081164921</v>
      </c>
      <c r="AE70" s="245">
        <f t="shared" ref="AE70:AE104" si="65">$N70*cRM</f>
        <v>1.2692250723169143</v>
      </c>
      <c r="AF70" s="245">
        <f t="shared" ref="AF70:AF104" si="66">$O70*cRH</f>
        <v>7.9755814135661005E-2</v>
      </c>
      <c r="AG70" s="245">
        <f t="shared" ref="AG70:AG104" si="67">$P70*cRS</f>
        <v>2.3806503318457586E-2</v>
      </c>
      <c r="AH70" s="245">
        <f t="shared" si="56"/>
        <v>1.6029228408841216</v>
      </c>
      <c r="AI70" s="247">
        <f t="shared" si="57"/>
        <v>0.23468914976420832</v>
      </c>
    </row>
    <row r="71" spans="1:35">
      <c r="A71" s="122"/>
      <c r="B71" s="241">
        <v>67</v>
      </c>
      <c r="C71" s="248">
        <f>'Other parameters'!$D$28</f>
        <v>2.30286E-2</v>
      </c>
      <c r="D71" s="242">
        <f>'Other parameters'!$G$28</f>
        <v>15</v>
      </c>
      <c r="E71" s="234">
        <v>0</v>
      </c>
      <c r="F71" s="248">
        <f t="shared" si="42"/>
        <v>1.4425074299846117E-3</v>
      </c>
      <c r="G71" s="248">
        <f t="shared" si="43"/>
        <v>8.0000000000000016E-2</v>
      </c>
      <c r="H71" s="249">
        <f t="shared" si="44"/>
        <v>0.14214879072701941</v>
      </c>
      <c r="I71" s="122"/>
      <c r="J71" s="244">
        <f t="shared" si="45"/>
        <v>0.99618192750897561</v>
      </c>
      <c r="K71" s="245">
        <f t="shared" si="46"/>
        <v>0</v>
      </c>
      <c r="L71" s="245">
        <f t="shared" si="47"/>
        <v>7.9172289624495999E-4</v>
      </c>
      <c r="M71" s="245">
        <f t="shared" si="48"/>
        <v>1.143240885747297E-6</v>
      </c>
      <c r="N71" s="245">
        <f t="shared" si="49"/>
        <v>2.0416509975469989E-3</v>
      </c>
      <c r="O71" s="245">
        <f t="shared" si="50"/>
        <v>8.2749485858293895E-5</v>
      </c>
      <c r="P71" s="245">
        <f t="shared" si="51"/>
        <v>3.8317648732085743E-5</v>
      </c>
      <c r="Q71" s="245">
        <f t="shared" si="52"/>
        <v>8.6248822175608952E-4</v>
      </c>
      <c r="R71" s="243">
        <f t="shared" si="28"/>
        <v>0.99999999999999978</v>
      </c>
      <c r="S71" s="250"/>
      <c r="T71" s="244">
        <f t="shared" si="53"/>
        <v>2.3045484167193417E-2</v>
      </c>
      <c r="U71" s="246">
        <f t="shared" si="58"/>
        <v>0.34568226250790124</v>
      </c>
      <c r="V71" s="246">
        <f t="shared" si="59"/>
        <v>5.8320946007163493E-9</v>
      </c>
      <c r="W71" s="246">
        <f t="shared" si="60"/>
        <v>8.370769089942696E-5</v>
      </c>
      <c r="X71" s="246">
        <f t="shared" si="61"/>
        <v>1.4812157968634606E-5</v>
      </c>
      <c r="Y71" s="246">
        <f t="shared" si="62"/>
        <v>2.6822354112460022E-6</v>
      </c>
      <c r="Z71" s="246">
        <f t="shared" si="54"/>
        <v>0.3457834704242751</v>
      </c>
      <c r="AA71" s="247">
        <f t="shared" si="55"/>
        <v>4.9152702174202791E-2</v>
      </c>
      <c r="AB71" s="122"/>
      <c r="AC71" s="244">
        <f t="shared" si="63"/>
        <v>1.7034289197634725E-3</v>
      </c>
      <c r="AD71" s="245">
        <f t="shared" si="64"/>
        <v>0.22801619411854848</v>
      </c>
      <c r="AE71" s="245">
        <f t="shared" si="65"/>
        <v>1.259902830586253</v>
      </c>
      <c r="AF71" s="245">
        <f t="shared" si="66"/>
        <v>7.9199532914973086E-2</v>
      </c>
      <c r="AG71" s="245">
        <f t="shared" si="67"/>
        <v>2.3645821032570114E-2</v>
      </c>
      <c r="AH71" s="245">
        <f t="shared" si="56"/>
        <v>1.5924678075721079</v>
      </c>
      <c r="AI71" s="247">
        <f t="shared" si="57"/>
        <v>0.226367373118083</v>
      </c>
    </row>
    <row r="72" spans="1:35">
      <c r="A72" s="122"/>
      <c r="B72" s="241">
        <v>68</v>
      </c>
      <c r="C72" s="248">
        <f>'Other parameters'!$D$28</f>
        <v>2.30286E-2</v>
      </c>
      <c r="D72" s="242">
        <f>'Other parameters'!$G$28</f>
        <v>15</v>
      </c>
      <c r="E72" s="234">
        <v>0</v>
      </c>
      <c r="F72" s="248">
        <f t="shared" si="42"/>
        <v>1.3052346984449631E-3</v>
      </c>
      <c r="G72" s="248">
        <f t="shared" si="43"/>
        <v>8.0000000000000016E-2</v>
      </c>
      <c r="H72" s="249">
        <f t="shared" si="44"/>
        <v>0.1380085346864266</v>
      </c>
      <c r="I72" s="122"/>
      <c r="J72" s="244">
        <f t="shared" si="45"/>
        <v>0.99618192750897561</v>
      </c>
      <c r="K72" s="245">
        <f t="shared" si="46"/>
        <v>0</v>
      </c>
      <c r="L72" s="245">
        <f t="shared" si="47"/>
        <v>7.9098675467952203E-4</v>
      </c>
      <c r="M72" s="245">
        <f t="shared" si="48"/>
        <v>1.033384195732263E-6</v>
      </c>
      <c r="N72" s="245">
        <f t="shared" si="49"/>
        <v>2.0265769711836695E-3</v>
      </c>
      <c r="O72" s="245">
        <f t="shared" si="50"/>
        <v>8.2166218367938016E-5</v>
      </c>
      <c r="P72" s="245">
        <f t="shared" si="51"/>
        <v>3.805534295296369E-5</v>
      </c>
      <c r="Q72" s="245">
        <f t="shared" si="52"/>
        <v>8.7925381964434955E-4</v>
      </c>
      <c r="R72" s="243">
        <f t="shared" si="28"/>
        <v>0.99999999999999989</v>
      </c>
      <c r="S72" s="250"/>
      <c r="T72" s="244">
        <f t="shared" si="53"/>
        <v>2.3045365597888261E-2</v>
      </c>
      <c r="U72" s="246">
        <f t="shared" si="58"/>
        <v>0.3456804839683239</v>
      </c>
      <c r="V72" s="246">
        <f t="shared" si="59"/>
        <v>5.2716749930232161E-9</v>
      </c>
      <c r="W72" s="246">
        <f t="shared" si="60"/>
        <v>8.3089655818530453E-5</v>
      </c>
      <c r="X72" s="246">
        <f t="shared" si="61"/>
        <v>1.4707753087860905E-5</v>
      </c>
      <c r="Y72" s="246">
        <f t="shared" si="62"/>
        <v>2.6638740067074584E-6</v>
      </c>
      <c r="Z72" s="246">
        <f t="shared" si="54"/>
        <v>0.34578095052291202</v>
      </c>
      <c r="AA72" s="247">
        <f t="shared" si="55"/>
        <v>4.7720722304146861E-2</v>
      </c>
      <c r="AB72" s="122"/>
      <c r="AC72" s="244">
        <f t="shared" si="63"/>
        <v>1.539742451641072E-3</v>
      </c>
      <c r="AD72" s="245">
        <f t="shared" si="64"/>
        <v>0.22780418534770236</v>
      </c>
      <c r="AE72" s="245">
        <f t="shared" si="65"/>
        <v>1.2506006489174424</v>
      </c>
      <c r="AF72" s="245">
        <f t="shared" si="66"/>
        <v>7.864128759995348E-2</v>
      </c>
      <c r="AG72" s="245">
        <f t="shared" si="67"/>
        <v>2.3483952136273894E-2</v>
      </c>
      <c r="AH72" s="245">
        <f t="shared" si="56"/>
        <v>1.5820698164530134</v>
      </c>
      <c r="AI72" s="247">
        <f t="shared" si="57"/>
        <v>0.21833913714030426</v>
      </c>
    </row>
    <row r="73" spans="1:35">
      <c r="A73" s="122"/>
      <c r="B73" s="241">
        <v>69</v>
      </c>
      <c r="C73" s="248">
        <f>'Other parameters'!$D$28</f>
        <v>2.30286E-2</v>
      </c>
      <c r="D73" s="242">
        <f>'Other parameters'!$G$28</f>
        <v>15</v>
      </c>
      <c r="E73" s="234">
        <v>0</v>
      </c>
      <c r="F73" s="248">
        <f t="shared" si="42"/>
        <v>1.181025194471885E-3</v>
      </c>
      <c r="G73" s="248">
        <f t="shared" si="43"/>
        <v>8.0000000000000016E-2</v>
      </c>
      <c r="H73" s="249">
        <f t="shared" si="44"/>
        <v>0.13398886862759865</v>
      </c>
      <c r="I73" s="122"/>
      <c r="J73" s="244">
        <f t="shared" si="45"/>
        <v>0.99618192750897561</v>
      </c>
      <c r="K73" s="245">
        <f t="shared" si="46"/>
        <v>0</v>
      </c>
      <c r="L73" s="245">
        <f t="shared" si="47"/>
        <v>7.9032125928464245E-4</v>
      </c>
      <c r="M73" s="245">
        <f t="shared" si="48"/>
        <v>9.3417528577006774E-7</v>
      </c>
      <c r="N73" s="245">
        <f t="shared" si="49"/>
        <v>2.0115434361939037E-3</v>
      </c>
      <c r="O73" s="245">
        <f t="shared" si="50"/>
        <v>8.1581580240564476E-5</v>
      </c>
      <c r="P73" s="245">
        <f t="shared" si="51"/>
        <v>3.7791533121893139E-5</v>
      </c>
      <c r="Q73" s="245">
        <f t="shared" si="52"/>
        <v>8.9590050689740137E-4</v>
      </c>
      <c r="R73" s="243">
        <f t="shared" si="28"/>
        <v>0.99999999999999978</v>
      </c>
      <c r="S73" s="250"/>
      <c r="T73" s="244">
        <f t="shared" si="53"/>
        <v>2.3045246687253051E-2</v>
      </c>
      <c r="U73" s="246">
        <f t="shared" si="58"/>
        <v>0.34567870030879577</v>
      </c>
      <c r="V73" s="246">
        <f t="shared" si="59"/>
        <v>4.7655736495996339E-9</v>
      </c>
      <c r="W73" s="246">
        <f t="shared" si="60"/>
        <v>8.2473280883950059E-5</v>
      </c>
      <c r="X73" s="246">
        <f t="shared" si="61"/>
        <v>1.4603102863061041E-5</v>
      </c>
      <c r="Y73" s="246">
        <f t="shared" si="62"/>
        <v>2.6454073185325201E-6</v>
      </c>
      <c r="Z73" s="246">
        <f t="shared" si="54"/>
        <v>0.34577842686543497</v>
      </c>
      <c r="AA73" s="247">
        <f t="shared" si="55"/>
        <v>4.6330460211530491E-2</v>
      </c>
      <c r="AB73" s="122"/>
      <c r="AC73" s="244">
        <f t="shared" si="63"/>
        <v>1.3919211757974009E-3</v>
      </c>
      <c r="AD73" s="245">
        <f t="shared" si="64"/>
        <v>0.22761252267397702</v>
      </c>
      <c r="AE73" s="245">
        <f t="shared" si="65"/>
        <v>1.241323454475258</v>
      </c>
      <c r="AF73" s="245">
        <f t="shared" si="66"/>
        <v>7.8081730448244263E-2</v>
      </c>
      <c r="AG73" s="245">
        <f t="shared" si="67"/>
        <v>2.3321155089520259E-2</v>
      </c>
      <c r="AH73" s="245">
        <f t="shared" si="56"/>
        <v>1.571730783862797</v>
      </c>
      <c r="AI73" s="247">
        <f t="shared" si="57"/>
        <v>0.21059442951694496</v>
      </c>
    </row>
    <row r="74" spans="1:35">
      <c r="A74" s="122"/>
      <c r="B74" s="241">
        <v>70</v>
      </c>
      <c r="C74" s="248">
        <f>'Other parameters'!$D$29</f>
        <v>3.7466800000000001E-2</v>
      </c>
      <c r="D74" s="242">
        <f>'Other parameters'!$G$29</f>
        <v>11.6</v>
      </c>
      <c r="E74" s="234">
        <v>0</v>
      </c>
      <c r="F74" s="248">
        <f t="shared" si="42"/>
        <v>1.0686357876013568E-3</v>
      </c>
      <c r="G74" s="248">
        <f t="shared" si="43"/>
        <v>8.0000000000000016E-2</v>
      </c>
      <c r="H74" s="249">
        <f t="shared" si="44"/>
        <v>0.13008628022096957</v>
      </c>
      <c r="I74" s="122"/>
      <c r="J74" s="244">
        <f t="shared" si="45"/>
        <v>0.99618192750897561</v>
      </c>
      <c r="K74" s="245">
        <f t="shared" si="46"/>
        <v>0</v>
      </c>
      <c r="L74" s="245">
        <f t="shared" si="47"/>
        <v>7.8971957927756898E-4</v>
      </c>
      <c r="M74" s="245">
        <f t="shared" si="48"/>
        <v>8.4456558137374006E-7</v>
      </c>
      <c r="N74" s="245">
        <f t="shared" si="49"/>
        <v>1.9965575027539807E-3</v>
      </c>
      <c r="O74" s="245">
        <f t="shared" si="50"/>
        <v>8.0996177323239786E-5</v>
      </c>
      <c r="P74" s="245">
        <f t="shared" si="51"/>
        <v>3.7526592123468834E-5</v>
      </c>
      <c r="Q74" s="245">
        <f t="shared" si="52"/>
        <v>9.1242807396454354E-4</v>
      </c>
      <c r="R74" s="243">
        <f t="shared" si="28"/>
        <v>0.99999999999999967</v>
      </c>
      <c r="S74" s="250"/>
      <c r="T74" s="244">
        <f t="shared" si="53"/>
        <v>3.7483327567067147E-2</v>
      </c>
      <c r="U74" s="246">
        <f t="shared" si="58"/>
        <v>0.43480659977797892</v>
      </c>
      <c r="V74" s="246">
        <f t="shared" si="59"/>
        <v>4.3084414041586419E-9</v>
      </c>
      <c r="W74" s="246">
        <f t="shared" si="60"/>
        <v>8.1858857612913209E-5</v>
      </c>
      <c r="X74" s="246">
        <f t="shared" si="61"/>
        <v>1.4498315740859921E-5</v>
      </c>
      <c r="Y74" s="246">
        <f t="shared" si="62"/>
        <v>2.6268614486428185E-6</v>
      </c>
      <c r="Z74" s="246">
        <f t="shared" si="54"/>
        <v>0.43490558812122271</v>
      </c>
      <c r="AA74" s="247">
        <f t="shared" si="55"/>
        <v>5.6575250206002951E-2</v>
      </c>
      <c r="AB74" s="122"/>
      <c r="AC74" s="244">
        <f t="shared" si="63"/>
        <v>1.2584027162468726E-3</v>
      </c>
      <c r="AD74" s="245">
        <f t="shared" si="64"/>
        <v>0.22743923883193987</v>
      </c>
      <c r="AE74" s="245">
        <f t="shared" si="65"/>
        <v>1.2320756349494815</v>
      </c>
      <c r="AF74" s="245">
        <f t="shared" si="66"/>
        <v>7.7521441316072803E-2</v>
      </c>
      <c r="AG74" s="245">
        <f t="shared" si="67"/>
        <v>2.3157659999392618E-2</v>
      </c>
      <c r="AH74" s="245">
        <f t="shared" si="56"/>
        <v>1.5614523778131335</v>
      </c>
      <c r="AI74" s="247">
        <f t="shared" si="57"/>
        <v>0.20312353157189855</v>
      </c>
    </row>
    <row r="75" spans="1:35">
      <c r="A75" s="122"/>
      <c r="B75" s="241">
        <v>71</v>
      </c>
      <c r="C75" s="248">
        <f>'Other parameters'!$D$29</f>
        <v>3.7466800000000001E-2</v>
      </c>
      <c r="D75" s="242">
        <f>'Other parameters'!$G$29</f>
        <v>11.6</v>
      </c>
      <c r="E75" s="234">
        <v>0</v>
      </c>
      <c r="F75" s="248">
        <f t="shared" si="42"/>
        <v>9.6694164687403635E-4</v>
      </c>
      <c r="G75" s="248">
        <f t="shared" si="43"/>
        <v>8.0000000000000016E-2</v>
      </c>
      <c r="H75" s="249">
        <f t="shared" si="44"/>
        <v>0.12629735943783454</v>
      </c>
      <c r="I75" s="122"/>
      <c r="J75" s="244">
        <f t="shared" si="45"/>
        <v>0.99618192750897561</v>
      </c>
      <c r="K75" s="245">
        <f t="shared" si="46"/>
        <v>0</v>
      </c>
      <c r="L75" s="245">
        <f t="shared" si="47"/>
        <v>7.8917555357817075E-4</v>
      </c>
      <c r="M75" s="245">
        <f t="shared" si="48"/>
        <v>7.6361275055532366E-7</v>
      </c>
      <c r="N75" s="245">
        <f t="shared" si="49"/>
        <v>1.9816254961170514E-3</v>
      </c>
      <c r="O75" s="245">
        <f t="shared" si="50"/>
        <v>8.0410548310061509E-5</v>
      </c>
      <c r="P75" s="245">
        <f t="shared" si="51"/>
        <v>3.7260851942141446E-5</v>
      </c>
      <c r="Q75" s="245">
        <f t="shared" si="52"/>
        <v>9.2883642832619531E-4</v>
      </c>
      <c r="R75" s="243">
        <f t="shared" si="28"/>
        <v>0.99999999999999978</v>
      </c>
      <c r="S75" s="250"/>
      <c r="T75" s="244">
        <f t="shared" si="53"/>
        <v>3.7483208354361655E-2</v>
      </c>
      <c r="U75" s="246">
        <f t="shared" si="58"/>
        <v>0.4348052169105952</v>
      </c>
      <c r="V75" s="246">
        <f t="shared" si="59"/>
        <v>3.895471072695926E-9</v>
      </c>
      <c r="W75" s="246">
        <f t="shared" si="60"/>
        <v>8.1246645340799111E-5</v>
      </c>
      <c r="X75" s="246">
        <f t="shared" si="61"/>
        <v>1.4393488147501009E-5</v>
      </c>
      <c r="Y75" s="246">
        <f t="shared" si="62"/>
        <v>2.6082596359499016E-6</v>
      </c>
      <c r="Z75" s="246">
        <f t="shared" si="54"/>
        <v>0.43490346919919054</v>
      </c>
      <c r="AA75" s="247">
        <f t="shared" si="55"/>
        <v>5.492715977021137E-2</v>
      </c>
      <c r="AB75" s="122"/>
      <c r="AC75" s="244">
        <f t="shared" si="63"/>
        <v>1.1377829983274322E-3</v>
      </c>
      <c r="AD75" s="245">
        <f t="shared" si="64"/>
        <v>0.22728255943051318</v>
      </c>
      <c r="AE75" s="245">
        <f t="shared" si="65"/>
        <v>1.2228610936538324</v>
      </c>
      <c r="AF75" s="245">
        <f t="shared" si="66"/>
        <v>7.6960935787559873E-2</v>
      </c>
      <c r="AG75" s="245">
        <f t="shared" si="67"/>
        <v>2.2993671733495487E-2</v>
      </c>
      <c r="AH75" s="245">
        <f t="shared" si="56"/>
        <v>1.5512360436037285</v>
      </c>
      <c r="AI75" s="247">
        <f t="shared" si="57"/>
        <v>0.19591701617194449</v>
      </c>
    </row>
    <row r="76" spans="1:35">
      <c r="A76" s="122"/>
      <c r="B76" s="241">
        <v>72</v>
      </c>
      <c r="C76" s="248">
        <f>'Other parameters'!$D$29</f>
        <v>3.7466800000000001E-2</v>
      </c>
      <c r="D76" s="242">
        <f>'Other parameters'!$G$29</f>
        <v>11.6</v>
      </c>
      <c r="E76" s="234">
        <v>0</v>
      </c>
      <c r="F76" s="248">
        <f t="shared" si="42"/>
        <v>8.7492498314894118E-4</v>
      </c>
      <c r="G76" s="248">
        <f t="shared" si="43"/>
        <v>8.0000000000000016E-2</v>
      </c>
      <c r="H76" s="249">
        <f t="shared" si="44"/>
        <v>0.12261879557071313</v>
      </c>
      <c r="I76" s="122"/>
      <c r="J76" s="244">
        <f t="shared" si="45"/>
        <v>0.99618192750897561</v>
      </c>
      <c r="K76" s="245">
        <f t="shared" si="46"/>
        <v>0</v>
      </c>
      <c r="L76" s="245">
        <f t="shared" si="47"/>
        <v>7.8868362348539925E-4</v>
      </c>
      <c r="M76" s="245">
        <f t="shared" si="48"/>
        <v>6.9046940791593736E-7</v>
      </c>
      <c r="N76" s="245">
        <f t="shared" si="49"/>
        <v>1.9667530363923214E-3</v>
      </c>
      <c r="O76" s="245">
        <f t="shared" si="50"/>
        <v>7.9825172210997418E-5</v>
      </c>
      <c r="P76" s="245">
        <f t="shared" si="51"/>
        <v>3.6994608133240073E-5</v>
      </c>
      <c r="Q76" s="245">
        <f t="shared" si="52"/>
        <v>9.4512558139430174E-4</v>
      </c>
      <c r="R76" s="243">
        <f t="shared" si="28"/>
        <v>0.99999999999999956</v>
      </c>
      <c r="S76" s="250"/>
      <c r="T76" s="244">
        <f t="shared" si="53"/>
        <v>3.7483089153068111E-2</v>
      </c>
      <c r="U76" s="246">
        <f t="shared" si="58"/>
        <v>0.4348038341755901</v>
      </c>
      <c r="V76" s="246">
        <f t="shared" si="59"/>
        <v>3.5223398288752754E-9</v>
      </c>
      <c r="W76" s="246">
        <f t="shared" si="60"/>
        <v>8.0636874492085182E-5</v>
      </c>
      <c r="X76" s="246">
        <f t="shared" si="61"/>
        <v>1.4288705825768537E-5</v>
      </c>
      <c r="Y76" s="246">
        <f t="shared" si="62"/>
        <v>2.5896225693268054E-6</v>
      </c>
      <c r="Z76" s="246">
        <f t="shared" si="54"/>
        <v>0.43490135290081711</v>
      </c>
      <c r="AA76" s="247">
        <f t="shared" si="55"/>
        <v>5.3327080084771862E-2</v>
      </c>
      <c r="AB76" s="122"/>
      <c r="AC76" s="244">
        <f t="shared" si="63"/>
        <v>1.0287994177947467E-3</v>
      </c>
      <c r="AD76" s="245">
        <f t="shared" si="64"/>
        <v>0.22714088356379497</v>
      </c>
      <c r="AE76" s="245">
        <f t="shared" si="65"/>
        <v>1.2136832987577015</v>
      </c>
      <c r="AF76" s="245">
        <f t="shared" si="66"/>
        <v>7.6400672323145624E-2</v>
      </c>
      <c r="AG76" s="245">
        <f t="shared" si="67"/>
        <v>2.282937267902245E-2</v>
      </c>
      <c r="AH76" s="245">
        <f t="shared" si="56"/>
        <v>1.5410830267414595</v>
      </c>
      <c r="AI76" s="247">
        <f t="shared" si="57"/>
        <v>0.18896574461350685</v>
      </c>
    </row>
    <row r="77" spans="1:35">
      <c r="A77" s="122"/>
      <c r="B77" s="241">
        <v>73</v>
      </c>
      <c r="C77" s="248">
        <f>'Other parameters'!$D$29</f>
        <v>3.7466800000000001E-2</v>
      </c>
      <c r="D77" s="242">
        <f>'Other parameters'!$G$29</f>
        <v>11.6</v>
      </c>
      <c r="E77" s="234">
        <v>0</v>
      </c>
      <c r="F77" s="248">
        <f t="shared" si="42"/>
        <v>7.9166486272764364E-4</v>
      </c>
      <c r="G77" s="248">
        <f t="shared" si="43"/>
        <v>8.0000000000000016E-2</v>
      </c>
      <c r="H77" s="249">
        <f t="shared" si="44"/>
        <v>0.1190473743404982</v>
      </c>
      <c r="I77" s="122"/>
      <c r="J77" s="244">
        <f t="shared" si="45"/>
        <v>0.99618192750897561</v>
      </c>
      <c r="K77" s="245">
        <f t="shared" si="46"/>
        <v>0</v>
      </c>
      <c r="L77" s="245">
        <f t="shared" si="47"/>
        <v>7.8823877241893537E-4</v>
      </c>
      <c r="M77" s="245">
        <f t="shared" si="48"/>
        <v>6.2437311252210919E-7</v>
      </c>
      <c r="N77" s="245">
        <f t="shared" si="49"/>
        <v>1.9519451099088109E-3</v>
      </c>
      <c r="O77" s="245">
        <f t="shared" si="50"/>
        <v>7.9240474929689319E-5</v>
      </c>
      <c r="P77" s="245">
        <f t="shared" si="51"/>
        <v>3.6728123787132188E-5</v>
      </c>
      <c r="Q77" s="245">
        <f t="shared" si="52"/>
        <v>9.6129563686708579E-4</v>
      </c>
      <c r="R77" s="243">
        <f t="shared" ref="R77:R104" si="68">SUM(J77:Q77)</f>
        <v>0.99999999999999978</v>
      </c>
      <c r="S77" s="250"/>
      <c r="T77" s="244">
        <f t="shared" si="53"/>
        <v>3.7482970055472783E-2</v>
      </c>
      <c r="U77" s="246">
        <f t="shared" si="58"/>
        <v>0.43480245264348427</v>
      </c>
      <c r="V77" s="246">
        <f t="shared" si="59"/>
        <v>3.1851581794963491E-9</v>
      </c>
      <c r="W77" s="246">
        <f t="shared" si="60"/>
        <v>8.0029749506261243E-5</v>
      </c>
      <c r="X77" s="246">
        <f t="shared" si="61"/>
        <v>1.4184045012414387E-5</v>
      </c>
      <c r="Y77" s="246">
        <f t="shared" si="62"/>
        <v>2.5709686650992534E-6</v>
      </c>
      <c r="Z77" s="246">
        <f t="shared" si="54"/>
        <v>0.43489924059182622</v>
      </c>
      <c r="AA77" s="247">
        <f t="shared" si="55"/>
        <v>5.1773612695133524E-2</v>
      </c>
      <c r="AB77" s="122"/>
      <c r="AC77" s="244">
        <f t="shared" si="63"/>
        <v>9.3031593765794264E-4</v>
      </c>
      <c r="AD77" s="245">
        <f t="shared" si="64"/>
        <v>0.22701276645665339</v>
      </c>
      <c r="AE77" s="245">
        <f t="shared" si="65"/>
        <v>1.2045453273247273</v>
      </c>
      <c r="AF77" s="245">
        <f t="shared" si="66"/>
        <v>7.5841058555205648E-2</v>
      </c>
      <c r="AG77" s="245">
        <f t="shared" si="67"/>
        <v>2.2664925189039273E-2</v>
      </c>
      <c r="AH77" s="245">
        <f t="shared" si="56"/>
        <v>1.5309943934632835</v>
      </c>
      <c r="AI77" s="247">
        <f t="shared" si="57"/>
        <v>0.18226086267182751</v>
      </c>
    </row>
    <row r="78" spans="1:35">
      <c r="A78" s="122"/>
      <c r="B78" s="241">
        <v>74</v>
      </c>
      <c r="C78" s="248">
        <f>'Other parameters'!$D$29</f>
        <v>3.7466800000000001E-2</v>
      </c>
      <c r="D78" s="242">
        <f>'Other parameters'!$G$29</f>
        <v>11.6</v>
      </c>
      <c r="E78" s="234">
        <v>0</v>
      </c>
      <c r="F78" s="248">
        <f t="shared" si="42"/>
        <v>7.1632799034027366E-4</v>
      </c>
      <c r="G78" s="248">
        <f t="shared" si="43"/>
        <v>8.0000000000000016E-2</v>
      </c>
      <c r="H78" s="249">
        <f t="shared" si="44"/>
        <v>0.11557997508786232</v>
      </c>
      <c r="I78" s="122"/>
      <c r="J78" s="244">
        <f t="shared" si="45"/>
        <v>0.99618192750897561</v>
      </c>
      <c r="K78" s="245">
        <f t="shared" si="46"/>
        <v>0</v>
      </c>
      <c r="L78" s="245">
        <f t="shared" si="47"/>
        <v>7.8783647193243593E-4</v>
      </c>
      <c r="M78" s="245">
        <f t="shared" si="48"/>
        <v>5.6463749575514027E-7</v>
      </c>
      <c r="N78" s="245">
        <f t="shared" si="49"/>
        <v>1.937206133116748E-3</v>
      </c>
      <c r="O78" s="245">
        <f t="shared" si="50"/>
        <v>7.8656835065365856E-5</v>
      </c>
      <c r="P78" s="245">
        <f t="shared" si="51"/>
        <v>3.6461633045872201E-5</v>
      </c>
      <c r="Q78" s="245">
        <f t="shared" si="52"/>
        <v>9.7734678036799855E-4</v>
      </c>
      <c r="R78" s="243">
        <f t="shared" si="68"/>
        <v>0.99999999999999978</v>
      </c>
      <c r="S78" s="250"/>
      <c r="T78" s="244">
        <f t="shared" si="53"/>
        <v>3.7482851143500917E-2</v>
      </c>
      <c r="U78" s="246">
        <f t="shared" si="58"/>
        <v>0.43480107326461065</v>
      </c>
      <c r="V78" s="246">
        <f t="shared" si="59"/>
        <v>2.8804247043727982E-9</v>
      </c>
      <c r="W78" s="246">
        <f t="shared" si="60"/>
        <v>7.9425451457786674E-5</v>
      </c>
      <c r="X78" s="246">
        <f t="shared" si="61"/>
        <v>1.4079573476700488E-5</v>
      </c>
      <c r="Y78" s="246">
        <f t="shared" si="62"/>
        <v>2.5523143132110542E-6</v>
      </c>
      <c r="Z78" s="246">
        <f t="shared" si="54"/>
        <v>0.4348971334842831</v>
      </c>
      <c r="AA78" s="247">
        <f t="shared" si="55"/>
        <v>5.0265399853896171E-2</v>
      </c>
      <c r="AB78" s="122"/>
      <c r="AC78" s="244">
        <f t="shared" si="63"/>
        <v>8.4130986867515898E-4</v>
      </c>
      <c r="AD78" s="245">
        <f t="shared" si="64"/>
        <v>0.22689690391654155</v>
      </c>
      <c r="AE78" s="245">
        <f t="shared" si="65"/>
        <v>1.1954499047463452</v>
      </c>
      <c r="AF78" s="245">
        <f t="shared" si="66"/>
        <v>7.5282456841061662E-2</v>
      </c>
      <c r="AG78" s="245">
        <f t="shared" si="67"/>
        <v>2.2500473752607737E-2</v>
      </c>
      <c r="AH78" s="245">
        <f t="shared" si="56"/>
        <v>1.5209710491252313</v>
      </c>
      <c r="AI78" s="247">
        <f t="shared" si="57"/>
        <v>0.17579379596725403</v>
      </c>
    </row>
    <row r="79" spans="1:35">
      <c r="A79" s="122"/>
      <c r="B79" s="241">
        <v>75</v>
      </c>
      <c r="C79" s="248">
        <f>'Other parameters'!$D$30</f>
        <v>5.9392199999999992E-2</v>
      </c>
      <c r="D79" s="242">
        <f>'Other parameters'!$G$30</f>
        <v>8.6</v>
      </c>
      <c r="E79" s="234">
        <v>0</v>
      </c>
      <c r="F79" s="248">
        <f t="shared" si="42"/>
        <v>6.481603692463806E-4</v>
      </c>
      <c r="G79" s="248">
        <f t="shared" si="43"/>
        <v>8.0000000000000016E-2</v>
      </c>
      <c r="H79" s="249">
        <f t="shared" si="44"/>
        <v>0.11221356804646829</v>
      </c>
      <c r="I79" s="122"/>
      <c r="J79" s="244">
        <f t="shared" si="45"/>
        <v>0.99618192750897561</v>
      </c>
      <c r="K79" s="245">
        <f t="shared" si="46"/>
        <v>0</v>
      </c>
      <c r="L79" s="245">
        <f t="shared" si="47"/>
        <v>7.8747263330277871E-4</v>
      </c>
      <c r="M79" s="245">
        <f t="shared" si="48"/>
        <v>5.1064437855349344E-7</v>
      </c>
      <c r="N79" s="245">
        <f t="shared" si="49"/>
        <v>1.922540009860405E-3</v>
      </c>
      <c r="O79" s="245">
        <f t="shared" si="50"/>
        <v>7.8074589038050756E-5</v>
      </c>
      <c r="P79" s="245">
        <f t="shared" si="51"/>
        <v>3.6195344224642864E-5</v>
      </c>
      <c r="Q79" s="245">
        <f t="shared" si="52"/>
        <v>9.9327927021974514E-4</v>
      </c>
      <c r="R79" s="243">
        <f t="shared" si="68"/>
        <v>0.99999999999999978</v>
      </c>
      <c r="S79" s="250"/>
      <c r="T79" s="244">
        <f t="shared" si="53"/>
        <v>5.9408132489851738E-2</v>
      </c>
      <c r="U79" s="246">
        <f t="shared" si="58"/>
        <v>0.51090993941272489</v>
      </c>
      <c r="V79" s="246">
        <f t="shared" si="59"/>
        <v>2.6049858434701503E-9</v>
      </c>
      <c r="W79" s="246">
        <f t="shared" si="60"/>
        <v>7.88241404042766E-5</v>
      </c>
      <c r="X79" s="246">
        <f t="shared" si="61"/>
        <v>1.3975351437811084E-5</v>
      </c>
      <c r="Y79" s="246">
        <f t="shared" si="62"/>
        <v>2.5336740957250006E-6</v>
      </c>
      <c r="Z79" s="246">
        <f t="shared" si="54"/>
        <v>0.51100527518364858</v>
      </c>
      <c r="AA79" s="247">
        <f t="shared" si="55"/>
        <v>5.7341725218924604E-2</v>
      </c>
      <c r="AB79" s="122"/>
      <c r="AC79" s="244">
        <f t="shared" si="63"/>
        <v>7.608601240447052E-4</v>
      </c>
      <c r="AD79" s="245">
        <f t="shared" si="64"/>
        <v>0.22679211839120028</v>
      </c>
      <c r="AE79" s="245">
        <f t="shared" si="65"/>
        <v>1.1863994400848559</v>
      </c>
      <c r="AF79" s="245">
        <f t="shared" si="66"/>
        <v>7.4725189168318384E-2</v>
      </c>
      <c r="AG79" s="245">
        <f t="shared" si="67"/>
        <v>2.2336146921027113E-2</v>
      </c>
      <c r="AH79" s="245">
        <f t="shared" si="56"/>
        <v>1.5110137546894462</v>
      </c>
      <c r="AI79" s="247">
        <f t="shared" si="57"/>
        <v>0.16955624478099371</v>
      </c>
    </row>
    <row r="80" spans="1:35">
      <c r="A80" s="122"/>
      <c r="B80" s="241">
        <v>76</v>
      </c>
      <c r="C80" s="248">
        <f>'Other parameters'!$D$30</f>
        <v>5.9392199999999992E-2</v>
      </c>
      <c r="D80" s="242">
        <f>'Other parameters'!$G$30</f>
        <v>8.6</v>
      </c>
      <c r="E80" s="234">
        <v>0</v>
      </c>
      <c r="F80" s="248">
        <f t="shared" si="42"/>
        <v>5.8647975498212943E-4</v>
      </c>
      <c r="G80" s="248">
        <f t="shared" si="43"/>
        <v>8.0000000000000016E-2</v>
      </c>
      <c r="H80" s="249">
        <f t="shared" si="44"/>
        <v>0.10894521169560026</v>
      </c>
      <c r="I80" s="122"/>
      <c r="J80" s="244">
        <f t="shared" si="45"/>
        <v>0.99618192750897561</v>
      </c>
      <c r="K80" s="245">
        <f t="shared" si="46"/>
        <v>0</v>
      </c>
      <c r="L80" s="245">
        <f t="shared" si="47"/>
        <v>7.8714356408416807E-4</v>
      </c>
      <c r="M80" s="245">
        <f t="shared" si="48"/>
        <v>4.6183675703454592E-7</v>
      </c>
      <c r="N80" s="245">
        <f t="shared" si="49"/>
        <v>1.9079501827537109E-3</v>
      </c>
      <c r="O80" s="245">
        <f t="shared" si="50"/>
        <v>7.7494035622609274E-5</v>
      </c>
      <c r="P80" s="245">
        <f t="shared" si="51"/>
        <v>3.5929442584065155E-5</v>
      </c>
      <c r="Q80" s="245">
        <f t="shared" si="52"/>
        <v>1.009093429222588E-3</v>
      </c>
      <c r="R80" s="243">
        <f t="shared" si="68"/>
        <v>0.99999999999999978</v>
      </c>
      <c r="S80" s="250"/>
      <c r="T80" s="244">
        <f t="shared" si="53"/>
        <v>5.9408014159002834E-2</v>
      </c>
      <c r="U80" s="246">
        <f t="shared" si="58"/>
        <v>0.51090892176742431</v>
      </c>
      <c r="V80" s="246">
        <f t="shared" si="59"/>
        <v>2.3560001139680127E-9</v>
      </c>
      <c r="W80" s="246">
        <f t="shared" si="60"/>
        <v>7.8225957492902148E-5</v>
      </c>
      <c r="X80" s="246">
        <f t="shared" si="61"/>
        <v>1.3871432376447059E-5</v>
      </c>
      <c r="Y80" s="246">
        <f t="shared" si="62"/>
        <v>2.5150609808845609E-6</v>
      </c>
      <c r="Z80" s="246">
        <f t="shared" si="54"/>
        <v>0.51100353657427455</v>
      </c>
      <c r="AA80" s="247">
        <f t="shared" si="55"/>
        <v>5.5671388469284752E-2</v>
      </c>
      <c r="AB80" s="122"/>
      <c r="AC80" s="244">
        <f t="shared" si="63"/>
        <v>6.8813676798147344E-4</v>
      </c>
      <c r="AD80" s="245">
        <f t="shared" si="64"/>
        <v>0.2266973464562404</v>
      </c>
      <c r="AE80" s="245">
        <f t="shared" si="65"/>
        <v>1.177396057777315</v>
      </c>
      <c r="AF80" s="245">
        <f t="shared" si="66"/>
        <v>7.4169541494399333E-2</v>
      </c>
      <c r="AG80" s="245">
        <f t="shared" si="67"/>
        <v>2.2172059018626608E-2</v>
      </c>
      <c r="AH80" s="245">
        <f t="shared" si="56"/>
        <v>1.5011231415145627</v>
      </c>
      <c r="AI80" s="247">
        <f t="shared" si="57"/>
        <v>0.16354017843346855</v>
      </c>
    </row>
    <row r="81" spans="1:35">
      <c r="A81" s="122"/>
      <c r="B81" s="241">
        <v>77</v>
      </c>
      <c r="C81" s="248">
        <f>'Other parameters'!$D$30</f>
        <v>5.9392199999999992E-2</v>
      </c>
      <c r="D81" s="242">
        <f>'Other parameters'!$G$30</f>
        <v>8.6</v>
      </c>
      <c r="E81" s="234">
        <v>0</v>
      </c>
      <c r="F81" s="248">
        <f t="shared" si="42"/>
        <v>5.3066882722839189E-4</v>
      </c>
      <c r="G81" s="248">
        <f t="shared" si="43"/>
        <v>8.0000000000000016E-2</v>
      </c>
      <c r="H81" s="249">
        <f t="shared" si="44"/>
        <v>0.10577205018990318</v>
      </c>
      <c r="I81" s="122"/>
      <c r="J81" s="244">
        <f t="shared" si="45"/>
        <v>0.99618192750897561</v>
      </c>
      <c r="K81" s="245">
        <f t="shared" si="46"/>
        <v>0</v>
      </c>
      <c r="L81" s="245">
        <f t="shared" si="47"/>
        <v>7.8684592908898413E-4</v>
      </c>
      <c r="M81" s="245">
        <f t="shared" si="48"/>
        <v>4.1771255201292201E-7</v>
      </c>
      <c r="N81" s="245">
        <f t="shared" si="49"/>
        <v>1.8934396793016223E-3</v>
      </c>
      <c r="O81" s="245">
        <f t="shared" si="50"/>
        <v>7.6915439965506835E-5</v>
      </c>
      <c r="P81" s="245">
        <f t="shared" si="51"/>
        <v>3.5664092793955926E-5</v>
      </c>
      <c r="Q81" s="245">
        <f t="shared" si="52"/>
        <v>1.0247896373220937E-3</v>
      </c>
      <c r="R81" s="243">
        <f t="shared" si="68"/>
        <v>0.99999999999999978</v>
      </c>
      <c r="S81" s="250"/>
      <c r="T81" s="244">
        <f t="shared" si="53"/>
        <v>5.9407896208099498E-2</v>
      </c>
      <c r="U81" s="246">
        <f t="shared" si="58"/>
        <v>0.51090790738965564</v>
      </c>
      <c r="V81" s="246">
        <f t="shared" si="59"/>
        <v>2.1309062242412629E-9</v>
      </c>
      <c r="W81" s="246">
        <f t="shared" si="60"/>
        <v>7.7631026851366524E-5</v>
      </c>
      <c r="X81" s="246">
        <f t="shared" si="61"/>
        <v>1.3767863753825722E-5</v>
      </c>
      <c r="Y81" s="246">
        <f t="shared" si="62"/>
        <v>2.496486495576915E-6</v>
      </c>
      <c r="Z81" s="246">
        <f t="shared" si="54"/>
        <v>0.51100180489766256</v>
      </c>
      <c r="AA81" s="247">
        <f t="shared" si="55"/>
        <v>5.4049708554766679E-2</v>
      </c>
      <c r="AB81" s="122"/>
      <c r="AC81" s="244">
        <f t="shared" si="63"/>
        <v>6.2239170249925378E-4</v>
      </c>
      <c r="AD81" s="245">
        <f t="shared" si="64"/>
        <v>0.22661162757762743</v>
      </c>
      <c r="AE81" s="245">
        <f t="shared" si="65"/>
        <v>1.1684416260970312</v>
      </c>
      <c r="AF81" s="245">
        <f t="shared" si="66"/>
        <v>7.3615767590986592E-2</v>
      </c>
      <c r="AG81" s="245">
        <f t="shared" si="67"/>
        <v>2.2008311663150204E-2</v>
      </c>
      <c r="AH81" s="245">
        <f t="shared" si="56"/>
        <v>1.4912997246312947</v>
      </c>
      <c r="AI81" s="247">
        <f t="shared" si="57"/>
        <v>0.15773782932189009</v>
      </c>
    </row>
    <row r="82" spans="1:35">
      <c r="A82" s="122"/>
      <c r="B82" s="241">
        <v>78</v>
      </c>
      <c r="C82" s="248">
        <f>'Other parameters'!$D$30</f>
        <v>5.9392199999999992E-2</v>
      </c>
      <c r="D82" s="242">
        <f>'Other parameters'!$G$30</f>
        <v>8.6</v>
      </c>
      <c r="E82" s="234">
        <v>0</v>
      </c>
      <c r="F82" s="248">
        <f t="shared" si="42"/>
        <v>4.80169011461509E-4</v>
      </c>
      <c r="G82" s="248">
        <f t="shared" si="43"/>
        <v>8.0000000000000016E-2</v>
      </c>
      <c r="H82" s="249">
        <f t="shared" si="44"/>
        <v>0.10269131086398368</v>
      </c>
      <c r="I82" s="122"/>
      <c r="J82" s="244">
        <f t="shared" si="45"/>
        <v>0.99618192750897561</v>
      </c>
      <c r="K82" s="245">
        <f t="shared" si="46"/>
        <v>0</v>
      </c>
      <c r="L82" s="245">
        <f t="shared" si="47"/>
        <v>7.8657671532056438E-4</v>
      </c>
      <c r="M82" s="245">
        <f t="shared" si="48"/>
        <v>3.7781903194317014E-7</v>
      </c>
      <c r="N82" s="245">
        <f t="shared" si="49"/>
        <v>1.8790111533338184E-3</v>
      </c>
      <c r="O82" s="245">
        <f t="shared" si="50"/>
        <v>7.6339037148168875E-5</v>
      </c>
      <c r="P82" s="245">
        <f t="shared" si="51"/>
        <v>3.5399441124268391E-5</v>
      </c>
      <c r="Q82" s="245">
        <f t="shared" si="52"/>
        <v>1.040368325065413E-3</v>
      </c>
      <c r="R82" s="243">
        <f t="shared" si="68"/>
        <v>0.99999999999999978</v>
      </c>
      <c r="S82" s="250"/>
      <c r="T82" s="244">
        <f t="shared" si="53"/>
        <v>5.9407778687743308E-2</v>
      </c>
      <c r="U82" s="246">
        <f t="shared" si="58"/>
        <v>0.51090689671459244</v>
      </c>
      <c r="V82" s="246">
        <f t="shared" si="59"/>
        <v>1.9273946232278984E-9</v>
      </c>
      <c r="W82" s="246">
        <f t="shared" si="60"/>
        <v>7.7039457286686564E-5</v>
      </c>
      <c r="X82" s="246">
        <f t="shared" si="61"/>
        <v>1.3664687649522227E-5</v>
      </c>
      <c r="Y82" s="246">
        <f t="shared" si="62"/>
        <v>2.4779608786987878E-6</v>
      </c>
      <c r="Z82" s="246">
        <f t="shared" si="54"/>
        <v>0.5110000807478019</v>
      </c>
      <c r="AA82" s="247">
        <f t="shared" si="55"/>
        <v>5.2475268143593289E-2</v>
      </c>
      <c r="AB82" s="122"/>
      <c r="AC82" s="244">
        <f t="shared" si="63"/>
        <v>5.6295035759532347E-4</v>
      </c>
      <c r="AD82" s="245">
        <f t="shared" si="64"/>
        <v>0.22653409401232255</v>
      </c>
      <c r="AE82" s="245">
        <f t="shared" si="65"/>
        <v>1.1595377827222995</v>
      </c>
      <c r="AF82" s="245">
        <f t="shared" si="66"/>
        <v>7.3064092454512425E-2</v>
      </c>
      <c r="AG82" s="245">
        <f t="shared" si="67"/>
        <v>2.1844995117786026E-2</v>
      </c>
      <c r="AH82" s="245">
        <f t="shared" si="56"/>
        <v>1.4815439146645157</v>
      </c>
      <c r="AI82" s="247">
        <f t="shared" si="57"/>
        <v>0.1521416866994571</v>
      </c>
    </row>
    <row r="83" spans="1:35">
      <c r="A83" s="122"/>
      <c r="B83" s="241">
        <v>79</v>
      </c>
      <c r="C83" s="248">
        <f>'Other parameters'!$D$30</f>
        <v>5.9392199999999992E-2</v>
      </c>
      <c r="D83" s="242">
        <f>'Other parameters'!$G$30</f>
        <v>8.6</v>
      </c>
      <c r="E83" s="234">
        <v>0</v>
      </c>
      <c r="F83" s="248">
        <f t="shared" si="42"/>
        <v>4.3447488855171106E-4</v>
      </c>
      <c r="G83" s="248">
        <f t="shared" si="43"/>
        <v>8.0000000000000016E-2</v>
      </c>
      <c r="H83" s="249">
        <f t="shared" si="44"/>
        <v>9.9700301809692873E-2</v>
      </c>
      <c r="I83" s="122"/>
      <c r="J83" s="244">
        <f t="shared" si="45"/>
        <v>0.99618192750897561</v>
      </c>
      <c r="K83" s="245">
        <f t="shared" si="46"/>
        <v>0</v>
      </c>
      <c r="L83" s="245">
        <f t="shared" si="47"/>
        <v>7.8633320043814325E-4</v>
      </c>
      <c r="M83" s="245">
        <f t="shared" si="48"/>
        <v>3.4174783072627317E-7</v>
      </c>
      <c r="N83" s="245">
        <f t="shared" si="49"/>
        <v>1.8646669222510163E-3</v>
      </c>
      <c r="O83" s="245">
        <f t="shared" si="50"/>
        <v>7.5765035352278604E-5</v>
      </c>
      <c r="P83" s="245">
        <f t="shared" si="51"/>
        <v>3.5135617394685935E-5</v>
      </c>
      <c r="Q83" s="245">
        <f t="shared" si="52"/>
        <v>1.0558299677573258E-3</v>
      </c>
      <c r="R83" s="243">
        <f t="shared" si="68"/>
        <v>0.99999999999999978</v>
      </c>
      <c r="S83" s="250"/>
      <c r="T83" s="244">
        <f t="shared" si="53"/>
        <v>5.9407661642691907E-2</v>
      </c>
      <c r="U83" s="246">
        <f t="shared" si="58"/>
        <v>0.51090589012715037</v>
      </c>
      <c r="V83" s="246">
        <f t="shared" si="59"/>
        <v>1.7433820844173171E-9</v>
      </c>
      <c r="W83" s="246">
        <f t="shared" si="60"/>
        <v>7.6451343812291669E-5</v>
      </c>
      <c r="X83" s="246">
        <f t="shared" si="61"/>
        <v>1.356194132805787E-5</v>
      </c>
      <c r="Y83" s="246">
        <f t="shared" si="62"/>
        <v>2.4594932176280158E-6</v>
      </c>
      <c r="Z83" s="246">
        <f t="shared" si="54"/>
        <v>0.51099836464889048</v>
      </c>
      <c r="AA83" s="247">
        <f t="shared" si="55"/>
        <v>5.0946691179753874E-2</v>
      </c>
      <c r="AB83" s="122"/>
      <c r="AC83" s="244">
        <f t="shared" si="63"/>
        <v>5.0920426778214701E-4</v>
      </c>
      <c r="AD83" s="245">
        <f t="shared" si="64"/>
        <v>0.22646396172618527</v>
      </c>
      <c r="AE83" s="245">
        <f t="shared" si="65"/>
        <v>1.1506859577211022</v>
      </c>
      <c r="AF83" s="245">
        <f t="shared" si="66"/>
        <v>7.251471533566585E-2</v>
      </c>
      <c r="AG83" s="245">
        <f t="shared" si="67"/>
        <v>2.1682189494260692E-2</v>
      </c>
      <c r="AH83" s="245">
        <f t="shared" si="56"/>
        <v>1.471856028544996</v>
      </c>
      <c r="AI83" s="247">
        <f t="shared" si="57"/>
        <v>0.14674449026635203</v>
      </c>
    </row>
    <row r="84" spans="1:35">
      <c r="A84" s="122"/>
      <c r="B84" s="241">
        <v>80</v>
      </c>
      <c r="C84" s="248">
        <f>'Other parameters'!$D$31</f>
        <v>9.5447599999999994E-2</v>
      </c>
      <c r="D84" s="242">
        <f>'Other parameters'!$G$31</f>
        <v>6.2</v>
      </c>
      <c r="E84" s="234">
        <v>0</v>
      </c>
      <c r="F84" s="248">
        <f t="shared" si="42"/>
        <v>3.9312913635859134E-4</v>
      </c>
      <c r="G84" s="248">
        <f t="shared" si="43"/>
        <v>8.0000000000000016E-2</v>
      </c>
      <c r="H84" s="249">
        <f t="shared" si="44"/>
        <v>9.679640952397367E-2</v>
      </c>
      <c r="I84" s="122"/>
      <c r="J84" s="244">
        <f t="shared" si="45"/>
        <v>0.99618192750897561</v>
      </c>
      <c r="K84" s="245">
        <f t="shared" si="46"/>
        <v>0</v>
      </c>
      <c r="L84" s="245">
        <f t="shared" si="47"/>
        <v>7.8611292438215377E-4</v>
      </c>
      <c r="M84" s="245">
        <f t="shared" si="48"/>
        <v>3.0913049197833433E-7</v>
      </c>
      <c r="N84" s="245">
        <f t="shared" si="49"/>
        <v>1.850409000526549E-3</v>
      </c>
      <c r="O84" s="245">
        <f t="shared" si="50"/>
        <v>7.5193618675019794E-5</v>
      </c>
      <c r="P84" s="245">
        <f t="shared" si="51"/>
        <v>3.4872736710587724E-5</v>
      </c>
      <c r="Q84" s="245">
        <f t="shared" si="52"/>
        <v>1.0711750802378877E-3</v>
      </c>
      <c r="R84" s="243">
        <f t="shared" si="68"/>
        <v>0.99999999999999978</v>
      </c>
      <c r="S84" s="250"/>
      <c r="T84" s="244">
        <f t="shared" si="53"/>
        <v>9.546294511248056E-2</v>
      </c>
      <c r="U84" s="246">
        <f t="shared" si="58"/>
        <v>0.5918702596973795</v>
      </c>
      <c r="V84" s="246">
        <f t="shared" si="59"/>
        <v>1.5769889755168729E-9</v>
      </c>
      <c r="W84" s="246">
        <f t="shared" si="60"/>
        <v>7.586676902158851E-5</v>
      </c>
      <c r="X84" s="246">
        <f t="shared" si="61"/>
        <v>1.3459657742828543E-5</v>
      </c>
      <c r="Y84" s="246">
        <f t="shared" si="62"/>
        <v>2.4410915697411407E-6</v>
      </c>
      <c r="Z84" s="246">
        <f t="shared" si="54"/>
        <v>0.59196202879270265</v>
      </c>
      <c r="AA84" s="247">
        <f t="shared" si="55"/>
        <v>5.7299798961660736E-2</v>
      </c>
      <c r="AB84" s="122"/>
      <c r="AC84" s="244">
        <f t="shared" si="63"/>
        <v>4.6060443304771816E-4</v>
      </c>
      <c r="AD84" s="245">
        <f t="shared" si="64"/>
        <v>0.22640052222206028</v>
      </c>
      <c r="AE84" s="245">
        <f t="shared" si="65"/>
        <v>1.1418873942249335</v>
      </c>
      <c r="AF84" s="245">
        <f t="shared" si="66"/>
        <v>7.1967812433861453E-2</v>
      </c>
      <c r="AG84" s="245">
        <f t="shared" si="67"/>
        <v>2.1519965824103687E-2</v>
      </c>
      <c r="AH84" s="245">
        <f t="shared" si="56"/>
        <v>1.4622362991380065</v>
      </c>
      <c r="AI84" s="247">
        <f t="shared" si="57"/>
        <v>0.14153922363218213</v>
      </c>
    </row>
    <row r="85" spans="1:35">
      <c r="A85" s="122"/>
      <c r="B85" s="241">
        <v>81</v>
      </c>
      <c r="C85" s="248">
        <f>'Other parameters'!$D$31</f>
        <v>9.5447599999999994E-2</v>
      </c>
      <c r="D85" s="242">
        <f>'Other parameters'!$G$31</f>
        <v>6.2</v>
      </c>
      <c r="E85" s="234">
        <v>0</v>
      </c>
      <c r="F85" s="248">
        <f t="shared" si="42"/>
        <v>3.5571795269741458E-4</v>
      </c>
      <c r="G85" s="248">
        <f t="shared" si="43"/>
        <v>8.0000000000000016E-2</v>
      </c>
      <c r="H85" s="249">
        <f t="shared" si="44"/>
        <v>9.3977096625217166E-2</v>
      </c>
      <c r="I85" s="122"/>
      <c r="J85" s="244">
        <f t="shared" si="45"/>
        <v>0.99618192750897561</v>
      </c>
      <c r="K85" s="245">
        <f t="shared" si="46"/>
        <v>0</v>
      </c>
      <c r="L85" s="245">
        <f t="shared" si="47"/>
        <v>7.8591366383001804E-4</v>
      </c>
      <c r="M85" s="245">
        <f t="shared" si="48"/>
        <v>2.7963448005019721E-7</v>
      </c>
      <c r="N85" s="245">
        <f t="shared" si="49"/>
        <v>1.8362391298555477E-3</v>
      </c>
      <c r="O85" s="245">
        <f t="shared" si="50"/>
        <v>7.4624949635981432E-5</v>
      </c>
      <c r="P85" s="245">
        <f t="shared" si="51"/>
        <v>3.4610901009806243E-5</v>
      </c>
      <c r="Q85" s="245">
        <f t="shared" si="52"/>
        <v>1.086404212212773E-3</v>
      </c>
      <c r="R85" s="243">
        <f t="shared" si="68"/>
        <v>0.99999999999999967</v>
      </c>
      <c r="S85" s="250"/>
      <c r="T85" s="244">
        <f t="shared" si="53"/>
        <v>9.5462829131974875E-2</v>
      </c>
      <c r="U85" s="246">
        <f t="shared" si="58"/>
        <v>0.59186954061824426</v>
      </c>
      <c r="V85" s="246">
        <f t="shared" si="59"/>
        <v>1.4265189091875815E-9</v>
      </c>
      <c r="W85" s="246">
        <f t="shared" si="60"/>
        <v>7.5285804324077456E-5</v>
      </c>
      <c r="X85" s="246">
        <f t="shared" si="61"/>
        <v>1.3357865984840675E-5</v>
      </c>
      <c r="Y85" s="246">
        <f t="shared" si="62"/>
        <v>2.4227630706864372E-6</v>
      </c>
      <c r="Z85" s="246">
        <f t="shared" si="54"/>
        <v>0.5919606084781428</v>
      </c>
      <c r="AA85" s="247">
        <f t="shared" si="55"/>
        <v>5.5630739301272776E-2</v>
      </c>
      <c r="AB85" s="122"/>
      <c r="AC85" s="244">
        <f t="shared" si="63"/>
        <v>4.1665537527479381E-4</v>
      </c>
      <c r="AD85" s="245">
        <f t="shared" si="64"/>
        <v>0.22634313518304519</v>
      </c>
      <c r="AE85" s="245">
        <f t="shared" si="65"/>
        <v>1.1331431670338585</v>
      </c>
      <c r="AF85" s="245">
        <f t="shared" si="66"/>
        <v>7.1423539296597824E-2</v>
      </c>
      <c r="AG85" s="245">
        <f t="shared" si="67"/>
        <v>2.1358387013151434E-2</v>
      </c>
      <c r="AH85" s="245">
        <f t="shared" si="56"/>
        <v>1.452684883901928</v>
      </c>
      <c r="AI85" s="247">
        <f t="shared" si="57"/>
        <v>0.13651910770044387</v>
      </c>
    </row>
    <row r="86" spans="1:35">
      <c r="A86" s="122"/>
      <c r="B86" s="241">
        <v>82</v>
      </c>
      <c r="C86" s="248">
        <f>'Other parameters'!$D$31</f>
        <v>9.5447599999999994E-2</v>
      </c>
      <c r="D86" s="242">
        <f>'Other parameters'!$G$31</f>
        <v>6.2</v>
      </c>
      <c r="E86" s="234">
        <v>0</v>
      </c>
      <c r="F86" s="248">
        <f t="shared" si="42"/>
        <v>3.2186691386776605E-4</v>
      </c>
      <c r="G86" s="248">
        <f t="shared" si="43"/>
        <v>8.0000000000000016E-2</v>
      </c>
      <c r="H86" s="249">
        <f t="shared" si="44"/>
        <v>9.1239899636133173E-2</v>
      </c>
      <c r="I86" s="122"/>
      <c r="J86" s="244">
        <f t="shared" si="45"/>
        <v>0.99618192750897561</v>
      </c>
      <c r="K86" s="245">
        <f t="shared" si="46"/>
        <v>0</v>
      </c>
      <c r="L86" s="245">
        <f t="shared" si="47"/>
        <v>7.8573340918928754E-4</v>
      </c>
      <c r="M86" s="245">
        <f t="shared" si="48"/>
        <v>2.5295960554347683E-7</v>
      </c>
      <c r="N86" s="245">
        <f t="shared" si="49"/>
        <v>1.8221588063001013E-3</v>
      </c>
      <c r="O86" s="245">
        <f t="shared" si="50"/>
        <v>7.4059171412036939E-5</v>
      </c>
      <c r="P86" s="245">
        <f t="shared" si="51"/>
        <v>3.435020044169795E-5</v>
      </c>
      <c r="Q86" s="245">
        <f t="shared" si="52"/>
        <v>1.1015179440755094E-3</v>
      </c>
      <c r="R86" s="243">
        <f t="shared" si="68"/>
        <v>0.99999999999999989</v>
      </c>
      <c r="S86" s="250"/>
      <c r="T86" s="244">
        <f t="shared" si="53"/>
        <v>9.5462713731862728E-2</v>
      </c>
      <c r="U86" s="246">
        <f t="shared" si="58"/>
        <v>0.5918688251375489</v>
      </c>
      <c r="V86" s="246">
        <f t="shared" si="59"/>
        <v>1.2904405082793257E-9</v>
      </c>
      <c r="W86" s="246">
        <f t="shared" si="60"/>
        <v>7.4708511058304159E-5</v>
      </c>
      <c r="X86" s="246">
        <f t="shared" si="61"/>
        <v>1.3256591682754612E-5</v>
      </c>
      <c r="Y86" s="246">
        <f t="shared" si="62"/>
        <v>2.4045140309188566E-6</v>
      </c>
      <c r="Z86" s="246">
        <f t="shared" si="54"/>
        <v>0.59195919604476133</v>
      </c>
      <c r="AA86" s="247">
        <f t="shared" si="55"/>
        <v>5.4010297635810105E-2</v>
      </c>
      <c r="AB86" s="122"/>
      <c r="AC86" s="244">
        <f t="shared" si="63"/>
        <v>3.7690981225978047E-4</v>
      </c>
      <c r="AD86" s="245">
        <f t="shared" si="64"/>
        <v>0.22629122184651482</v>
      </c>
      <c r="AE86" s="245">
        <f t="shared" si="65"/>
        <v>1.1244541993677926</v>
      </c>
      <c r="AF86" s="245">
        <f t="shared" si="66"/>
        <v>7.0882032958460559E-2</v>
      </c>
      <c r="AG86" s="245">
        <f t="shared" si="67"/>
        <v>2.1197508692571806E-2</v>
      </c>
      <c r="AH86" s="245">
        <f t="shared" si="56"/>
        <v>1.4432018726775995</v>
      </c>
      <c r="AI86" s="247">
        <f t="shared" si="57"/>
        <v>0.13167759401778362</v>
      </c>
    </row>
    <row r="87" spans="1:35">
      <c r="A87" s="122"/>
      <c r="B87" s="241">
        <v>83</v>
      </c>
      <c r="C87" s="248">
        <f>'Other parameters'!$D$31</f>
        <v>9.5447599999999994E-2</v>
      </c>
      <c r="D87" s="242">
        <f>'Other parameters'!$G$31</f>
        <v>6.2</v>
      </c>
      <c r="E87" s="234">
        <v>0</v>
      </c>
      <c r="F87" s="248">
        <f t="shared" si="42"/>
        <v>2.9123722729531215E-4</v>
      </c>
      <c r="G87" s="248">
        <f t="shared" si="43"/>
        <v>8.0000000000000016E-2</v>
      </c>
      <c r="H87" s="249">
        <f t="shared" si="44"/>
        <v>8.8582426831197242E-2</v>
      </c>
      <c r="I87" s="122"/>
      <c r="J87" s="244">
        <f t="shared" si="45"/>
        <v>0.99618192750897561</v>
      </c>
      <c r="K87" s="245">
        <f t="shared" si="46"/>
        <v>0</v>
      </c>
      <c r="L87" s="245">
        <f t="shared" si="47"/>
        <v>7.8557034386724325E-4</v>
      </c>
      <c r="M87" s="245">
        <f t="shared" si="48"/>
        <v>2.2883481948558104E-7</v>
      </c>
      <c r="N87" s="245">
        <f t="shared" si="49"/>
        <v>1.8081693047401963E-3</v>
      </c>
      <c r="O87" s="245">
        <f t="shared" si="50"/>
        <v>7.3496409831861565E-5</v>
      </c>
      <c r="P87" s="245">
        <f t="shared" si="51"/>
        <v>3.4090714597501365E-5</v>
      </c>
      <c r="Q87" s="245">
        <f t="shared" si="52"/>
        <v>1.1165168831678883E-3</v>
      </c>
      <c r="R87" s="243">
        <f t="shared" si="68"/>
        <v>0.99999999999999989</v>
      </c>
      <c r="S87" s="250"/>
      <c r="T87" s="244">
        <f t="shared" si="53"/>
        <v>9.5462598939092369E-2</v>
      </c>
      <c r="U87" s="246">
        <f t="shared" si="58"/>
        <v>0.59186811342237267</v>
      </c>
      <c r="V87" s="246">
        <f t="shared" si="59"/>
        <v>1.1673710517319233E-9</v>
      </c>
      <c r="W87" s="246">
        <f t="shared" si="60"/>
        <v>7.4134941494348052E-5</v>
      </c>
      <c r="X87" s="246">
        <f t="shared" si="61"/>
        <v>1.315585735990322E-5</v>
      </c>
      <c r="Y87" s="246">
        <f t="shared" si="62"/>
        <v>2.3863500218250956E-6</v>
      </c>
      <c r="Z87" s="246">
        <f t="shared" si="54"/>
        <v>0.59195779173861984</v>
      </c>
      <c r="AA87" s="247">
        <f t="shared" si="55"/>
        <v>5.2437057773843387E-2</v>
      </c>
      <c r="AB87" s="122"/>
      <c r="AC87" s="244">
        <f t="shared" si="63"/>
        <v>3.4096388103351574E-4</v>
      </c>
      <c r="AD87" s="245">
        <f t="shared" si="64"/>
        <v>0.22624425903376605</v>
      </c>
      <c r="AE87" s="245">
        <f t="shared" si="65"/>
        <v>1.1158212779551753</v>
      </c>
      <c r="AF87" s="245">
        <f t="shared" si="66"/>
        <v>7.0343413850074712E-2</v>
      </c>
      <c r="AG87" s="245">
        <f t="shared" si="67"/>
        <v>2.1037379978118092E-2</v>
      </c>
      <c r="AH87" s="245">
        <f t="shared" si="56"/>
        <v>1.4337872946981676</v>
      </c>
      <c r="AI87" s="247">
        <f t="shared" si="57"/>
        <v>0.12700835812410066</v>
      </c>
    </row>
    <row r="88" spans="1:35">
      <c r="A88" s="122"/>
      <c r="B88" s="241">
        <v>84</v>
      </c>
      <c r="C88" s="248">
        <f>'Other parameters'!$D$31</f>
        <v>9.5447599999999994E-2</v>
      </c>
      <c r="D88" s="242">
        <f>'Other parameters'!$G$31</f>
        <v>6.2</v>
      </c>
      <c r="E88" s="234">
        <v>0</v>
      </c>
      <c r="F88" s="248">
        <f t="shared" si="42"/>
        <v>2.6352234078184223E-4</v>
      </c>
      <c r="G88" s="248">
        <f t="shared" si="43"/>
        <v>8.0000000000000016E-2</v>
      </c>
      <c r="H88" s="249">
        <f t="shared" si="44"/>
        <v>8.6002356146793454E-2</v>
      </c>
      <c r="I88" s="122"/>
      <c r="J88" s="244">
        <f t="shared" si="45"/>
        <v>0.99618192750897561</v>
      </c>
      <c r="K88" s="245">
        <f t="shared" si="46"/>
        <v>0</v>
      </c>
      <c r="L88" s="245">
        <f t="shared" si="47"/>
        <v>7.854228255844448E-4</v>
      </c>
      <c r="M88" s="245">
        <f t="shared" si="48"/>
        <v>2.0701533586469266E-7</v>
      </c>
      <c r="N88" s="245">
        <f t="shared" si="49"/>
        <v>1.794271700906358E-3</v>
      </c>
      <c r="O88" s="245">
        <f t="shared" si="50"/>
        <v>7.2936775157746118E-5</v>
      </c>
      <c r="P88" s="245">
        <f t="shared" si="51"/>
        <v>3.3832513608719334E-5</v>
      </c>
      <c r="Q88" s="245">
        <f t="shared" si="52"/>
        <v>1.1314016604310434E-3</v>
      </c>
      <c r="R88" s="243">
        <f t="shared" si="68"/>
        <v>0.99999999999999978</v>
      </c>
      <c r="S88" s="250"/>
      <c r="T88" s="244">
        <f t="shared" si="53"/>
        <v>9.5462484777263143E-2</v>
      </c>
      <c r="U88" s="246">
        <f t="shared" si="58"/>
        <v>0.59186740561903151</v>
      </c>
      <c r="V88" s="246">
        <f t="shared" si="59"/>
        <v>1.0560617955618021E-9</v>
      </c>
      <c r="W88" s="246">
        <f t="shared" si="60"/>
        <v>7.3565139737160676E-5</v>
      </c>
      <c r="X88" s="246">
        <f t="shared" si="61"/>
        <v>1.3055682753236554E-5</v>
      </c>
      <c r="Y88" s="246">
        <f t="shared" si="62"/>
        <v>2.3682759526103536E-6</v>
      </c>
      <c r="Z88" s="246">
        <f t="shared" si="54"/>
        <v>0.5919563957735362</v>
      </c>
      <c r="AA88" s="247">
        <f t="shared" si="55"/>
        <v>5.0909644772687883E-2</v>
      </c>
      <c r="AB88" s="122"/>
      <c r="AC88" s="244">
        <f t="shared" si="63"/>
        <v>3.0845285043839204E-4</v>
      </c>
      <c r="AD88" s="245">
        <f t="shared" si="64"/>
        <v>0.2262017737683201</v>
      </c>
      <c r="AE88" s="245">
        <f t="shared" si="65"/>
        <v>1.1072450666293134</v>
      </c>
      <c r="AF88" s="245">
        <f t="shared" si="66"/>
        <v>6.980778750347881E-2</v>
      </c>
      <c r="AG88" s="245">
        <f t="shared" si="67"/>
        <v>2.0878044147940703E-2</v>
      </c>
      <c r="AH88" s="245">
        <f t="shared" si="56"/>
        <v>1.4244411248994915</v>
      </c>
      <c r="AI88" s="247">
        <f t="shared" si="57"/>
        <v>0.12250529293374517</v>
      </c>
    </row>
    <row r="89" spans="1:35">
      <c r="A89" s="122"/>
      <c r="B89" s="241">
        <v>85</v>
      </c>
      <c r="C89" s="248">
        <f>'Other parameters'!$D$32</f>
        <v>0.12420580000000001</v>
      </c>
      <c r="D89" s="242">
        <f>'Other parameters'!$G$32</f>
        <v>4.5999999999999996</v>
      </c>
      <c r="E89" s="234">
        <v>0</v>
      </c>
      <c r="F89" s="248">
        <f t="shared" si="42"/>
        <v>2.3844487442783421E-4</v>
      </c>
      <c r="G89" s="248">
        <f t="shared" si="43"/>
        <v>8.0000000000000016E-2</v>
      </c>
      <c r="H89" s="249">
        <f t="shared" si="44"/>
        <v>8.3497433152226644E-2</v>
      </c>
      <c r="I89" s="122"/>
      <c r="J89" s="244">
        <f t="shared" si="45"/>
        <v>0.99618192750897561</v>
      </c>
      <c r="K89" s="245">
        <f t="shared" si="46"/>
        <v>0</v>
      </c>
      <c r="L89" s="245">
        <f t="shared" si="47"/>
        <v>7.8528936952475042E-4</v>
      </c>
      <c r="M89" s="245">
        <f t="shared" si="48"/>
        <v>1.8728004701923769E-7</v>
      </c>
      <c r="N89" s="245">
        <f t="shared" si="49"/>
        <v>1.780466891240066E-3</v>
      </c>
      <c r="O89" s="245">
        <f t="shared" si="50"/>
        <v>7.2380363678909045E-5</v>
      </c>
      <c r="P89" s="245">
        <f t="shared" si="51"/>
        <v>3.357565912829661E-5</v>
      </c>
      <c r="Q89" s="245">
        <f t="shared" si="52"/>
        <v>1.1461729274051351E-3</v>
      </c>
      <c r="R89" s="243">
        <f t="shared" si="68"/>
        <v>0.99999999999999989</v>
      </c>
      <c r="S89" s="250"/>
      <c r="T89" s="244">
        <f t="shared" si="53"/>
        <v>0.1242205712669741</v>
      </c>
      <c r="U89" s="246">
        <f t="shared" si="58"/>
        <v>0.57141462782808083</v>
      </c>
      <c r="V89" s="246">
        <f t="shared" si="59"/>
        <v>9.5538478780772767E-10</v>
      </c>
      <c r="W89" s="246">
        <f t="shared" si="60"/>
        <v>7.2999142540842706E-5</v>
      </c>
      <c r="X89" s="246">
        <f t="shared" si="61"/>
        <v>1.2956085098524718E-5</v>
      </c>
      <c r="Y89" s="246">
        <f t="shared" si="62"/>
        <v>2.3502961389807629E-6</v>
      </c>
      <c r="Z89" s="246">
        <f t="shared" si="54"/>
        <v>0.57150293430724397</v>
      </c>
      <c r="AA89" s="247">
        <f t="shared" si="55"/>
        <v>4.771902805362048E-2</v>
      </c>
      <c r="AB89" s="122"/>
      <c r="AC89" s="244">
        <f t="shared" si="63"/>
        <v>2.7904727005866417E-4</v>
      </c>
      <c r="AD89" s="245">
        <f t="shared" si="64"/>
        <v>0.22616333842312814</v>
      </c>
      <c r="AE89" s="245">
        <f t="shared" si="65"/>
        <v>1.0987261185842447</v>
      </c>
      <c r="AF89" s="245">
        <f t="shared" si="66"/>
        <v>6.9275246077083852E-2</v>
      </c>
      <c r="AG89" s="245">
        <f t="shared" si="67"/>
        <v>2.0719539248071839E-2</v>
      </c>
      <c r="AH89" s="245">
        <f t="shared" si="56"/>
        <v>1.4151632896025872</v>
      </c>
      <c r="AI89" s="247">
        <f t="shared" si="57"/>
        <v>0.11816250217307718</v>
      </c>
    </row>
    <row r="90" spans="1:35">
      <c r="A90" s="122"/>
      <c r="B90" s="241">
        <v>86</v>
      </c>
      <c r="C90" s="248">
        <f>'Other parameters'!$D$32</f>
        <v>0.12420580000000001</v>
      </c>
      <c r="D90" s="242">
        <f>'Other parameters'!$G$32</f>
        <v>4.5999999999999996</v>
      </c>
      <c r="E90" s="234">
        <v>0</v>
      </c>
      <c r="F90" s="248">
        <f t="shared" si="42"/>
        <v>2.1575384452119021E-4</v>
      </c>
      <c r="G90" s="248">
        <f t="shared" si="43"/>
        <v>8.0000000000000016E-2</v>
      </c>
      <c r="H90" s="249">
        <f t="shared" si="44"/>
        <v>8.1065469079831712E-2</v>
      </c>
      <c r="I90" s="122"/>
      <c r="J90" s="244">
        <f t="shared" si="45"/>
        <v>0.99618192750897561</v>
      </c>
      <c r="K90" s="245">
        <f t="shared" si="46"/>
        <v>0</v>
      </c>
      <c r="L90" s="245">
        <f t="shared" si="47"/>
        <v>7.8516863313643883E-4</v>
      </c>
      <c r="M90" s="245">
        <f t="shared" si="48"/>
        <v>1.6942920053658649E-7</v>
      </c>
      <c r="N90" s="245">
        <f t="shared" si="49"/>
        <v>1.766755610801678E-3</v>
      </c>
      <c r="O90" s="245">
        <f t="shared" si="50"/>
        <v>7.1827259137521705E-5</v>
      </c>
      <c r="P90" s="245">
        <f t="shared" si="51"/>
        <v>3.3320205207636703E-5</v>
      </c>
      <c r="Q90" s="245">
        <f t="shared" si="52"/>
        <v>1.1608313535403647E-3</v>
      </c>
      <c r="R90" s="243">
        <f t="shared" si="68"/>
        <v>0.99999999999999989</v>
      </c>
      <c r="S90" s="250"/>
      <c r="T90" s="244">
        <f t="shared" si="53"/>
        <v>0.12422045842613523</v>
      </c>
      <c r="U90" s="246">
        <f t="shared" si="58"/>
        <v>0.57141410876022203</v>
      </c>
      <c r="V90" s="246">
        <f t="shared" si="59"/>
        <v>8.6432101753184677E-10</v>
      </c>
      <c r="W90" s="246">
        <f t="shared" si="60"/>
        <v>7.2436980042868795E-5</v>
      </c>
      <c r="X90" s="246">
        <f t="shared" si="61"/>
        <v>1.2857079385616384E-5</v>
      </c>
      <c r="Y90" s="246">
        <f t="shared" si="62"/>
        <v>2.3324143645345696E-6</v>
      </c>
      <c r="Z90" s="246">
        <f t="shared" si="54"/>
        <v>0.5715017360983361</v>
      </c>
      <c r="AA90" s="247">
        <f t="shared" si="55"/>
        <v>4.6329056316749807E-2</v>
      </c>
      <c r="AB90" s="122"/>
      <c r="AC90" s="244">
        <f t="shared" si="63"/>
        <v>2.5244950879951388E-4</v>
      </c>
      <c r="AD90" s="245">
        <f t="shared" si="64"/>
        <v>0.22612856634329437</v>
      </c>
      <c r="AE90" s="245">
        <f t="shared" si="65"/>
        <v>1.0902648874257155</v>
      </c>
      <c r="AF90" s="245">
        <f t="shared" si="66"/>
        <v>6.8745869720522032E-2</v>
      </c>
      <c r="AG90" s="245">
        <f t="shared" si="67"/>
        <v>2.056189863363261E-2</v>
      </c>
      <c r="AH90" s="245">
        <f t="shared" si="56"/>
        <v>1.4059536716319641</v>
      </c>
      <c r="AI90" s="247">
        <f t="shared" si="57"/>
        <v>0.11397429389535685</v>
      </c>
    </row>
    <row r="91" spans="1:35">
      <c r="A91" s="122"/>
      <c r="B91" s="241">
        <v>87</v>
      </c>
      <c r="C91" s="248">
        <f>'Other parameters'!$D$32</f>
        <v>0.12420580000000001</v>
      </c>
      <c r="D91" s="242">
        <f>'Other parameters'!$G$32</f>
        <v>4.5999999999999996</v>
      </c>
      <c r="E91" s="234">
        <v>0</v>
      </c>
      <c r="F91" s="248">
        <f t="shared" si="42"/>
        <v>1.952221516078855E-4</v>
      </c>
      <c r="G91" s="248">
        <f t="shared" si="43"/>
        <v>8.0000000000000016E-2</v>
      </c>
      <c r="H91" s="249">
        <f t="shared" si="44"/>
        <v>7.8704338912457969E-2</v>
      </c>
      <c r="I91" s="122"/>
      <c r="J91" s="244">
        <f t="shared" si="45"/>
        <v>0.99618192750897561</v>
      </c>
      <c r="K91" s="245">
        <f t="shared" si="46"/>
        <v>0</v>
      </c>
      <c r="L91" s="245">
        <f t="shared" si="47"/>
        <v>7.8505940241864252E-4</v>
      </c>
      <c r="M91" s="245">
        <f t="shared" si="48"/>
        <v>1.5328230993591809E-7</v>
      </c>
      <c r="N91" s="245">
        <f t="shared" si="49"/>
        <v>1.7531384494222976E-3</v>
      </c>
      <c r="O91" s="245">
        <f t="shared" si="50"/>
        <v>7.1277534006075621E-5</v>
      </c>
      <c r="P91" s="245">
        <f t="shared" si="51"/>
        <v>3.3066199080984064E-5</v>
      </c>
      <c r="Q91" s="245">
        <f t="shared" si="52"/>
        <v>1.175377623786241E-3</v>
      </c>
      <c r="R91" s="243">
        <f t="shared" si="68"/>
        <v>0.99999999999999978</v>
      </c>
      <c r="S91" s="250"/>
      <c r="T91" s="244">
        <f t="shared" si="53"/>
        <v>0.12422034627024588</v>
      </c>
      <c r="U91" s="246">
        <f t="shared" si="58"/>
        <v>0.57141359284313098</v>
      </c>
      <c r="V91" s="246">
        <f t="shared" si="59"/>
        <v>7.8194975644021783E-10</v>
      </c>
      <c r="W91" s="246">
        <f t="shared" si="60"/>
        <v>7.1878676426314204E-5</v>
      </c>
      <c r="X91" s="246">
        <f t="shared" si="61"/>
        <v>1.2758678587087536E-5</v>
      </c>
      <c r="Y91" s="246">
        <f t="shared" si="62"/>
        <v>2.3146339356688848E-6</v>
      </c>
      <c r="Z91" s="246">
        <f t="shared" si="54"/>
        <v>0.57150054561402974</v>
      </c>
      <c r="AA91" s="247">
        <f t="shared" si="55"/>
        <v>4.4979572630661241E-2</v>
      </c>
      <c r="AB91" s="122"/>
      <c r="AC91" s="244">
        <f t="shared" si="63"/>
        <v>2.2839064180451795E-4</v>
      </c>
      <c r="AD91" s="245">
        <f t="shared" si="64"/>
        <v>0.22609710789656906</v>
      </c>
      <c r="AE91" s="245">
        <f t="shared" si="65"/>
        <v>1.0818617371384998</v>
      </c>
      <c r="AF91" s="245">
        <f t="shared" si="66"/>
        <v>6.8219727797214982E-2</v>
      </c>
      <c r="AG91" s="245">
        <f t="shared" si="67"/>
        <v>2.0405151452875265E-2</v>
      </c>
      <c r="AH91" s="245">
        <f t="shared" si="56"/>
        <v>1.3968121149269637</v>
      </c>
      <c r="AI91" s="247">
        <f t="shared" si="57"/>
        <v>0.10993517409023894</v>
      </c>
    </row>
    <row r="92" spans="1:35">
      <c r="A92" s="122"/>
      <c r="B92" s="241">
        <v>88</v>
      </c>
      <c r="C92" s="248">
        <f>'Other parameters'!$D$32</f>
        <v>0.12420580000000001</v>
      </c>
      <c r="D92" s="242">
        <f>'Other parameters'!$G$32</f>
        <v>4.5999999999999996</v>
      </c>
      <c r="E92" s="234">
        <v>0</v>
      </c>
      <c r="F92" s="248">
        <f t="shared" si="42"/>
        <v>1.7664430760430384E-4</v>
      </c>
      <c r="G92" s="248">
        <f t="shared" si="43"/>
        <v>8.0000000000000016E-2</v>
      </c>
      <c r="H92" s="249">
        <f t="shared" si="44"/>
        <v>7.6411979526658208E-2</v>
      </c>
      <c r="I92" s="122"/>
      <c r="J92" s="244">
        <f t="shared" si="45"/>
        <v>0.99618192750897561</v>
      </c>
      <c r="K92" s="245">
        <f t="shared" si="46"/>
        <v>0</v>
      </c>
      <c r="L92" s="245">
        <f t="shared" si="47"/>
        <v>7.849605795446574E-4</v>
      </c>
      <c r="M92" s="245">
        <f t="shared" si="48"/>
        <v>1.3867627456848964E-7</v>
      </c>
      <c r="N92" s="245">
        <f t="shared" si="49"/>
        <v>1.7396158662753864E-3</v>
      </c>
      <c r="O92" s="245">
        <f t="shared" si="50"/>
        <v>7.0731250632477511E-5</v>
      </c>
      <c r="P92" s="245">
        <f t="shared" si="51"/>
        <v>3.2813681867363339E-5</v>
      </c>
      <c r="Q92" s="245">
        <f t="shared" si="52"/>
        <v>1.1898124364297235E-3</v>
      </c>
      <c r="R92" s="243">
        <f t="shared" si="68"/>
        <v>0.99999999999999978</v>
      </c>
      <c r="S92" s="250"/>
      <c r="T92" s="244">
        <f t="shared" si="53"/>
        <v>0.12422023481264349</v>
      </c>
      <c r="U92" s="246">
        <f t="shared" si="58"/>
        <v>0.57141308013816006</v>
      </c>
      <c r="V92" s="246">
        <f t="shared" si="59"/>
        <v>7.0743896779870608E-10</v>
      </c>
      <c r="W92" s="246">
        <f t="shared" si="60"/>
        <v>7.1324250517290841E-5</v>
      </c>
      <c r="X92" s="246">
        <f t="shared" si="61"/>
        <v>1.2660893863213474E-5</v>
      </c>
      <c r="Y92" s="246">
        <f t="shared" si="62"/>
        <v>2.2969577307154341E-6</v>
      </c>
      <c r="Z92" s="246">
        <f t="shared" si="54"/>
        <v>0.5714993629477102</v>
      </c>
      <c r="AA92" s="247">
        <f t="shared" si="55"/>
        <v>4.3669397621058641E-2</v>
      </c>
      <c r="AB92" s="122"/>
      <c r="AC92" s="244">
        <f t="shared" si="63"/>
        <v>2.0662764910704955E-4</v>
      </c>
      <c r="AD92" s="245">
        <f t="shared" si="64"/>
        <v>0.22606864690886133</v>
      </c>
      <c r="AE92" s="245">
        <f t="shared" si="65"/>
        <v>1.0735169510785409</v>
      </c>
      <c r="AF92" s="245">
        <f t="shared" si="66"/>
        <v>6.7696879980344224E-2</v>
      </c>
      <c r="AG92" s="245">
        <f t="shared" si="67"/>
        <v>2.0249323080349917E-2</v>
      </c>
      <c r="AH92" s="245">
        <f t="shared" si="56"/>
        <v>1.3877384286972034</v>
      </c>
      <c r="AI92" s="247">
        <f t="shared" si="57"/>
        <v>0.10603984040196754</v>
      </c>
    </row>
    <row r="93" spans="1:35">
      <c r="A93" s="122"/>
      <c r="B93" s="241">
        <v>89</v>
      </c>
      <c r="C93" s="248">
        <f>'Other parameters'!$D$32</f>
        <v>0.12420580000000001</v>
      </c>
      <c r="D93" s="242">
        <f>'Other parameters'!$G$32</f>
        <v>4.5999999999999996</v>
      </c>
      <c r="E93" s="234">
        <v>0</v>
      </c>
      <c r="F93" s="248">
        <f t="shared" ref="F93:F104" si="69">IF(B93&lt;rf2age,0,(pA2_1p*EXP(-0.1*(B93-$B$28))))</f>
        <v>1.5983437920342815E-4</v>
      </c>
      <c r="G93" s="248">
        <f t="shared" si="43"/>
        <v>8.0000000000000016E-2</v>
      </c>
      <c r="H93" s="249">
        <f t="shared" si="44"/>
        <v>7.4186387889959446E-2</v>
      </c>
      <c r="I93" s="122"/>
      <c r="J93" s="244">
        <f t="shared" si="45"/>
        <v>0.99618192750897561</v>
      </c>
      <c r="K93" s="245">
        <f t="shared" si="46"/>
        <v>0</v>
      </c>
      <c r="L93" s="245">
        <f t="shared" si="47"/>
        <v>7.8487117168911456E-4</v>
      </c>
      <c r="M93" s="245">
        <f t="shared" si="48"/>
        <v>1.254636869306835E-7</v>
      </c>
      <c r="N93" s="245">
        <f t="shared" si="49"/>
        <v>1.726188203025604E-3</v>
      </c>
      <c r="O93" s="245">
        <f t="shared" si="50"/>
        <v>7.0188462267309351E-5</v>
      </c>
      <c r="P93" s="245">
        <f t="shared" si="51"/>
        <v>3.2562689199093741E-5</v>
      </c>
      <c r="Q93" s="245">
        <f t="shared" si="52"/>
        <v>1.2041365011561242E-3</v>
      </c>
      <c r="R93" s="243">
        <f t="shared" si="68"/>
        <v>0.99999999999999978</v>
      </c>
      <c r="S93" s="250"/>
      <c r="T93" s="244">
        <f t="shared" si="53"/>
        <v>0.12422012406472641</v>
      </c>
      <c r="U93" s="246">
        <f t="shared" si="58"/>
        <v>0.57141257069774143</v>
      </c>
      <c r="V93" s="246">
        <f t="shared" si="59"/>
        <v>6.4003667141077458E-10</v>
      </c>
      <c r="W93" s="246">
        <f t="shared" si="60"/>
        <v>7.0773716324049767E-5</v>
      </c>
      <c r="X93" s="246">
        <f t="shared" si="61"/>
        <v>1.2563734745848373E-5</v>
      </c>
      <c r="Y93" s="246">
        <f t="shared" si="62"/>
        <v>2.2793882439365622E-6</v>
      </c>
      <c r="Z93" s="246">
        <f t="shared" si="54"/>
        <v>0.57149818817709197</v>
      </c>
      <c r="AA93" s="247">
        <f t="shared" si="55"/>
        <v>4.2397386266514778E-2</v>
      </c>
      <c r="AB93" s="122"/>
      <c r="AC93" s="244">
        <f t="shared" si="63"/>
        <v>1.8694089352671843E-4</v>
      </c>
      <c r="AD93" s="245">
        <f t="shared" si="64"/>
        <v>0.226042897446465</v>
      </c>
      <c r="AE93" s="245">
        <f t="shared" si="65"/>
        <v>1.0652307400871002</v>
      </c>
      <c r="AF93" s="245">
        <f t="shared" si="66"/>
        <v>6.717737723604178E-2</v>
      </c>
      <c r="AG93" s="245">
        <f t="shared" si="67"/>
        <v>2.0094435504760748E-2</v>
      </c>
      <c r="AH93" s="245">
        <f t="shared" si="56"/>
        <v>1.3787323911678944</v>
      </c>
      <c r="AI93" s="247">
        <f t="shared" si="57"/>
        <v>0.10228317596763271</v>
      </c>
    </row>
    <row r="94" spans="1:35">
      <c r="A94" s="122"/>
      <c r="B94" s="241">
        <v>90</v>
      </c>
      <c r="C94" s="248">
        <f>'Other parameters'!$D$33</f>
        <v>0.15309420000000001</v>
      </c>
      <c r="D94" s="242">
        <f>'Other parameters'!$G$33</f>
        <v>3.3</v>
      </c>
      <c r="E94" s="234">
        <v>0</v>
      </c>
      <c r="F94" s="248">
        <f t="shared" si="69"/>
        <v>1.4462412699181034E-4</v>
      </c>
      <c r="G94" s="248">
        <f t="shared" si="43"/>
        <v>8.0000000000000016E-2</v>
      </c>
      <c r="H94" s="249">
        <f t="shared" si="44"/>
        <v>7.2025619310640235E-2</v>
      </c>
      <c r="I94" s="122"/>
      <c r="J94" s="244">
        <f t="shared" si="45"/>
        <v>0.99618192750897561</v>
      </c>
      <c r="K94" s="245">
        <f t="shared" si="46"/>
        <v>0</v>
      </c>
      <c r="L94" s="245">
        <f t="shared" si="47"/>
        <v>7.8479028093970992E-4</v>
      </c>
      <c r="M94" s="245">
        <f t="shared" si="48"/>
        <v>1.1351130800657748E-7</v>
      </c>
      <c r="N94" s="245">
        <f t="shared" si="49"/>
        <v>1.7128556956960764E-3</v>
      </c>
      <c r="O94" s="245">
        <f t="shared" si="50"/>
        <v>6.9649213985994746E-5</v>
      </c>
      <c r="P94" s="245">
        <f t="shared" si="51"/>
        <v>3.2313251784863928E-5</v>
      </c>
      <c r="Q94" s="245">
        <f t="shared" si="52"/>
        <v>1.2183505373095252E-3</v>
      </c>
      <c r="R94" s="243">
        <f t="shared" si="68"/>
        <v>0.99999999999999989</v>
      </c>
      <c r="S94" s="250"/>
      <c r="T94" s="244">
        <f t="shared" si="53"/>
        <v>0.15310841403615341</v>
      </c>
      <c r="U94" s="246">
        <f t="shared" si="58"/>
        <v>0.50525776631930619</v>
      </c>
      <c r="V94" s="246">
        <f t="shared" si="59"/>
        <v>5.7906316577602001E-10</v>
      </c>
      <c r="W94" s="246">
        <f t="shared" si="60"/>
        <v>7.0227083523539136E-5</v>
      </c>
      <c r="X94" s="246">
        <f t="shared" si="61"/>
        <v>1.246720930349306E-5</v>
      </c>
      <c r="Y94" s="246">
        <f t="shared" si="62"/>
        <v>2.2619276249404752E-6</v>
      </c>
      <c r="Z94" s="246">
        <f t="shared" si="54"/>
        <v>0.50534272311882134</v>
      </c>
      <c r="AA94" s="247">
        <f t="shared" si="55"/>
        <v>3.6397622596758501E-2</v>
      </c>
      <c r="AB94" s="122"/>
      <c r="AC94" s="244">
        <f t="shared" si="63"/>
        <v>1.6913184892980044E-4</v>
      </c>
      <c r="AD94" s="245">
        <f t="shared" si="64"/>
        <v>0.22601960091063644</v>
      </c>
      <c r="AE94" s="245">
        <f t="shared" si="65"/>
        <v>1.0570032498140487</v>
      </c>
      <c r="AF94" s="245">
        <f t="shared" si="66"/>
        <v>6.6661262705995566E-2</v>
      </c>
      <c r="AG94" s="245">
        <f t="shared" si="67"/>
        <v>1.9940507676439529E-2</v>
      </c>
      <c r="AH94" s="245">
        <f t="shared" si="56"/>
        <v>1.36979375295605</v>
      </c>
      <c r="AI94" s="247">
        <f t="shared" si="57"/>
        <v>9.866024338450563E-2</v>
      </c>
    </row>
    <row r="95" spans="1:35">
      <c r="A95" s="122"/>
      <c r="B95" s="241">
        <v>91</v>
      </c>
      <c r="C95" s="248">
        <f>'Other parameters'!$D$33</f>
        <v>0.15309420000000001</v>
      </c>
      <c r="D95" s="242">
        <f>'Other parameters'!$G$33</f>
        <v>3.3</v>
      </c>
      <c r="E95" s="234">
        <v>0</v>
      </c>
      <c r="F95" s="248">
        <f t="shared" si="69"/>
        <v>1.3086132165297443E-4</v>
      </c>
      <c r="G95" s="248">
        <f t="shared" si="43"/>
        <v>8.0000000000000016E-2</v>
      </c>
      <c r="H95" s="249">
        <f t="shared" si="44"/>
        <v>6.9927785738485654E-2</v>
      </c>
      <c r="I95" s="122"/>
      <c r="J95" s="244">
        <f t="shared" si="45"/>
        <v>0.99618192750897561</v>
      </c>
      <c r="K95" s="245">
        <f t="shared" si="46"/>
        <v>0</v>
      </c>
      <c r="L95" s="245">
        <f t="shared" si="47"/>
        <v>7.8471709518640746E-4</v>
      </c>
      <c r="M95" s="245">
        <f t="shared" si="48"/>
        <v>1.0269869338417955E-7</v>
      </c>
      <c r="N95" s="245">
        <f t="shared" si="49"/>
        <v>1.6996184853808011E-3</v>
      </c>
      <c r="O95" s="245">
        <f t="shared" si="50"/>
        <v>6.91135435171334E-5</v>
      </c>
      <c r="P95" s="245">
        <f t="shared" si="51"/>
        <v>3.2065395914443725E-5</v>
      </c>
      <c r="Q95" s="245">
        <f t="shared" si="52"/>
        <v>1.2324552723320069E-3</v>
      </c>
      <c r="R95" s="243">
        <f t="shared" si="68"/>
        <v>0.99999999999999989</v>
      </c>
      <c r="S95" s="250"/>
      <c r="T95" s="244">
        <f t="shared" si="53"/>
        <v>0.15310830473502249</v>
      </c>
      <c r="U95" s="246">
        <f t="shared" si="58"/>
        <v>0.5052574056255742</v>
      </c>
      <c r="V95" s="246">
        <f t="shared" si="59"/>
        <v>5.2390401940093795E-10</v>
      </c>
      <c r="W95" s="246">
        <f t="shared" si="60"/>
        <v>6.9684357900612852E-5</v>
      </c>
      <c r="X95" s="246">
        <f t="shared" si="61"/>
        <v>1.2371324289566878E-5</v>
      </c>
      <c r="Y95" s="246">
        <f t="shared" si="62"/>
        <v>2.2445777140110609E-6</v>
      </c>
      <c r="Z95" s="246">
        <f t="shared" si="54"/>
        <v>0.50534170640938247</v>
      </c>
      <c r="AA95" s="247">
        <f t="shared" si="55"/>
        <v>3.5337426570516021E-2</v>
      </c>
      <c r="AB95" s="122"/>
      <c r="AC95" s="244">
        <f t="shared" si="63"/>
        <v>1.5302105314242754E-4</v>
      </c>
      <c r="AD95" s="245">
        <f t="shared" si="64"/>
        <v>0.22599852341368534</v>
      </c>
      <c r="AE95" s="245">
        <f t="shared" si="65"/>
        <v>1.0488345673284925</v>
      </c>
      <c r="AF95" s="245">
        <f t="shared" si="66"/>
        <v>6.6148572500248373E-2</v>
      </c>
      <c r="AG95" s="245">
        <f t="shared" si="67"/>
        <v>1.9787555818803225E-2</v>
      </c>
      <c r="AH95" s="245">
        <f t="shared" si="56"/>
        <v>1.3609222401143719</v>
      </c>
      <c r="AI95" s="247">
        <f t="shared" si="57"/>
        <v>9.5166278813457725E-2</v>
      </c>
    </row>
    <row r="96" spans="1:35">
      <c r="A96" s="122"/>
      <c r="B96" s="241">
        <v>92</v>
      </c>
      <c r="C96" s="248">
        <f>'Other parameters'!$D$33</f>
        <v>0.15309420000000001</v>
      </c>
      <c r="D96" s="242">
        <f>'Other parameters'!$G$33</f>
        <v>3.3</v>
      </c>
      <c r="E96" s="234">
        <v>0</v>
      </c>
      <c r="F96" s="248">
        <f t="shared" si="69"/>
        <v>1.1840822040525054E-4</v>
      </c>
      <c r="G96" s="248">
        <f t="shared" si="43"/>
        <v>8.0000000000000016E-2</v>
      </c>
      <c r="H96" s="249">
        <f t="shared" si="44"/>
        <v>6.7891054115034627E-2</v>
      </c>
      <c r="I96" s="122"/>
      <c r="J96" s="244">
        <f t="shared" si="45"/>
        <v>0.99618192750897561</v>
      </c>
      <c r="K96" s="245">
        <f t="shared" si="46"/>
        <v>0</v>
      </c>
      <c r="L96" s="245">
        <f t="shared" si="47"/>
        <v>7.8465087989192475E-4</v>
      </c>
      <c r="M96" s="245">
        <f t="shared" si="48"/>
        <v>9.2916954762600097E-8</v>
      </c>
      <c r="N96" s="245">
        <f t="shared" si="49"/>
        <v>1.6864766279159791E-3</v>
      </c>
      <c r="O96" s="245">
        <f t="shared" si="50"/>
        <v>6.858148198697381E-5</v>
      </c>
      <c r="P96" s="245">
        <f t="shared" si="51"/>
        <v>3.181914391130809E-5</v>
      </c>
      <c r="Q96" s="245">
        <f t="shared" si="52"/>
        <v>1.2464514403632283E-3</v>
      </c>
      <c r="R96" s="243">
        <f t="shared" si="68"/>
        <v>0.99999999999999978</v>
      </c>
      <c r="S96" s="250"/>
      <c r="T96" s="244">
        <f t="shared" si="53"/>
        <v>0.15310819616803123</v>
      </c>
      <c r="U96" s="246">
        <f t="shared" si="58"/>
        <v>0.50525704735450305</v>
      </c>
      <c r="V96" s="246">
        <f t="shared" si="59"/>
        <v>4.7400375278893536E-10</v>
      </c>
      <c r="W96" s="246">
        <f t="shared" si="60"/>
        <v>6.9145541744555143E-5</v>
      </c>
      <c r="X96" s="246">
        <f t="shared" si="61"/>
        <v>1.2276085275668311E-5</v>
      </c>
      <c r="Y96" s="246">
        <f t="shared" si="62"/>
        <v>2.2273400737915665E-6</v>
      </c>
      <c r="Z96" s="246">
        <f t="shared" si="54"/>
        <v>0.50534069679560079</v>
      </c>
      <c r="AA96" s="247">
        <f t="shared" si="55"/>
        <v>3.4308112592679435E-2</v>
      </c>
      <c r="AB96" s="122"/>
      <c r="AC96" s="244">
        <f t="shared" si="63"/>
        <v>1.3844626259627415E-4</v>
      </c>
      <c r="AD96" s="245">
        <f t="shared" si="64"/>
        <v>0.22597945340887432</v>
      </c>
      <c r="AE96" s="245">
        <f t="shared" si="65"/>
        <v>1.0407247270869506</v>
      </c>
      <c r="AF96" s="245">
        <f t="shared" si="66"/>
        <v>6.5639336409732629E-2</v>
      </c>
      <c r="AG96" s="245">
        <f t="shared" si="67"/>
        <v>1.9635593707668222E-2</v>
      </c>
      <c r="AH96" s="245">
        <f t="shared" si="56"/>
        <v>1.3521175568758219</v>
      </c>
      <c r="AI96" s="247">
        <f t="shared" si="57"/>
        <v>9.1796686223744831E-2</v>
      </c>
    </row>
    <row r="97" spans="1:35">
      <c r="A97" s="122"/>
      <c r="B97" s="241">
        <v>93</v>
      </c>
      <c r="C97" s="248">
        <f>'Other parameters'!$D$33</f>
        <v>0.15309420000000001</v>
      </c>
      <c r="D97" s="242">
        <f>'Other parameters'!$G$33</f>
        <v>3.3</v>
      </c>
      <c r="E97" s="234">
        <v>0</v>
      </c>
      <c r="F97" s="248">
        <f t="shared" si="69"/>
        <v>1.0714018842571976E-4</v>
      </c>
      <c r="G97" s="248">
        <f t="shared" si="43"/>
        <v>8.0000000000000016E-2</v>
      </c>
      <c r="H97" s="249">
        <f t="shared" si="44"/>
        <v>6.5913644771878277E-2</v>
      </c>
      <c r="I97" s="122"/>
      <c r="J97" s="244">
        <f t="shared" si="45"/>
        <v>0.99618192750897561</v>
      </c>
      <c r="K97" s="245">
        <f t="shared" si="46"/>
        <v>0</v>
      </c>
      <c r="L97" s="245">
        <f t="shared" si="47"/>
        <v>7.8459097065704296E-4</v>
      </c>
      <c r="M97" s="245">
        <f t="shared" si="48"/>
        <v>8.4067643120027623E-8</v>
      </c>
      <c r="N97" s="245">
        <f t="shared" si="49"/>
        <v>1.6734301026125242E-3</v>
      </c>
      <c r="O97" s="245">
        <f t="shared" si="50"/>
        <v>6.8053054588863141E-5</v>
      </c>
      <c r="P97" s="245">
        <f t="shared" si="51"/>
        <v>3.1574514538742661E-5</v>
      </c>
      <c r="Q97" s="245">
        <f t="shared" si="52"/>
        <v>1.2603397809838838E-3</v>
      </c>
      <c r="R97" s="243">
        <f t="shared" si="68"/>
        <v>0.99999999999999978</v>
      </c>
      <c r="S97" s="250"/>
      <c r="T97" s="244">
        <f t="shared" si="53"/>
        <v>0.15310808834062067</v>
      </c>
      <c r="U97" s="246">
        <f t="shared" si="58"/>
        <v>0.50525669152404817</v>
      </c>
      <c r="V97" s="246">
        <f t="shared" si="59"/>
        <v>4.2886014106709986E-10</v>
      </c>
      <c r="W97" s="246">
        <f t="shared" si="60"/>
        <v>6.8610634207113497E-5</v>
      </c>
      <c r="X97" s="246">
        <f t="shared" si="61"/>
        <v>1.2181496771406501E-5</v>
      </c>
      <c r="Y97" s="246">
        <f t="shared" si="62"/>
        <v>2.2102160177119863E-6</v>
      </c>
      <c r="Z97" s="246">
        <f t="shared" si="54"/>
        <v>0.50533969429990466</v>
      </c>
      <c r="AA97" s="247">
        <f t="shared" si="55"/>
        <v>3.330878109921348E-2</v>
      </c>
      <c r="AB97" s="122"/>
      <c r="AC97" s="244">
        <f t="shared" si="63"/>
        <v>1.2526078824884115E-4</v>
      </c>
      <c r="AD97" s="245">
        <f t="shared" si="64"/>
        <v>0.22596219954922836</v>
      </c>
      <c r="AE97" s="245">
        <f t="shared" si="65"/>
        <v>1.0326737163221886</v>
      </c>
      <c r="AF97" s="245">
        <f t="shared" si="66"/>
        <v>6.5133578547000914E-2</v>
      </c>
      <c r="AG97" s="245">
        <f t="shared" si="67"/>
        <v>1.9484632921858095E-2</v>
      </c>
      <c r="AH97" s="245">
        <f t="shared" si="56"/>
        <v>1.3433793881285248</v>
      </c>
      <c r="AI97" s="247">
        <f t="shared" si="57"/>
        <v>8.8547031782966773E-2</v>
      </c>
    </row>
    <row r="98" spans="1:35">
      <c r="A98" s="122"/>
      <c r="B98" s="241">
        <v>94</v>
      </c>
      <c r="C98" s="248">
        <f>'Other parameters'!$D$33</f>
        <v>0.15309420000000001</v>
      </c>
      <c r="D98" s="242">
        <f>'Other parameters'!$G$33</f>
        <v>3.3</v>
      </c>
      <c r="E98" s="234">
        <v>0</v>
      </c>
      <c r="F98" s="248">
        <f t="shared" si="69"/>
        <v>9.69444514630145E-5</v>
      </c>
      <c r="G98" s="248">
        <f t="shared" si="43"/>
        <v>8.0000000000000016E-2</v>
      </c>
      <c r="H98" s="249">
        <f t="shared" si="44"/>
        <v>6.3993829875609989E-2</v>
      </c>
      <c r="I98" s="122"/>
      <c r="J98" s="244">
        <f t="shared" si="45"/>
        <v>0.99618192750897561</v>
      </c>
      <c r="K98" s="245">
        <f t="shared" si="46"/>
        <v>0</v>
      </c>
      <c r="L98" s="245">
        <f t="shared" si="47"/>
        <v>7.8453676650298094E-4</v>
      </c>
      <c r="M98" s="245">
        <f t="shared" si="48"/>
        <v>7.6061741273181132E-8</v>
      </c>
      <c r="N98" s="245">
        <f t="shared" si="49"/>
        <v>1.6604788201416993E-3</v>
      </c>
      <c r="O98" s="245">
        <f t="shared" si="50"/>
        <v>6.7528281185521733E-5</v>
      </c>
      <c r="P98" s="245">
        <f t="shared" si="51"/>
        <v>3.1331523364377649E-5</v>
      </c>
      <c r="Q98" s="245">
        <f t="shared" si="52"/>
        <v>1.2741210380883242E-3</v>
      </c>
      <c r="R98" s="243">
        <f t="shared" si="68"/>
        <v>0.99999999999999989</v>
      </c>
      <c r="S98" s="250"/>
      <c r="T98" s="244">
        <f t="shared" si="53"/>
        <v>0.15310798125710445</v>
      </c>
      <c r="U98" s="246">
        <f t="shared" si="58"/>
        <v>0.50525633814844462</v>
      </c>
      <c r="V98" s="246">
        <f t="shared" si="59"/>
        <v>3.8801907465935145E-10</v>
      </c>
      <c r="W98" s="246">
        <f t="shared" si="60"/>
        <v>6.8079631625809676E-5</v>
      </c>
      <c r="X98" s="246">
        <f t="shared" si="61"/>
        <v>1.2087562332208389E-5</v>
      </c>
      <c r="Y98" s="246">
        <f t="shared" si="62"/>
        <v>2.1932066355064356E-6</v>
      </c>
      <c r="Z98" s="246">
        <f t="shared" si="54"/>
        <v>0.50533869893705718</v>
      </c>
      <c r="AA98" s="247">
        <f t="shared" si="55"/>
        <v>3.2338558729340133E-2</v>
      </c>
      <c r="AB98" s="122"/>
      <c r="AC98" s="244">
        <f t="shared" si="63"/>
        <v>1.1333199449703988E-4</v>
      </c>
      <c r="AD98" s="245">
        <f t="shared" si="64"/>
        <v>0.2259465887528585</v>
      </c>
      <c r="AE98" s="245">
        <f t="shared" si="65"/>
        <v>1.0246814799094426</v>
      </c>
      <c r="AF98" s="245">
        <f t="shared" si="66"/>
        <v>6.4631317922662856E-2</v>
      </c>
      <c r="AG98" s="245">
        <f t="shared" si="67"/>
        <v>1.9334683068157447E-2</v>
      </c>
      <c r="AH98" s="245">
        <f t="shared" si="56"/>
        <v>1.3347074016476184</v>
      </c>
      <c r="AI98" s="247">
        <f t="shared" si="57"/>
        <v>8.5413038394755142E-2</v>
      </c>
    </row>
    <row r="99" spans="1:35">
      <c r="A99" s="122"/>
      <c r="B99" s="241">
        <v>95</v>
      </c>
      <c r="C99" s="248">
        <f>'Other parameters'!$D$34</f>
        <v>0.17422679999999999</v>
      </c>
      <c r="D99" s="242">
        <f>'Other parameters'!$G$34</f>
        <v>2.5</v>
      </c>
      <c r="E99" s="234">
        <v>0</v>
      </c>
      <c r="F99" s="248">
        <f t="shared" si="69"/>
        <v>8.7718967154706395E-5</v>
      </c>
      <c r="G99" s="248">
        <f t="shared" si="43"/>
        <v>8.0000000000000016E-2</v>
      </c>
      <c r="H99" s="249">
        <f t="shared" si="44"/>
        <v>6.212993191806794E-2</v>
      </c>
      <c r="I99" s="122"/>
      <c r="J99" s="244">
        <f t="shared" si="45"/>
        <v>0.99618192750897561</v>
      </c>
      <c r="K99" s="245">
        <f t="shared" si="46"/>
        <v>0</v>
      </c>
      <c r="L99" s="245">
        <f t="shared" si="47"/>
        <v>7.8448772380085947E-4</v>
      </c>
      <c r="M99" s="245">
        <f t="shared" si="48"/>
        <v>6.8818754852534542E-8</v>
      </c>
      <c r="N99" s="245">
        <f t="shared" si="49"/>
        <v>1.6476226296566084E-3</v>
      </c>
      <c r="O99" s="245">
        <f t="shared" si="50"/>
        <v>6.7007176851118525E-5</v>
      </c>
      <c r="P99" s="245">
        <f t="shared" si="51"/>
        <v>3.1090183087547024E-5</v>
      </c>
      <c r="Q99" s="245">
        <f t="shared" si="52"/>
        <v>1.2877959588731909E-3</v>
      </c>
      <c r="R99" s="243">
        <f t="shared" si="68"/>
        <v>0.99999999999999978</v>
      </c>
      <c r="S99" s="250"/>
      <c r="T99" s="244">
        <f t="shared" si="53"/>
        <v>0.17424047492078484</v>
      </c>
      <c r="U99" s="246">
        <f t="shared" si="58"/>
        <v>0.43560118730196212</v>
      </c>
      <c r="V99" s="246">
        <f t="shared" si="59"/>
        <v>3.5106992201484748E-10</v>
      </c>
      <c r="W99" s="246">
        <f t="shared" si="60"/>
        <v>6.7552527815920941E-5</v>
      </c>
      <c r="X99" s="246">
        <f t="shared" si="61"/>
        <v>1.1994284656350216E-5</v>
      </c>
      <c r="Y99" s="246">
        <f t="shared" si="62"/>
        <v>2.1763128161282918E-6</v>
      </c>
      <c r="Z99" s="246">
        <f t="shared" si="54"/>
        <v>0.43568291077832044</v>
      </c>
      <c r="AA99" s="247">
        <f t="shared" si="55"/>
        <v>2.7068949584522717E-2</v>
      </c>
      <c r="AB99" s="122"/>
      <c r="AC99" s="244">
        <f t="shared" si="63"/>
        <v>1.0253994473027647E-4</v>
      </c>
      <c r="AD99" s="245">
        <f t="shared" si="64"/>
        <v>0.22593246445464754</v>
      </c>
      <c r="AE99" s="245">
        <f t="shared" si="65"/>
        <v>1.0167479247610931</v>
      </c>
      <c r="AF99" s="245">
        <f t="shared" si="66"/>
        <v>6.4132568964205536E-2</v>
      </c>
      <c r="AG99" s="245">
        <f t="shared" si="67"/>
        <v>1.9185751983325269E-2</v>
      </c>
      <c r="AH99" s="245">
        <f t="shared" si="56"/>
        <v>1.3261012501080016</v>
      </c>
      <c r="AI99" s="247">
        <f t="shared" si="57"/>
        <v>8.2390580385674927E-2</v>
      </c>
    </row>
    <row r="100" spans="1:35">
      <c r="A100" s="122"/>
      <c r="B100" s="241">
        <v>96</v>
      </c>
      <c r="C100" s="248">
        <f>'Other parameters'!$D$34</f>
        <v>0.17422679999999999</v>
      </c>
      <c r="D100" s="242">
        <f>'Other parameters'!$G$34</f>
        <v>2.5</v>
      </c>
      <c r="E100" s="234">
        <v>0</v>
      </c>
      <c r="F100" s="248">
        <f t="shared" si="69"/>
        <v>7.9371403753045696E-5</v>
      </c>
      <c r="G100" s="248">
        <f t="shared" si="43"/>
        <v>8.0000000000000016E-2</v>
      </c>
      <c r="H100" s="249">
        <f t="shared" si="44"/>
        <v>6.0320322250551395E-2</v>
      </c>
      <c r="I100" s="122"/>
      <c r="J100" s="244">
        <f t="shared" si="45"/>
        <v>0.99618192750897561</v>
      </c>
      <c r="K100" s="245">
        <f t="shared" si="46"/>
        <v>0</v>
      </c>
      <c r="L100" s="245">
        <f t="shared" si="47"/>
        <v>7.8444335078525611E-4</v>
      </c>
      <c r="M100" s="245">
        <f t="shared" si="48"/>
        <v>6.2265891865105809E-8</v>
      </c>
      <c r="N100" s="245">
        <f t="shared" si="49"/>
        <v>1.6348613252240157E-3</v>
      </c>
      <c r="O100" s="245">
        <f t="shared" si="50"/>
        <v>6.6489752359357614E-5</v>
      </c>
      <c r="P100" s="245">
        <f t="shared" si="51"/>
        <v>3.0850503833384299E-5</v>
      </c>
      <c r="Q100" s="245">
        <f t="shared" si="52"/>
        <v>1.3013652929302981E-3</v>
      </c>
      <c r="R100" s="243">
        <f t="shared" si="68"/>
        <v>0.99999999999999978</v>
      </c>
      <c r="S100" s="250"/>
      <c r="T100" s="244">
        <f t="shared" si="53"/>
        <v>0.17424036933405709</v>
      </c>
      <c r="U100" s="246">
        <f t="shared" si="58"/>
        <v>0.43560092333514272</v>
      </c>
      <c r="V100" s="246">
        <f t="shared" si="59"/>
        <v>3.1764134425432061E-10</v>
      </c>
      <c r="W100" s="246">
        <f t="shared" si="60"/>
        <v>6.7029314334184642E-5</v>
      </c>
      <c r="X100" s="246">
        <f t="shared" si="61"/>
        <v>1.1901665672325013E-5</v>
      </c>
      <c r="Y100" s="246">
        <f t="shared" si="62"/>
        <v>2.1595352683369013E-6</v>
      </c>
      <c r="Z100" s="246">
        <f t="shared" si="54"/>
        <v>0.43568201416805891</v>
      </c>
      <c r="AA100" s="247">
        <f t="shared" si="55"/>
        <v>2.6280479493386612E-2</v>
      </c>
      <c r="AB100" s="122"/>
      <c r="AC100" s="244">
        <f t="shared" si="63"/>
        <v>9.2776178879007656E-5</v>
      </c>
      <c r="AD100" s="245">
        <f t="shared" si="64"/>
        <v>0.22591968502615375</v>
      </c>
      <c r="AE100" s="245">
        <f t="shared" si="65"/>
        <v>1.0088729237957401</v>
      </c>
      <c r="AF100" s="245">
        <f t="shared" si="66"/>
        <v>6.363734198314118E-2</v>
      </c>
      <c r="AG100" s="245">
        <f t="shared" si="67"/>
        <v>1.9037845915581452E-2</v>
      </c>
      <c r="AH100" s="245">
        <f t="shared" si="56"/>
        <v>1.3175605728994955</v>
      </c>
      <c r="AI100" s="247">
        <f t="shared" si="57"/>
        <v>7.9475678341918682E-2</v>
      </c>
    </row>
    <row r="101" spans="1:35">
      <c r="A101" s="122"/>
      <c r="B101" s="241">
        <v>97</v>
      </c>
      <c r="C101" s="248">
        <f>'Other parameters'!$D$34</f>
        <v>0.17422679999999999</v>
      </c>
      <c r="D101" s="242">
        <f>'Other parameters'!$G$34</f>
        <v>2.5</v>
      </c>
      <c r="E101" s="234">
        <v>0</v>
      </c>
      <c r="F101" s="248">
        <f t="shared" si="69"/>
        <v>7.1818216037795505E-5</v>
      </c>
      <c r="G101" s="248">
        <f t="shared" si="43"/>
        <v>8.0000000000000016E-2</v>
      </c>
      <c r="H101" s="249">
        <f t="shared" si="44"/>
        <v>5.8563419660729518E-2</v>
      </c>
      <c r="I101" s="122"/>
      <c r="J101" s="244">
        <f t="shared" si="45"/>
        <v>0.99618192750897561</v>
      </c>
      <c r="K101" s="245">
        <f t="shared" si="46"/>
        <v>0</v>
      </c>
      <c r="L101" s="245">
        <f t="shared" si="47"/>
        <v>7.8440320259510489E-4</v>
      </c>
      <c r="M101" s="245">
        <f t="shared" si="48"/>
        <v>5.6337322036107724E-8</v>
      </c>
      <c r="N101" s="245">
        <f t="shared" si="49"/>
        <v>1.6221946516335585E-3</v>
      </c>
      <c r="O101" s="245">
        <f t="shared" si="50"/>
        <v>6.5976014623110089E-5</v>
      </c>
      <c r="P101" s="245">
        <f t="shared" si="51"/>
        <v>3.0612493417136919E-5</v>
      </c>
      <c r="Q101" s="245">
        <f t="shared" si="52"/>
        <v>1.3148297914332304E-3</v>
      </c>
      <c r="R101" s="243">
        <f t="shared" si="68"/>
        <v>0.99999999999999989</v>
      </c>
      <c r="S101" s="250"/>
      <c r="T101" s="244">
        <f t="shared" si="53"/>
        <v>0.17424026449850291</v>
      </c>
      <c r="U101" s="246">
        <f t="shared" si="58"/>
        <v>0.43560066124625729</v>
      </c>
      <c r="V101" s="246">
        <f t="shared" si="59"/>
        <v>2.8739751679789754E-10</v>
      </c>
      <c r="W101" s="246">
        <f t="shared" si="60"/>
        <v>6.6509980716975901E-5</v>
      </c>
      <c r="X101" s="246">
        <f t="shared" si="61"/>
        <v>1.1809706617536705E-5</v>
      </c>
      <c r="Y101" s="246">
        <f t="shared" si="62"/>
        <v>2.1428745391995846E-6</v>
      </c>
      <c r="Z101" s="246">
        <f t="shared" si="54"/>
        <v>0.4356811240955285</v>
      </c>
      <c r="AA101" s="247">
        <f>Z101*H101</f>
        <v>2.551497650866481E-2</v>
      </c>
      <c r="AB101" s="122"/>
      <c r="AC101" s="244">
        <f t="shared" si="63"/>
        <v>8.3942609833800513E-5</v>
      </c>
      <c r="AD101" s="245">
        <f t="shared" si="64"/>
        <v>0.22590812234739022</v>
      </c>
      <c r="AE101" s="245">
        <f t="shared" si="65"/>
        <v>1.0010563195230691</v>
      </c>
      <c r="AF101" s="245">
        <f t="shared" si="66"/>
        <v>6.3145643595778664E-2</v>
      </c>
      <c r="AG101" s="245">
        <f t="shared" si="67"/>
        <v>1.8890969687715194E-2</v>
      </c>
      <c r="AH101" s="245">
        <f t="shared" si="56"/>
        <v>1.3090849977637868</v>
      </c>
      <c r="AI101" s="247">
        <f>AH101*H101</f>
        <v>7.6664494095605815E-2</v>
      </c>
    </row>
    <row r="102" spans="1:35">
      <c r="A102" s="122"/>
      <c r="B102" s="241">
        <v>98</v>
      </c>
      <c r="C102" s="248">
        <f>'Other parameters'!$D$34</f>
        <v>0.17422679999999999</v>
      </c>
      <c r="D102" s="242">
        <f>'Other parameters'!$G$34</f>
        <v>2.5</v>
      </c>
      <c r="E102" s="234">
        <v>0</v>
      </c>
      <c r="F102" s="248">
        <f t="shared" si="69"/>
        <v>6.4983809167587655E-5</v>
      </c>
      <c r="G102" s="248">
        <f t="shared" si="43"/>
        <v>8.0000000000000016E-2</v>
      </c>
      <c r="H102" s="249">
        <f t="shared" si="44"/>
        <v>5.6857688990999529E-2</v>
      </c>
      <c r="I102" s="122"/>
      <c r="J102" s="244">
        <f t="shared" si="45"/>
        <v>0.99618192750897561</v>
      </c>
      <c r="K102" s="245">
        <f t="shared" si="46"/>
        <v>0</v>
      </c>
      <c r="L102" s="245">
        <f t="shared" si="47"/>
        <v>7.843668767908064E-4</v>
      </c>
      <c r="M102" s="245">
        <f t="shared" si="48"/>
        <v>5.0973508027884893E-8</v>
      </c>
      <c r="N102" s="245">
        <f t="shared" si="49"/>
        <v>1.6096223096447903E-3</v>
      </c>
      <c r="O102" s="245">
        <f t="shared" si="50"/>
        <v>6.5465967090529332E-5</v>
      </c>
      <c r="P102" s="245">
        <f t="shared" si="51"/>
        <v>3.0376157581801322E-5</v>
      </c>
      <c r="Q102" s="245">
        <f t="shared" si="52"/>
        <v>1.3281902064082216E-3</v>
      </c>
      <c r="R102" s="243">
        <f t="shared" si="68"/>
        <v>0.99999999999999989</v>
      </c>
      <c r="S102" s="250"/>
      <c r="T102" s="244">
        <f t="shared" si="53"/>
        <v>0.17424016041497498</v>
      </c>
      <c r="U102" s="246">
        <f t="shared" si="58"/>
        <v>0.43560040103743747</v>
      </c>
      <c r="V102" s="246">
        <f t="shared" si="59"/>
        <v>2.6003471766553885E-10</v>
      </c>
      <c r="W102" s="246">
        <f t="shared" si="60"/>
        <v>6.5994514695436409E-5</v>
      </c>
      <c r="X102" s="246">
        <f t="shared" si="61"/>
        <v>1.1718408109204751E-5</v>
      </c>
      <c r="Y102" s="246">
        <f t="shared" si="62"/>
        <v>2.1263310307260927E-6</v>
      </c>
      <c r="Z102" s="246">
        <f t="shared" si="54"/>
        <v>0.43568024055130755</v>
      </c>
      <c r="AA102" s="247">
        <f>Z102*H102</f>
        <v>2.4771771616790107E-2</v>
      </c>
      <c r="AB102" s="122"/>
      <c r="AC102" s="244">
        <f t="shared" si="63"/>
        <v>7.5950526961548497E-5</v>
      </c>
      <c r="AD102" s="245">
        <f t="shared" si="64"/>
        <v>0.22589766051575225</v>
      </c>
      <c r="AE102" s="245">
        <f t="shared" si="65"/>
        <v>0.99329792728180011</v>
      </c>
      <c r="AF102" s="245">
        <f t="shared" si="66"/>
        <v>6.2657477102345621E-2</v>
      </c>
      <c r="AG102" s="245">
        <f t="shared" si="67"/>
        <v>1.8745126843729597E-2</v>
      </c>
      <c r="AH102" s="245">
        <f t="shared" si="56"/>
        <v>1.300674142270589</v>
      </c>
      <c r="AI102" s="247">
        <f>AH102*H102</f>
        <v>7.3953325859856228E-2</v>
      </c>
    </row>
    <row r="103" spans="1:35">
      <c r="A103" s="122"/>
      <c r="B103" s="241">
        <v>99</v>
      </c>
      <c r="C103" s="248">
        <f>'Other parameters'!$D$34</f>
        <v>0.17422679999999999</v>
      </c>
      <c r="D103" s="242">
        <f>'Other parameters'!$G$34</f>
        <v>2.5</v>
      </c>
      <c r="E103" s="234">
        <v>0</v>
      </c>
      <c r="F103" s="248">
        <f t="shared" si="69"/>
        <v>5.8799782101341559E-5</v>
      </c>
      <c r="G103" s="248">
        <f t="shared" si="43"/>
        <v>8.0000000000000016E-2</v>
      </c>
      <c r="H103" s="249">
        <f t="shared" si="44"/>
        <v>5.5201639797086935E-2</v>
      </c>
      <c r="I103" s="122"/>
      <c r="J103" s="244">
        <f t="shared" si="45"/>
        <v>0.99618192750897561</v>
      </c>
      <c r="K103" s="245">
        <f t="shared" si="46"/>
        <v>0</v>
      </c>
      <c r="L103" s="245">
        <f t="shared" si="47"/>
        <v>7.8433400930145091E-4</v>
      </c>
      <c r="M103" s="245">
        <f t="shared" si="48"/>
        <v>4.6120601442809239E-8</v>
      </c>
      <c r="N103" s="245">
        <f t="shared" si="49"/>
        <v>1.5971439607265195E-3</v>
      </c>
      <c r="O103" s="245">
        <f t="shared" si="50"/>
        <v>6.4959610102060221E-5</v>
      </c>
      <c r="P103" s="245">
        <f t="shared" si="51"/>
        <v>3.0141500211844379E-5</v>
      </c>
      <c r="Q103" s="245">
        <f t="shared" si="52"/>
        <v>1.3414472900808592E-3</v>
      </c>
      <c r="R103" s="243">
        <f t="shared" si="68"/>
        <v>0.99999999999999989</v>
      </c>
      <c r="S103" s="250"/>
      <c r="T103" s="244">
        <f t="shared" si="53"/>
        <v>0.17424005708367263</v>
      </c>
      <c r="U103" s="246">
        <f t="shared" si="58"/>
        <v>0.43560014270918157</v>
      </c>
      <c r="V103" s="246">
        <f t="shared" si="59"/>
        <v>2.3527824626441316E-10</v>
      </c>
      <c r="W103" s="246">
        <f t="shared" si="60"/>
        <v>6.5482902389787305E-5</v>
      </c>
      <c r="X103" s="246">
        <f t="shared" si="61"/>
        <v>1.162777020826878E-5</v>
      </c>
      <c r="Y103" s="246">
        <f t="shared" si="62"/>
        <v>2.1099050148291069E-6</v>
      </c>
      <c r="Z103" s="246">
        <f t="shared" si="54"/>
        <v>0.43567936352207265</v>
      </c>
      <c r="AA103" s="247">
        <f>Z103*H103</f>
        <v>2.4050215292169552E-2</v>
      </c>
      <c r="AB103" s="122"/>
      <c r="AC103" s="244">
        <f t="shared" si="63"/>
        <v>6.871969614978577E-5</v>
      </c>
      <c r="AD103" s="245">
        <f t="shared" si="64"/>
        <v>0.22588819467881788</v>
      </c>
      <c r="AE103" s="245">
        <f t="shared" si="65"/>
        <v>0.98559753816433515</v>
      </c>
      <c r="AF103" s="245">
        <f t="shared" si="66"/>
        <v>6.2172842828681837E-2</v>
      </c>
      <c r="AG103" s="245">
        <f t="shared" si="67"/>
        <v>1.8600319780729166E-2</v>
      </c>
      <c r="AH103" s="245">
        <f t="shared" si="56"/>
        <v>1.292327615148714</v>
      </c>
      <c r="AI103" s="247">
        <f>AH103*H103</f>
        <v>7.1338603511267695E-2</v>
      </c>
    </row>
    <row r="104" spans="1:35">
      <c r="A104" s="122"/>
      <c r="B104" s="235">
        <v>100</v>
      </c>
      <c r="C104" s="251">
        <f>'Other parameters'!$D$35</f>
        <v>1</v>
      </c>
      <c r="D104" s="252">
        <f>'Other parameters'!$G$35</f>
        <v>1.9</v>
      </c>
      <c r="E104" s="236">
        <v>0</v>
      </c>
      <c r="F104" s="251">
        <f t="shared" si="69"/>
        <v>5.320424301765489E-5</v>
      </c>
      <c r="G104" s="251">
        <f t="shared" si="43"/>
        <v>8.0000000000000016E-2</v>
      </c>
      <c r="H104" s="253">
        <f t="shared" si="44"/>
        <v>5.3593825045715457E-2</v>
      </c>
      <c r="I104" s="122"/>
      <c r="J104" s="254">
        <f t="shared" si="45"/>
        <v>0.99618192750897561</v>
      </c>
      <c r="K104" s="255">
        <f t="shared" si="46"/>
        <v>0</v>
      </c>
      <c r="L104" s="255">
        <f t="shared" si="47"/>
        <v>7.8430427076058809E-4</v>
      </c>
      <c r="M104" s="255">
        <f t="shared" si="48"/>
        <v>4.1729897237885988E-8</v>
      </c>
      <c r="N104" s="255">
        <f t="shared" si="49"/>
        <v>1.5847592313375629E-3</v>
      </c>
      <c r="O104" s="255">
        <f t="shared" si="50"/>
        <v>6.4456941212285689E-5</v>
      </c>
      <c r="P104" s="255">
        <f t="shared" si="51"/>
        <v>2.9908523525478728E-5</v>
      </c>
      <c r="Q104" s="255">
        <f t="shared" si="52"/>
        <v>1.3546017942910236E-3</v>
      </c>
      <c r="R104" s="237">
        <f t="shared" si="68"/>
        <v>0.99999999999999978</v>
      </c>
      <c r="S104" s="250"/>
      <c r="T104" s="254">
        <v>1</v>
      </c>
      <c r="U104" s="255">
        <f t="shared" si="58"/>
        <v>1.9</v>
      </c>
      <c r="V104" s="255">
        <f t="shared" si="59"/>
        <v>2.1287964015601018E-10</v>
      </c>
      <c r="W104" s="255">
        <f t="shared" si="60"/>
        <v>6.4975128484840084E-5</v>
      </c>
      <c r="X104" s="255">
        <f t="shared" si="61"/>
        <v>1.1537792476999138E-5</v>
      </c>
      <c r="Y104" s="255">
        <f t="shared" si="62"/>
        <v>2.0935966467835111E-6</v>
      </c>
      <c r="Z104" s="255">
        <f t="shared" si="54"/>
        <v>1.9000786067304882</v>
      </c>
      <c r="AA104" s="256">
        <f>Z104*H104</f>
        <v>0.10183248042222057</v>
      </c>
      <c r="AB104" s="122"/>
      <c r="AC104" s="254">
        <f t="shared" si="63"/>
        <v>6.2177546884450118E-5</v>
      </c>
      <c r="AD104" s="255">
        <f t="shared" si="64"/>
        <v>0.22587962997904937</v>
      </c>
      <c r="AE104" s="255">
        <f t="shared" si="65"/>
        <v>0.97795492165841003</v>
      </c>
      <c r="AF104" s="255">
        <f t="shared" si="66"/>
        <v>6.1691738434278637E-2</v>
      </c>
      <c r="AG104" s="255">
        <f t="shared" si="67"/>
        <v>1.8456549867572922E-2</v>
      </c>
      <c r="AH104" s="255">
        <f t="shared" si="56"/>
        <v>1.2840450174861953</v>
      </c>
      <c r="AI104" s="256">
        <f>AH104*H104</f>
        <v>6.8816884017977795E-2</v>
      </c>
    </row>
    <row r="105" spans="1:35">
      <c r="A105" s="122"/>
      <c r="B105" s="122"/>
      <c r="C105" s="122"/>
      <c r="D105" s="122"/>
      <c r="E105" s="122"/>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c r="AC105" s="234"/>
      <c r="AD105" s="234"/>
      <c r="AE105" s="234"/>
      <c r="AF105" s="234"/>
      <c r="AG105" s="234"/>
      <c r="AH105" s="234"/>
      <c r="AI105" s="234"/>
    </row>
    <row r="106" spans="1:35">
      <c r="A106" s="122"/>
      <c r="B106" s="122"/>
      <c r="C106" s="122"/>
      <c r="D106" s="122"/>
      <c r="E106" s="122"/>
      <c r="F106" s="122"/>
      <c r="G106" s="122"/>
      <c r="H106" s="122"/>
      <c r="I106" s="122"/>
      <c r="J106" s="122"/>
      <c r="K106" s="122"/>
      <c r="L106" s="122"/>
      <c r="M106" s="122"/>
      <c r="N106" s="122"/>
      <c r="O106" s="122"/>
      <c r="P106" s="122"/>
      <c r="Q106" s="122"/>
      <c r="R106" s="122"/>
      <c r="S106" s="122"/>
      <c r="T106" s="122"/>
      <c r="U106" s="122"/>
      <c r="V106" s="122"/>
      <c r="W106" s="122"/>
      <c r="X106" s="122"/>
      <c r="Y106" s="122"/>
      <c r="Z106" s="238" t="s">
        <v>57</v>
      </c>
      <c r="AA106" s="240" t="s">
        <v>58</v>
      </c>
      <c r="AB106" s="122"/>
      <c r="AC106" s="234"/>
      <c r="AD106" s="234"/>
      <c r="AE106" s="234"/>
      <c r="AF106" s="234"/>
      <c r="AG106" s="234"/>
      <c r="AH106" s="238" t="s">
        <v>61</v>
      </c>
      <c r="AI106" s="240" t="s">
        <v>62</v>
      </c>
    </row>
    <row r="107" spans="1:35">
      <c r="A107" s="122"/>
      <c r="B107" s="122"/>
      <c r="C107" s="122"/>
      <c r="D107" s="122"/>
      <c r="E107" s="122"/>
      <c r="F107" s="122"/>
      <c r="G107" s="122"/>
      <c r="H107" s="122"/>
      <c r="I107" s="122"/>
      <c r="J107" s="122"/>
      <c r="K107" s="122"/>
      <c r="L107" s="122"/>
      <c r="M107" s="122"/>
      <c r="N107" s="122"/>
      <c r="O107" s="122"/>
      <c r="P107" s="122"/>
      <c r="Q107" s="122"/>
      <c r="R107" s="122"/>
      <c r="S107" s="122"/>
      <c r="T107" s="122"/>
      <c r="U107" s="122"/>
      <c r="V107" s="122"/>
      <c r="W107" s="122"/>
      <c r="X107" s="122"/>
      <c r="Y107" s="122"/>
      <c r="Z107" s="254">
        <f>SUM(Z12:Z104)</f>
        <v>28.447254455527407</v>
      </c>
      <c r="AA107" s="256">
        <f>SUM(AA12:AA104)</f>
        <v>5.0512158552797617</v>
      </c>
      <c r="AB107" s="122"/>
      <c r="AC107" s="234"/>
      <c r="AD107" s="234"/>
      <c r="AE107" s="234"/>
      <c r="AF107" s="234"/>
      <c r="AG107" s="234"/>
      <c r="AH107" s="257">
        <f>SUM(AH12:AH104)</f>
        <v>143.81448733516203</v>
      </c>
      <c r="AI107" s="258">
        <f>SUM(AI12:AI104)</f>
        <v>38.479640723127034</v>
      </c>
    </row>
  </sheetData>
  <mergeCells count="4">
    <mergeCell ref="B2:H2"/>
    <mergeCell ref="J2:R2"/>
    <mergeCell ref="T2:AA2"/>
    <mergeCell ref="AC2:AI2"/>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AI107"/>
  <sheetViews>
    <sheetView workbookViewId="0">
      <selection sqref="A1:XFD1048576"/>
    </sheetView>
  </sheetViews>
  <sheetFormatPr baseColWidth="10" defaultColWidth="11" defaultRowHeight="15" x14ac:dyDescent="0"/>
  <cols>
    <col min="1" max="1" width="11" style="35" customWidth="1"/>
    <col min="2" max="35" width="14.6640625" style="35" customWidth="1"/>
    <col min="36" max="16384" width="11" style="35"/>
  </cols>
  <sheetData>
    <row r="1" spans="1:35">
      <c r="A1" s="122"/>
      <c r="B1" s="122"/>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234"/>
      <c r="AD1" s="234"/>
      <c r="AE1" s="234"/>
      <c r="AF1" s="234"/>
      <c r="AG1" s="234"/>
      <c r="AH1" s="234"/>
      <c r="AI1" s="234"/>
    </row>
    <row r="2" spans="1:35">
      <c r="A2" s="122"/>
      <c r="B2" s="284" t="s">
        <v>152</v>
      </c>
      <c r="C2" s="285"/>
      <c r="D2" s="285"/>
      <c r="E2" s="285"/>
      <c r="F2" s="285"/>
      <c r="G2" s="285"/>
      <c r="H2" s="286"/>
      <c r="I2" s="122"/>
      <c r="J2" s="284" t="s">
        <v>153</v>
      </c>
      <c r="K2" s="285"/>
      <c r="L2" s="285"/>
      <c r="M2" s="285"/>
      <c r="N2" s="285"/>
      <c r="O2" s="285"/>
      <c r="P2" s="285"/>
      <c r="Q2" s="285"/>
      <c r="R2" s="286"/>
      <c r="S2" s="122"/>
      <c r="T2" s="284" t="s">
        <v>59</v>
      </c>
      <c r="U2" s="285"/>
      <c r="V2" s="285"/>
      <c r="W2" s="285"/>
      <c r="X2" s="285"/>
      <c r="Y2" s="285"/>
      <c r="Z2" s="285"/>
      <c r="AA2" s="287"/>
      <c r="AB2" s="122"/>
      <c r="AC2" s="284" t="s">
        <v>60</v>
      </c>
      <c r="AD2" s="285"/>
      <c r="AE2" s="285"/>
      <c r="AF2" s="285"/>
      <c r="AG2" s="285"/>
      <c r="AH2" s="285"/>
      <c r="AI2" s="286"/>
    </row>
    <row r="3" spans="1:35">
      <c r="A3" s="122"/>
      <c r="B3" s="235" t="s">
        <v>340</v>
      </c>
      <c r="C3" s="236" t="s">
        <v>339</v>
      </c>
      <c r="D3" s="236" t="s">
        <v>338</v>
      </c>
      <c r="E3" s="236" t="s">
        <v>341</v>
      </c>
      <c r="F3" s="236" t="s">
        <v>342</v>
      </c>
      <c r="G3" s="236" t="s">
        <v>343</v>
      </c>
      <c r="H3" s="237" t="s">
        <v>7</v>
      </c>
      <c r="I3" s="122"/>
      <c r="J3" s="235" t="s">
        <v>1</v>
      </c>
      <c r="K3" s="236" t="s">
        <v>344</v>
      </c>
      <c r="L3" s="236" t="s">
        <v>346</v>
      </c>
      <c r="M3" s="236" t="s">
        <v>345</v>
      </c>
      <c r="N3" s="236" t="s">
        <v>347</v>
      </c>
      <c r="O3" s="236" t="s">
        <v>348</v>
      </c>
      <c r="P3" s="236" t="s">
        <v>74</v>
      </c>
      <c r="Q3" s="236" t="s">
        <v>349</v>
      </c>
      <c r="R3" s="237" t="s">
        <v>53</v>
      </c>
      <c r="S3" s="122"/>
      <c r="T3" s="238" t="s">
        <v>304</v>
      </c>
      <c r="U3" s="239" t="s">
        <v>350</v>
      </c>
      <c r="V3" s="239" t="s">
        <v>155</v>
      </c>
      <c r="W3" s="239" t="s">
        <v>75</v>
      </c>
      <c r="X3" s="239" t="s">
        <v>76</v>
      </c>
      <c r="Y3" s="239" t="s">
        <v>351</v>
      </c>
      <c r="Z3" s="239" t="s">
        <v>352</v>
      </c>
      <c r="AA3" s="240" t="s">
        <v>353</v>
      </c>
      <c r="AB3" s="122"/>
      <c r="AC3" s="235" t="s">
        <v>2</v>
      </c>
      <c r="AD3" s="236" t="s">
        <v>78</v>
      </c>
      <c r="AE3" s="236" t="s">
        <v>3</v>
      </c>
      <c r="AF3" s="236" t="s">
        <v>4</v>
      </c>
      <c r="AG3" s="236" t="s">
        <v>77</v>
      </c>
      <c r="AH3" s="236" t="s">
        <v>5</v>
      </c>
      <c r="AI3" s="237" t="s">
        <v>6</v>
      </c>
    </row>
    <row r="4" spans="1:35">
      <c r="A4" s="122"/>
      <c r="B4" s="241">
        <v>0</v>
      </c>
      <c r="C4" s="242">
        <v>0</v>
      </c>
      <c r="D4" s="242">
        <v>0</v>
      </c>
      <c r="E4" s="234">
        <v>0</v>
      </c>
      <c r="F4" s="234">
        <v>0</v>
      </c>
      <c r="G4" s="234">
        <v>0</v>
      </c>
      <c r="H4" s="243">
        <v>0</v>
      </c>
      <c r="I4" s="122"/>
      <c r="J4" s="244">
        <v>0</v>
      </c>
      <c r="K4" s="245">
        <v>0</v>
      </c>
      <c r="L4" s="245">
        <v>1</v>
      </c>
      <c r="M4" s="245">
        <v>0</v>
      </c>
      <c r="N4" s="245">
        <v>0</v>
      </c>
      <c r="O4" s="245">
        <v>0</v>
      </c>
      <c r="P4" s="245">
        <v>0</v>
      </c>
      <c r="Q4" s="245">
        <v>0</v>
      </c>
      <c r="R4" s="243">
        <f>SUM(J4:Q4)</f>
        <v>1</v>
      </c>
      <c r="S4" s="122"/>
      <c r="T4" s="241"/>
      <c r="U4" s="246"/>
      <c r="V4" s="246"/>
      <c r="W4" s="246"/>
      <c r="X4" s="246"/>
      <c r="Y4" s="246"/>
      <c r="Z4" s="246"/>
      <c r="AA4" s="247"/>
      <c r="AB4" s="122"/>
      <c r="AC4" s="244"/>
      <c r="AD4" s="245"/>
      <c r="AE4" s="245"/>
      <c r="AF4" s="245"/>
      <c r="AG4" s="245"/>
      <c r="AH4" s="245"/>
      <c r="AI4" s="247"/>
    </row>
    <row r="5" spans="1:35">
      <c r="A5" s="122"/>
      <c r="B5" s="241">
        <v>1</v>
      </c>
      <c r="C5" s="248">
        <f>'Other parameters'!$D$15</f>
        <v>3.0620000000000001E-3</v>
      </c>
      <c r="D5" s="242">
        <f>'Other parameters'!$G$15</f>
        <v>68.400000000000006</v>
      </c>
      <c r="E5" s="248">
        <f t="shared" ref="E5:E19" si="0">IF(B5&lt;rf1age,0,pA1_2a)</f>
        <v>0</v>
      </c>
      <c r="F5" s="248">
        <f t="shared" ref="F5:F28" si="1">IF(B5&lt;rf2age,0,pA2_2a)</f>
        <v>0</v>
      </c>
      <c r="G5" s="248">
        <f t="shared" ref="G5:G36" si="2">IF(B5&lt;rhdage,0,pVS_2a)</f>
        <v>0</v>
      </c>
      <c r="H5" s="249">
        <f t="shared" ref="H5:H36" si="3">1/(1+disc)^($B5-1)</f>
        <v>1</v>
      </c>
      <c r="I5" s="122"/>
      <c r="J5" s="244">
        <v>0</v>
      </c>
      <c r="K5" s="245">
        <v>0</v>
      </c>
      <c r="L5" s="245">
        <f t="shared" ref="L5:L36" si="4">IF(B5&lt;rf2age,1,(K4*cpARF1_Remission)+(L4*(1-F5))+(M4*cpARF2_Remission))</f>
        <v>1</v>
      </c>
      <c r="M5" s="245">
        <f t="shared" ref="M5:M36" si="5">IF(B5&lt;rf2age,0,L4*F5)</f>
        <v>0</v>
      </c>
      <c r="N5" s="245">
        <f t="shared" ref="N5:N36" si="6">IF(B5&lt;rf2age,0,(K4*pARF1_RHDMild)+(M4*pARF2_RHDMild)+(N4*cpRHDMild_RHDMild)+(O4*G5))</f>
        <v>0</v>
      </c>
      <c r="O5" s="245">
        <f t="shared" ref="O5:O36" si="7">IF(B5&lt;rf2age,0,(N4*pRHDMild_RHDSevere)+(O4*(1-(G5+pRHDSevere_Death))))</f>
        <v>0</v>
      </c>
      <c r="P5" s="245">
        <f t="shared" ref="P5:P36" si="8">IF(B5&lt;rf2age,0,(N4*pRHDMild_Stroke)+(P4*(1-pStroke_Death)))</f>
        <v>0</v>
      </c>
      <c r="Q5" s="245">
        <f t="shared" ref="Q5:Q36" si="9">IF(B5&lt;rf2age,0,(K4*pARF1_Death)+(M4*pARF2_Death)+(O4*pRHDSevere_Death)+(P4*pStroke_Death)+Q4)</f>
        <v>0</v>
      </c>
      <c r="R5" s="243">
        <f t="shared" ref="R5:R11" si="10">SUM(J5:Q5)</f>
        <v>1</v>
      </c>
      <c r="S5" s="122"/>
      <c r="T5" s="244">
        <f t="shared" ref="T5:T68" si="11">((K4*pARF1_Death)+(M4*pARF2_Death)+(O4*pRHDSevere_Death)+(P4*pStroke_Death))+C5</f>
        <v>3.0620000000000001E-3</v>
      </c>
      <c r="U5" s="246">
        <f>$D5*T5*0.5</f>
        <v>0.10472040000000001</v>
      </c>
      <c r="V5" s="246">
        <f>($K5+$M5)*wAR*0.5</f>
        <v>0</v>
      </c>
      <c r="W5" s="246">
        <f>$N5*wRM*0.5</f>
        <v>0</v>
      </c>
      <c r="X5" s="246">
        <f>$O5*wRH*0.5</f>
        <v>0</v>
      </c>
      <c r="Y5" s="246">
        <f>$P5*wRS*0.5</f>
        <v>0</v>
      </c>
      <c r="Z5" s="246">
        <f t="shared" ref="Z5:Z68" si="12">SUM(U5:Y5)</f>
        <v>0.10472040000000001</v>
      </c>
      <c r="AA5" s="247">
        <f t="shared" ref="AA5:AA68" si="13">Z5*H5</f>
        <v>0.10472040000000001</v>
      </c>
      <c r="AB5" s="122"/>
      <c r="AC5" s="244">
        <f>($K5+$M5)*cARF*0.5</f>
        <v>0</v>
      </c>
      <c r="AD5" s="245">
        <f>$L5*cRFR*0.5</f>
        <v>144</v>
      </c>
      <c r="AE5" s="245">
        <f>$N5*cRM*0.5</f>
        <v>0</v>
      </c>
      <c r="AF5" s="245">
        <f>$O5*cRH*0.5</f>
        <v>0</v>
      </c>
      <c r="AG5" s="245">
        <f>$P5*cRS*0.5</f>
        <v>0</v>
      </c>
      <c r="AH5" s="245">
        <f t="shared" ref="AH5:AH68" si="14">SUM(AC5:AG5)</f>
        <v>144</v>
      </c>
      <c r="AI5" s="247">
        <f t="shared" ref="AI5:AI36" si="15">AH5*H5</f>
        <v>144</v>
      </c>
    </row>
    <row r="6" spans="1:35">
      <c r="A6" s="122"/>
      <c r="B6" s="241">
        <v>2</v>
      </c>
      <c r="C6" s="248">
        <f>'Other parameters'!$D$15</f>
        <v>3.0620000000000001E-3</v>
      </c>
      <c r="D6" s="242">
        <f>'Other parameters'!$G$15</f>
        <v>68.400000000000006</v>
      </c>
      <c r="E6" s="248">
        <f t="shared" si="0"/>
        <v>0</v>
      </c>
      <c r="F6" s="248">
        <f t="shared" si="1"/>
        <v>0</v>
      </c>
      <c r="G6" s="248">
        <f t="shared" si="2"/>
        <v>0</v>
      </c>
      <c r="H6" s="249">
        <f t="shared" si="3"/>
        <v>0.970873786407767</v>
      </c>
      <c r="I6" s="122"/>
      <c r="J6" s="244">
        <v>0</v>
      </c>
      <c r="K6" s="245">
        <v>0</v>
      </c>
      <c r="L6" s="245">
        <f t="shared" si="4"/>
        <v>1</v>
      </c>
      <c r="M6" s="245">
        <f t="shared" si="5"/>
        <v>0</v>
      </c>
      <c r="N6" s="245">
        <f t="shared" si="6"/>
        <v>0</v>
      </c>
      <c r="O6" s="245">
        <f t="shared" si="7"/>
        <v>0</v>
      </c>
      <c r="P6" s="245">
        <f t="shared" si="8"/>
        <v>0</v>
      </c>
      <c r="Q6" s="245">
        <f t="shared" si="9"/>
        <v>0</v>
      </c>
      <c r="R6" s="243">
        <f t="shared" si="10"/>
        <v>1</v>
      </c>
      <c r="S6" s="122"/>
      <c r="T6" s="244">
        <f t="shared" si="11"/>
        <v>3.0620000000000001E-3</v>
      </c>
      <c r="U6" s="246">
        <f t="shared" ref="U6:U69" si="16">$D6*T6</f>
        <v>0.20944080000000001</v>
      </c>
      <c r="V6" s="246">
        <f t="shared" ref="V6:V69" si="17">($K6+$M6)*wAR</f>
        <v>0</v>
      </c>
      <c r="W6" s="246">
        <f t="shared" ref="W6:W69" si="18">$N6*wRM</f>
        <v>0</v>
      </c>
      <c r="X6" s="246">
        <f t="shared" ref="X6:X69" si="19">$O6*wRH</f>
        <v>0</v>
      </c>
      <c r="Y6" s="246">
        <f t="shared" ref="Y6:Y69" si="20">$P6*wRS</f>
        <v>0</v>
      </c>
      <c r="Z6" s="246">
        <f t="shared" si="12"/>
        <v>0.20944080000000001</v>
      </c>
      <c r="AA6" s="247">
        <f t="shared" si="13"/>
        <v>0.20334058252427187</v>
      </c>
      <c r="AB6" s="122"/>
      <c r="AC6" s="244">
        <f t="shared" ref="AC6:AC69" si="21">($K6+$M6)*cARF</f>
        <v>0</v>
      </c>
      <c r="AD6" s="245">
        <f t="shared" ref="AD6:AD69" si="22">$L6*cRFR</f>
        <v>288</v>
      </c>
      <c r="AE6" s="245">
        <f t="shared" ref="AE6:AE69" si="23">$N6*cRM</f>
        <v>0</v>
      </c>
      <c r="AF6" s="245">
        <f t="shared" ref="AF6:AF69" si="24">$O6*cRH</f>
        <v>0</v>
      </c>
      <c r="AG6" s="245">
        <f t="shared" ref="AG6:AG69" si="25">$P6*cRS</f>
        <v>0</v>
      </c>
      <c r="AH6" s="245">
        <f t="shared" si="14"/>
        <v>288</v>
      </c>
      <c r="AI6" s="247">
        <f t="shared" si="15"/>
        <v>279.61165048543688</v>
      </c>
    </row>
    <row r="7" spans="1:35">
      <c r="A7" s="122"/>
      <c r="B7" s="241">
        <v>3</v>
      </c>
      <c r="C7" s="248">
        <f>'Other parameters'!$D$15</f>
        <v>3.0620000000000001E-3</v>
      </c>
      <c r="D7" s="242">
        <f>'Other parameters'!$G$15</f>
        <v>68.400000000000006</v>
      </c>
      <c r="E7" s="248">
        <f t="shared" si="0"/>
        <v>0</v>
      </c>
      <c r="F7" s="248">
        <f t="shared" si="1"/>
        <v>0</v>
      </c>
      <c r="G7" s="248">
        <f t="shared" si="2"/>
        <v>0</v>
      </c>
      <c r="H7" s="249">
        <f t="shared" si="3"/>
        <v>0.94259590913375435</v>
      </c>
      <c r="I7" s="122"/>
      <c r="J7" s="244">
        <v>0</v>
      </c>
      <c r="K7" s="245">
        <v>0</v>
      </c>
      <c r="L7" s="245">
        <f t="shared" si="4"/>
        <v>1</v>
      </c>
      <c r="M7" s="245">
        <f t="shared" si="5"/>
        <v>0</v>
      </c>
      <c r="N7" s="245">
        <f t="shared" si="6"/>
        <v>0</v>
      </c>
      <c r="O7" s="245">
        <f t="shared" si="7"/>
        <v>0</v>
      </c>
      <c r="P7" s="245">
        <f t="shared" si="8"/>
        <v>0</v>
      </c>
      <c r="Q7" s="245">
        <f t="shared" si="9"/>
        <v>0</v>
      </c>
      <c r="R7" s="243">
        <f t="shared" si="10"/>
        <v>1</v>
      </c>
      <c r="S7" s="122"/>
      <c r="T7" s="244">
        <f t="shared" si="11"/>
        <v>3.0620000000000001E-3</v>
      </c>
      <c r="U7" s="246">
        <f t="shared" si="16"/>
        <v>0.20944080000000001</v>
      </c>
      <c r="V7" s="246">
        <f t="shared" si="17"/>
        <v>0</v>
      </c>
      <c r="W7" s="246">
        <f t="shared" si="18"/>
        <v>0</v>
      </c>
      <c r="X7" s="246">
        <f t="shared" si="19"/>
        <v>0</v>
      </c>
      <c r="Y7" s="246">
        <f t="shared" si="20"/>
        <v>0</v>
      </c>
      <c r="Z7" s="246">
        <f t="shared" si="12"/>
        <v>0.20944080000000001</v>
      </c>
      <c r="AA7" s="247">
        <f t="shared" si="13"/>
        <v>0.19741804128570084</v>
      </c>
      <c r="AB7" s="122"/>
      <c r="AC7" s="244">
        <f t="shared" si="21"/>
        <v>0</v>
      </c>
      <c r="AD7" s="245">
        <f t="shared" si="22"/>
        <v>288</v>
      </c>
      <c r="AE7" s="245">
        <f t="shared" si="23"/>
        <v>0</v>
      </c>
      <c r="AF7" s="245">
        <f t="shared" si="24"/>
        <v>0</v>
      </c>
      <c r="AG7" s="245">
        <f t="shared" si="25"/>
        <v>0</v>
      </c>
      <c r="AH7" s="245">
        <f t="shared" si="14"/>
        <v>288</v>
      </c>
      <c r="AI7" s="247">
        <f t="shared" si="15"/>
        <v>271.46762183052124</v>
      </c>
    </row>
    <row r="8" spans="1:35">
      <c r="A8" s="122"/>
      <c r="B8" s="241">
        <v>4</v>
      </c>
      <c r="C8" s="248">
        <f>'Other parameters'!$D$15</f>
        <v>3.0620000000000001E-3</v>
      </c>
      <c r="D8" s="242">
        <f>'Other parameters'!$G$15</f>
        <v>68.400000000000006</v>
      </c>
      <c r="E8" s="248">
        <f t="shared" si="0"/>
        <v>0</v>
      </c>
      <c r="F8" s="248">
        <f t="shared" si="1"/>
        <v>0</v>
      </c>
      <c r="G8" s="248">
        <f t="shared" si="2"/>
        <v>0</v>
      </c>
      <c r="H8" s="249">
        <f t="shared" si="3"/>
        <v>0.91514165935315961</v>
      </c>
      <c r="I8" s="122"/>
      <c r="J8" s="244">
        <v>0</v>
      </c>
      <c r="K8" s="245">
        <v>0</v>
      </c>
      <c r="L8" s="245">
        <f t="shared" si="4"/>
        <v>1</v>
      </c>
      <c r="M8" s="245">
        <f t="shared" si="5"/>
        <v>0</v>
      </c>
      <c r="N8" s="245">
        <f t="shared" si="6"/>
        <v>0</v>
      </c>
      <c r="O8" s="245">
        <f t="shared" si="7"/>
        <v>0</v>
      </c>
      <c r="P8" s="245">
        <f t="shared" si="8"/>
        <v>0</v>
      </c>
      <c r="Q8" s="245">
        <f t="shared" si="9"/>
        <v>0</v>
      </c>
      <c r="R8" s="243">
        <f t="shared" si="10"/>
        <v>1</v>
      </c>
      <c r="S8" s="122"/>
      <c r="T8" s="244">
        <f t="shared" si="11"/>
        <v>3.0620000000000001E-3</v>
      </c>
      <c r="U8" s="246">
        <f t="shared" si="16"/>
        <v>0.20944080000000001</v>
      </c>
      <c r="V8" s="246">
        <f t="shared" si="17"/>
        <v>0</v>
      </c>
      <c r="W8" s="246">
        <f t="shared" si="18"/>
        <v>0</v>
      </c>
      <c r="X8" s="246">
        <f t="shared" si="19"/>
        <v>0</v>
      </c>
      <c r="Y8" s="246">
        <f t="shared" si="20"/>
        <v>0</v>
      </c>
      <c r="Z8" s="246">
        <f t="shared" si="12"/>
        <v>0.20944080000000001</v>
      </c>
      <c r="AA8" s="247">
        <f t="shared" si="13"/>
        <v>0.19166800124825323</v>
      </c>
      <c r="AB8" s="122"/>
      <c r="AC8" s="244">
        <f t="shared" si="21"/>
        <v>0</v>
      </c>
      <c r="AD8" s="245">
        <f t="shared" si="22"/>
        <v>288</v>
      </c>
      <c r="AE8" s="245">
        <f t="shared" si="23"/>
        <v>0</v>
      </c>
      <c r="AF8" s="245">
        <f t="shared" si="24"/>
        <v>0</v>
      </c>
      <c r="AG8" s="245">
        <f t="shared" si="25"/>
        <v>0</v>
      </c>
      <c r="AH8" s="245">
        <f t="shared" si="14"/>
        <v>288</v>
      </c>
      <c r="AI8" s="247">
        <f t="shared" si="15"/>
        <v>263.56079789370995</v>
      </c>
    </row>
    <row r="9" spans="1:35">
      <c r="A9" s="122"/>
      <c r="B9" s="241">
        <v>5</v>
      </c>
      <c r="C9" s="248">
        <f>'Other parameters'!$D$16</f>
        <v>2.2790000000000002E-3</v>
      </c>
      <c r="D9" s="242">
        <f>'Other parameters'!$G$16</f>
        <v>65.5</v>
      </c>
      <c r="E9" s="248">
        <f t="shared" si="0"/>
        <v>0</v>
      </c>
      <c r="F9" s="248">
        <f t="shared" si="1"/>
        <v>0</v>
      </c>
      <c r="G9" s="248">
        <f t="shared" si="2"/>
        <v>0</v>
      </c>
      <c r="H9" s="249">
        <f t="shared" si="3"/>
        <v>0.888487047915689</v>
      </c>
      <c r="I9" s="122"/>
      <c r="J9" s="244">
        <v>0</v>
      </c>
      <c r="K9" s="245">
        <v>0</v>
      </c>
      <c r="L9" s="245">
        <f t="shared" si="4"/>
        <v>1</v>
      </c>
      <c r="M9" s="245">
        <f t="shared" si="5"/>
        <v>0</v>
      </c>
      <c r="N9" s="245">
        <f t="shared" si="6"/>
        <v>0</v>
      </c>
      <c r="O9" s="245">
        <f t="shared" si="7"/>
        <v>0</v>
      </c>
      <c r="P9" s="245">
        <f t="shared" si="8"/>
        <v>0</v>
      </c>
      <c r="Q9" s="245">
        <f t="shared" si="9"/>
        <v>0</v>
      </c>
      <c r="R9" s="243">
        <f t="shared" si="10"/>
        <v>1</v>
      </c>
      <c r="S9" s="122"/>
      <c r="T9" s="244">
        <f t="shared" si="11"/>
        <v>2.2790000000000002E-3</v>
      </c>
      <c r="U9" s="246">
        <f t="shared" si="16"/>
        <v>0.1492745</v>
      </c>
      <c r="V9" s="246">
        <f t="shared" si="17"/>
        <v>0</v>
      </c>
      <c r="W9" s="246">
        <f t="shared" si="18"/>
        <v>0</v>
      </c>
      <c r="X9" s="246">
        <f t="shared" si="19"/>
        <v>0</v>
      </c>
      <c r="Y9" s="246">
        <f t="shared" si="20"/>
        <v>0</v>
      </c>
      <c r="Z9" s="246">
        <f t="shared" si="12"/>
        <v>0.1492745</v>
      </c>
      <c r="AA9" s="247">
        <f t="shared" si="13"/>
        <v>0.13262845983409052</v>
      </c>
      <c r="AB9" s="122"/>
      <c r="AC9" s="244">
        <f t="shared" si="21"/>
        <v>0</v>
      </c>
      <c r="AD9" s="245">
        <f t="shared" si="22"/>
        <v>288</v>
      </c>
      <c r="AE9" s="245">
        <f t="shared" si="23"/>
        <v>0</v>
      </c>
      <c r="AF9" s="245">
        <f t="shared" si="24"/>
        <v>0</v>
      </c>
      <c r="AG9" s="245">
        <f t="shared" si="25"/>
        <v>0</v>
      </c>
      <c r="AH9" s="245">
        <f t="shared" si="14"/>
        <v>288</v>
      </c>
      <c r="AI9" s="247">
        <f t="shared" si="15"/>
        <v>255.88426979971842</v>
      </c>
    </row>
    <row r="10" spans="1:35">
      <c r="A10" s="122"/>
      <c r="B10" s="241">
        <v>6</v>
      </c>
      <c r="C10" s="248">
        <f>'Other parameters'!$D$16</f>
        <v>2.2790000000000002E-3</v>
      </c>
      <c r="D10" s="242">
        <f>'Other parameters'!$G$16</f>
        <v>65.5</v>
      </c>
      <c r="E10" s="248">
        <f t="shared" si="0"/>
        <v>0</v>
      </c>
      <c r="F10" s="248">
        <f t="shared" si="1"/>
        <v>0</v>
      </c>
      <c r="G10" s="248">
        <f t="shared" si="2"/>
        <v>0</v>
      </c>
      <c r="H10" s="249">
        <f t="shared" si="3"/>
        <v>0.86260878438416411</v>
      </c>
      <c r="I10" s="122"/>
      <c r="J10" s="244">
        <v>0</v>
      </c>
      <c r="K10" s="245">
        <v>0</v>
      </c>
      <c r="L10" s="245">
        <f t="shared" si="4"/>
        <v>1</v>
      </c>
      <c r="M10" s="245">
        <f t="shared" si="5"/>
        <v>0</v>
      </c>
      <c r="N10" s="245">
        <f t="shared" si="6"/>
        <v>0</v>
      </c>
      <c r="O10" s="245">
        <f t="shared" si="7"/>
        <v>0</v>
      </c>
      <c r="P10" s="245">
        <f t="shared" si="8"/>
        <v>0</v>
      </c>
      <c r="Q10" s="245">
        <f t="shared" si="9"/>
        <v>0</v>
      </c>
      <c r="R10" s="243">
        <f t="shared" si="10"/>
        <v>1</v>
      </c>
      <c r="S10" s="122"/>
      <c r="T10" s="244">
        <f t="shared" si="11"/>
        <v>2.2790000000000002E-3</v>
      </c>
      <c r="U10" s="246">
        <f t="shared" si="16"/>
        <v>0.1492745</v>
      </c>
      <c r="V10" s="246">
        <f t="shared" si="17"/>
        <v>0</v>
      </c>
      <c r="W10" s="246">
        <f t="shared" si="18"/>
        <v>0</v>
      </c>
      <c r="X10" s="246">
        <f t="shared" si="19"/>
        <v>0</v>
      </c>
      <c r="Y10" s="246">
        <f t="shared" si="20"/>
        <v>0</v>
      </c>
      <c r="Z10" s="246">
        <f t="shared" si="12"/>
        <v>0.1492745</v>
      </c>
      <c r="AA10" s="247">
        <f t="shared" si="13"/>
        <v>0.12876549498455392</v>
      </c>
      <c r="AB10" s="122"/>
      <c r="AC10" s="244">
        <f t="shared" si="21"/>
        <v>0</v>
      </c>
      <c r="AD10" s="245">
        <f t="shared" si="22"/>
        <v>288</v>
      </c>
      <c r="AE10" s="245">
        <f t="shared" si="23"/>
        <v>0</v>
      </c>
      <c r="AF10" s="245">
        <f t="shared" si="24"/>
        <v>0</v>
      </c>
      <c r="AG10" s="245">
        <f t="shared" si="25"/>
        <v>0</v>
      </c>
      <c r="AH10" s="245">
        <f t="shared" si="14"/>
        <v>288</v>
      </c>
      <c r="AI10" s="247">
        <f t="shared" si="15"/>
        <v>248.43132990263928</v>
      </c>
    </row>
    <row r="11" spans="1:35">
      <c r="A11" s="122"/>
      <c r="B11" s="241">
        <v>7</v>
      </c>
      <c r="C11" s="248">
        <f>'Other parameters'!$D$16</f>
        <v>2.2790000000000002E-3</v>
      </c>
      <c r="D11" s="242">
        <f>'Other parameters'!$G$16</f>
        <v>65.5</v>
      </c>
      <c r="E11" s="248">
        <f t="shared" si="0"/>
        <v>0</v>
      </c>
      <c r="F11" s="248">
        <f t="shared" si="1"/>
        <v>0</v>
      </c>
      <c r="G11" s="248">
        <f t="shared" si="2"/>
        <v>0</v>
      </c>
      <c r="H11" s="249">
        <f t="shared" si="3"/>
        <v>0.83748425668365445</v>
      </c>
      <c r="I11" s="122"/>
      <c r="J11" s="244">
        <v>0</v>
      </c>
      <c r="K11" s="245">
        <v>0</v>
      </c>
      <c r="L11" s="245">
        <f t="shared" si="4"/>
        <v>1</v>
      </c>
      <c r="M11" s="245">
        <f t="shared" si="5"/>
        <v>0</v>
      </c>
      <c r="N11" s="245">
        <f t="shared" si="6"/>
        <v>0</v>
      </c>
      <c r="O11" s="245">
        <f t="shared" si="7"/>
        <v>0</v>
      </c>
      <c r="P11" s="245">
        <f t="shared" si="8"/>
        <v>0</v>
      </c>
      <c r="Q11" s="245">
        <f t="shared" si="9"/>
        <v>0</v>
      </c>
      <c r="R11" s="243">
        <f t="shared" si="10"/>
        <v>1</v>
      </c>
      <c r="S11" s="122"/>
      <c r="T11" s="244">
        <f t="shared" si="11"/>
        <v>2.2790000000000002E-3</v>
      </c>
      <c r="U11" s="246">
        <f t="shared" si="16"/>
        <v>0.1492745</v>
      </c>
      <c r="V11" s="246">
        <f t="shared" si="17"/>
        <v>0</v>
      </c>
      <c r="W11" s="246">
        <f t="shared" si="18"/>
        <v>0</v>
      </c>
      <c r="X11" s="246">
        <f t="shared" si="19"/>
        <v>0</v>
      </c>
      <c r="Y11" s="246">
        <f t="shared" si="20"/>
        <v>0</v>
      </c>
      <c r="Z11" s="246">
        <f t="shared" si="12"/>
        <v>0.1492745</v>
      </c>
      <c r="AA11" s="247">
        <f t="shared" si="13"/>
        <v>0.12501504367432417</v>
      </c>
      <c r="AB11" s="122"/>
      <c r="AC11" s="244">
        <f t="shared" si="21"/>
        <v>0</v>
      </c>
      <c r="AD11" s="245">
        <f t="shared" si="22"/>
        <v>288</v>
      </c>
      <c r="AE11" s="245">
        <f t="shared" si="23"/>
        <v>0</v>
      </c>
      <c r="AF11" s="245">
        <f t="shared" si="24"/>
        <v>0</v>
      </c>
      <c r="AG11" s="245">
        <f t="shared" si="25"/>
        <v>0</v>
      </c>
      <c r="AH11" s="245">
        <f t="shared" si="14"/>
        <v>288</v>
      </c>
      <c r="AI11" s="247">
        <f t="shared" si="15"/>
        <v>241.19546592489249</v>
      </c>
    </row>
    <row r="12" spans="1:35">
      <c r="A12" s="122"/>
      <c r="B12" s="241">
        <v>8</v>
      </c>
      <c r="C12" s="248">
        <f>'Other parameters'!$D$16</f>
        <v>2.2790000000000002E-3</v>
      </c>
      <c r="D12" s="242">
        <f>'Other parameters'!$G$16</f>
        <v>65.5</v>
      </c>
      <c r="E12" s="248">
        <f t="shared" si="0"/>
        <v>4.194E-4</v>
      </c>
      <c r="F12" s="248">
        <f t="shared" si="1"/>
        <v>0</v>
      </c>
      <c r="G12" s="248">
        <f t="shared" si="2"/>
        <v>0</v>
      </c>
      <c r="H12" s="249">
        <f t="shared" si="3"/>
        <v>0.81309151134335378</v>
      </c>
      <c r="I12" s="122"/>
      <c r="J12" s="244">
        <v>0</v>
      </c>
      <c r="K12" s="245">
        <v>0</v>
      </c>
      <c r="L12" s="245">
        <f t="shared" si="4"/>
        <v>1</v>
      </c>
      <c r="M12" s="245">
        <f t="shared" si="5"/>
        <v>0</v>
      </c>
      <c r="N12" s="245">
        <f t="shared" si="6"/>
        <v>0</v>
      </c>
      <c r="O12" s="245">
        <f t="shared" si="7"/>
        <v>0</v>
      </c>
      <c r="P12" s="245">
        <f t="shared" si="8"/>
        <v>0</v>
      </c>
      <c r="Q12" s="245">
        <f t="shared" si="9"/>
        <v>0</v>
      </c>
      <c r="R12" s="243">
        <f>SUM(J12:Q12)</f>
        <v>1</v>
      </c>
      <c r="S12" s="122"/>
      <c r="T12" s="244">
        <f t="shared" si="11"/>
        <v>2.2790000000000002E-3</v>
      </c>
      <c r="U12" s="246">
        <f t="shared" si="16"/>
        <v>0.1492745</v>
      </c>
      <c r="V12" s="246">
        <f t="shared" si="17"/>
        <v>0</v>
      </c>
      <c r="W12" s="246">
        <f t="shared" si="18"/>
        <v>0</v>
      </c>
      <c r="X12" s="246">
        <f t="shared" si="19"/>
        <v>0</v>
      </c>
      <c r="Y12" s="246">
        <f t="shared" si="20"/>
        <v>0</v>
      </c>
      <c r="Z12" s="246">
        <f t="shared" si="12"/>
        <v>0.1492745</v>
      </c>
      <c r="AA12" s="247">
        <f t="shared" si="13"/>
        <v>0.12137382881002347</v>
      </c>
      <c r="AB12" s="122"/>
      <c r="AC12" s="244">
        <f t="shared" si="21"/>
        <v>0</v>
      </c>
      <c r="AD12" s="245">
        <f t="shared" si="22"/>
        <v>288</v>
      </c>
      <c r="AE12" s="245">
        <f t="shared" si="23"/>
        <v>0</v>
      </c>
      <c r="AF12" s="245">
        <f t="shared" si="24"/>
        <v>0</v>
      </c>
      <c r="AG12" s="245">
        <f t="shared" si="25"/>
        <v>0</v>
      </c>
      <c r="AH12" s="245">
        <f t="shared" si="14"/>
        <v>288</v>
      </c>
      <c r="AI12" s="247">
        <f t="shared" si="15"/>
        <v>234.17035526688588</v>
      </c>
    </row>
    <row r="13" spans="1:35">
      <c r="A13" s="122"/>
      <c r="B13" s="241">
        <v>9</v>
      </c>
      <c r="C13" s="248">
        <f>'Other parameters'!$D$16</f>
        <v>2.2790000000000002E-3</v>
      </c>
      <c r="D13" s="242">
        <f>'Other parameters'!$G$16</f>
        <v>65.5</v>
      </c>
      <c r="E13" s="248">
        <f t="shared" si="0"/>
        <v>4.194E-4</v>
      </c>
      <c r="F13" s="248">
        <f t="shared" si="1"/>
        <v>0</v>
      </c>
      <c r="G13" s="248">
        <f t="shared" si="2"/>
        <v>0</v>
      </c>
      <c r="H13" s="249">
        <f t="shared" si="3"/>
        <v>0.78940923431393573</v>
      </c>
      <c r="I13" s="122"/>
      <c r="J13" s="244">
        <v>0</v>
      </c>
      <c r="K13" s="245">
        <v>0</v>
      </c>
      <c r="L13" s="245">
        <f t="shared" si="4"/>
        <v>1</v>
      </c>
      <c r="M13" s="245">
        <f t="shared" si="5"/>
        <v>0</v>
      </c>
      <c r="N13" s="245">
        <f t="shared" si="6"/>
        <v>0</v>
      </c>
      <c r="O13" s="245">
        <f t="shared" si="7"/>
        <v>0</v>
      </c>
      <c r="P13" s="245">
        <f t="shared" si="8"/>
        <v>0</v>
      </c>
      <c r="Q13" s="245">
        <f t="shared" si="9"/>
        <v>0</v>
      </c>
      <c r="R13" s="243">
        <f t="shared" ref="R13:R76" si="26">SUM(J13:Q13)</f>
        <v>1</v>
      </c>
      <c r="S13" s="122"/>
      <c r="T13" s="244">
        <f t="shared" si="11"/>
        <v>2.2790000000000002E-3</v>
      </c>
      <c r="U13" s="246">
        <f t="shared" si="16"/>
        <v>0.1492745</v>
      </c>
      <c r="V13" s="246">
        <f t="shared" si="17"/>
        <v>0</v>
      </c>
      <c r="W13" s="246">
        <f t="shared" si="18"/>
        <v>0</v>
      </c>
      <c r="X13" s="246">
        <f t="shared" si="19"/>
        <v>0</v>
      </c>
      <c r="Y13" s="246">
        <f t="shared" si="20"/>
        <v>0</v>
      </c>
      <c r="Z13" s="246">
        <f t="shared" si="12"/>
        <v>0.1492745</v>
      </c>
      <c r="AA13" s="247">
        <f t="shared" si="13"/>
        <v>0.1178386687475956</v>
      </c>
      <c r="AB13" s="122"/>
      <c r="AC13" s="244">
        <f t="shared" si="21"/>
        <v>0</v>
      </c>
      <c r="AD13" s="245">
        <f t="shared" si="22"/>
        <v>288</v>
      </c>
      <c r="AE13" s="245">
        <f t="shared" si="23"/>
        <v>0</v>
      </c>
      <c r="AF13" s="245">
        <f t="shared" si="24"/>
        <v>0</v>
      </c>
      <c r="AG13" s="245">
        <f t="shared" si="25"/>
        <v>0</v>
      </c>
      <c r="AH13" s="245">
        <f t="shared" si="14"/>
        <v>288</v>
      </c>
      <c r="AI13" s="247">
        <f t="shared" si="15"/>
        <v>227.34985948241348</v>
      </c>
    </row>
    <row r="14" spans="1:35">
      <c r="A14" s="122"/>
      <c r="B14" s="241">
        <v>10</v>
      </c>
      <c r="C14" s="248">
        <f>'Other parameters'!$D$17</f>
        <v>1.7776000000000001E-3</v>
      </c>
      <c r="D14" s="242">
        <f>'Other parameters'!$G$17</f>
        <v>61.2</v>
      </c>
      <c r="E14" s="248">
        <f t="shared" si="0"/>
        <v>4.194E-4</v>
      </c>
      <c r="F14" s="248">
        <f t="shared" si="1"/>
        <v>0</v>
      </c>
      <c r="G14" s="248">
        <f t="shared" si="2"/>
        <v>0</v>
      </c>
      <c r="H14" s="249">
        <f t="shared" si="3"/>
        <v>0.76641673234362695</v>
      </c>
      <c r="I14" s="122"/>
      <c r="J14" s="244">
        <v>0</v>
      </c>
      <c r="K14" s="245">
        <v>0</v>
      </c>
      <c r="L14" s="245">
        <f t="shared" si="4"/>
        <v>1</v>
      </c>
      <c r="M14" s="245">
        <f t="shared" si="5"/>
        <v>0</v>
      </c>
      <c r="N14" s="245">
        <f t="shared" si="6"/>
        <v>0</v>
      </c>
      <c r="O14" s="245">
        <f t="shared" si="7"/>
        <v>0</v>
      </c>
      <c r="P14" s="245">
        <f t="shared" si="8"/>
        <v>0</v>
      </c>
      <c r="Q14" s="245">
        <f t="shared" si="9"/>
        <v>0</v>
      </c>
      <c r="R14" s="243">
        <f t="shared" si="26"/>
        <v>1</v>
      </c>
      <c r="S14" s="122"/>
      <c r="T14" s="244">
        <f t="shared" si="11"/>
        <v>1.7776000000000001E-3</v>
      </c>
      <c r="U14" s="246">
        <f t="shared" si="16"/>
        <v>0.10878912</v>
      </c>
      <c r="V14" s="246">
        <f t="shared" si="17"/>
        <v>0</v>
      </c>
      <c r="W14" s="246">
        <f t="shared" si="18"/>
        <v>0</v>
      </c>
      <c r="X14" s="246">
        <f t="shared" si="19"/>
        <v>0</v>
      </c>
      <c r="Y14" s="246">
        <f t="shared" si="20"/>
        <v>0</v>
      </c>
      <c r="Z14" s="246">
        <f t="shared" si="12"/>
        <v>0.10878912</v>
      </c>
      <c r="AA14" s="247">
        <f t="shared" si="13"/>
        <v>8.3377801864938719E-2</v>
      </c>
      <c r="AB14" s="122"/>
      <c r="AC14" s="244">
        <f t="shared" si="21"/>
        <v>0</v>
      </c>
      <c r="AD14" s="245">
        <f t="shared" si="22"/>
        <v>288</v>
      </c>
      <c r="AE14" s="245">
        <f t="shared" si="23"/>
        <v>0</v>
      </c>
      <c r="AF14" s="245">
        <f t="shared" si="24"/>
        <v>0</v>
      </c>
      <c r="AG14" s="245">
        <f t="shared" si="25"/>
        <v>0</v>
      </c>
      <c r="AH14" s="245">
        <f t="shared" si="14"/>
        <v>288</v>
      </c>
      <c r="AI14" s="247">
        <f t="shared" si="15"/>
        <v>220.72801891496457</v>
      </c>
    </row>
    <row r="15" spans="1:35">
      <c r="A15" s="122"/>
      <c r="B15" s="241">
        <v>11</v>
      </c>
      <c r="C15" s="248">
        <f>'Other parameters'!$D$17</f>
        <v>1.7776000000000001E-3</v>
      </c>
      <c r="D15" s="242">
        <f>'Other parameters'!$G$17</f>
        <v>61.2</v>
      </c>
      <c r="E15" s="248">
        <f t="shared" si="0"/>
        <v>4.194E-4</v>
      </c>
      <c r="F15" s="248">
        <f t="shared" si="1"/>
        <v>0</v>
      </c>
      <c r="G15" s="248">
        <f t="shared" si="2"/>
        <v>0</v>
      </c>
      <c r="H15" s="249">
        <f t="shared" si="3"/>
        <v>0.74409391489672516</v>
      </c>
      <c r="I15" s="122"/>
      <c r="J15" s="244">
        <v>0</v>
      </c>
      <c r="K15" s="245">
        <v>0</v>
      </c>
      <c r="L15" s="245">
        <f t="shared" si="4"/>
        <v>1</v>
      </c>
      <c r="M15" s="245">
        <f t="shared" si="5"/>
        <v>0</v>
      </c>
      <c r="N15" s="245">
        <f t="shared" si="6"/>
        <v>0</v>
      </c>
      <c r="O15" s="245">
        <f t="shared" si="7"/>
        <v>0</v>
      </c>
      <c r="P15" s="245">
        <f t="shared" si="8"/>
        <v>0</v>
      </c>
      <c r="Q15" s="245">
        <f t="shared" si="9"/>
        <v>0</v>
      </c>
      <c r="R15" s="243">
        <f t="shared" si="26"/>
        <v>1</v>
      </c>
      <c r="S15" s="122"/>
      <c r="T15" s="244">
        <f t="shared" si="11"/>
        <v>1.7776000000000001E-3</v>
      </c>
      <c r="U15" s="246">
        <f t="shared" si="16"/>
        <v>0.10878912</v>
      </c>
      <c r="V15" s="246">
        <f t="shared" si="17"/>
        <v>0</v>
      </c>
      <c r="W15" s="246">
        <f t="shared" si="18"/>
        <v>0</v>
      </c>
      <c r="X15" s="246">
        <f t="shared" si="19"/>
        <v>0</v>
      </c>
      <c r="Y15" s="246">
        <f t="shared" si="20"/>
        <v>0</v>
      </c>
      <c r="Z15" s="246">
        <f t="shared" si="12"/>
        <v>0.10878912</v>
      </c>
      <c r="AA15" s="247">
        <f t="shared" si="13"/>
        <v>8.0949322198969623E-2</v>
      </c>
      <c r="AB15" s="122"/>
      <c r="AC15" s="244">
        <f t="shared" si="21"/>
        <v>0</v>
      </c>
      <c r="AD15" s="245">
        <f t="shared" si="22"/>
        <v>288</v>
      </c>
      <c r="AE15" s="245">
        <f t="shared" si="23"/>
        <v>0</v>
      </c>
      <c r="AF15" s="245">
        <f t="shared" si="24"/>
        <v>0</v>
      </c>
      <c r="AG15" s="245">
        <f t="shared" si="25"/>
        <v>0</v>
      </c>
      <c r="AH15" s="245">
        <f t="shared" si="14"/>
        <v>288</v>
      </c>
      <c r="AI15" s="247">
        <f t="shared" si="15"/>
        <v>214.29904749025684</v>
      </c>
    </row>
    <row r="16" spans="1:35">
      <c r="A16" s="122"/>
      <c r="B16" s="241">
        <v>12</v>
      </c>
      <c r="C16" s="248">
        <f>'Other parameters'!$D$17</f>
        <v>1.7776000000000001E-3</v>
      </c>
      <c r="D16" s="242">
        <f>'Other parameters'!$G$17</f>
        <v>61.2</v>
      </c>
      <c r="E16" s="248">
        <f t="shared" si="0"/>
        <v>4.194E-4</v>
      </c>
      <c r="F16" s="248">
        <f t="shared" si="1"/>
        <v>0.10631249999999999</v>
      </c>
      <c r="G16" s="248">
        <f t="shared" si="2"/>
        <v>0</v>
      </c>
      <c r="H16" s="249">
        <f t="shared" si="3"/>
        <v>0.72242127659876232</v>
      </c>
      <c r="I16" s="122"/>
      <c r="J16" s="244">
        <v>0</v>
      </c>
      <c r="K16" s="245">
        <v>0</v>
      </c>
      <c r="L16" s="245">
        <f t="shared" si="4"/>
        <v>0.89368749999999997</v>
      </c>
      <c r="M16" s="245">
        <f t="shared" si="5"/>
        <v>0.10631249999999999</v>
      </c>
      <c r="N16" s="245">
        <f t="shared" si="6"/>
        <v>0</v>
      </c>
      <c r="O16" s="245">
        <f t="shared" si="7"/>
        <v>0</v>
      </c>
      <c r="P16" s="245">
        <f t="shared" si="8"/>
        <v>0</v>
      </c>
      <c r="Q16" s="245">
        <f t="shared" si="9"/>
        <v>0</v>
      </c>
      <c r="R16" s="243">
        <f t="shared" si="26"/>
        <v>1</v>
      </c>
      <c r="S16" s="122"/>
      <c r="T16" s="244">
        <f t="shared" si="11"/>
        <v>1.7776000000000001E-3</v>
      </c>
      <c r="U16" s="246">
        <f t="shared" si="16"/>
        <v>0.10878912</v>
      </c>
      <c r="V16" s="246">
        <f t="shared" si="17"/>
        <v>5.423393835616439E-4</v>
      </c>
      <c r="W16" s="246">
        <f t="shared" si="18"/>
        <v>0</v>
      </c>
      <c r="X16" s="246">
        <f t="shared" si="19"/>
        <v>0</v>
      </c>
      <c r="Y16" s="246">
        <f t="shared" si="20"/>
        <v>0</v>
      </c>
      <c r="Z16" s="246">
        <f t="shared" si="12"/>
        <v>0.10933145938356165</v>
      </c>
      <c r="AA16" s="247">
        <f t="shared" si="13"/>
        <v>7.8983372460278339E-2</v>
      </c>
      <c r="AB16" s="122"/>
      <c r="AC16" s="244">
        <f t="shared" si="21"/>
        <v>158.40562499999999</v>
      </c>
      <c r="AD16" s="245">
        <f t="shared" si="22"/>
        <v>257.38200000000001</v>
      </c>
      <c r="AE16" s="245">
        <f t="shared" si="23"/>
        <v>0</v>
      </c>
      <c r="AF16" s="245">
        <f t="shared" si="24"/>
        <v>0</v>
      </c>
      <c r="AG16" s="245">
        <f t="shared" si="25"/>
        <v>0</v>
      </c>
      <c r="AH16" s="245">
        <f t="shared" si="14"/>
        <v>415.78762499999999</v>
      </c>
      <c r="AI16" s="247">
        <f t="shared" si="15"/>
        <v>300.37382684646747</v>
      </c>
    </row>
    <row r="17" spans="1:35">
      <c r="A17" s="122"/>
      <c r="B17" s="241">
        <v>13</v>
      </c>
      <c r="C17" s="248">
        <f>'Other parameters'!$D$17</f>
        <v>1.7776000000000001E-3</v>
      </c>
      <c r="D17" s="242">
        <f>'Other parameters'!$G$17</f>
        <v>61.2</v>
      </c>
      <c r="E17" s="248">
        <f t="shared" si="0"/>
        <v>4.194E-4</v>
      </c>
      <c r="F17" s="248">
        <f t="shared" si="1"/>
        <v>0.10631249999999999</v>
      </c>
      <c r="G17" s="248">
        <f t="shared" si="2"/>
        <v>0</v>
      </c>
      <c r="H17" s="249">
        <f t="shared" si="3"/>
        <v>0.70137988019297326</v>
      </c>
      <c r="I17" s="122"/>
      <c r="J17" s="244">
        <v>0</v>
      </c>
      <c r="K17" s="245">
        <v>0</v>
      </c>
      <c r="L17" s="245">
        <f t="shared" si="4"/>
        <v>0.82631859765624993</v>
      </c>
      <c r="M17" s="245">
        <f t="shared" si="5"/>
        <v>9.5010152343749987E-2</v>
      </c>
      <c r="N17" s="245">
        <f t="shared" si="6"/>
        <v>7.6545000000000002E-2</v>
      </c>
      <c r="O17" s="245">
        <f t="shared" si="7"/>
        <v>0</v>
      </c>
      <c r="P17" s="245">
        <f t="shared" si="8"/>
        <v>0</v>
      </c>
      <c r="Q17" s="245">
        <f t="shared" si="9"/>
        <v>2.1262499999999997E-3</v>
      </c>
      <c r="R17" s="243">
        <f t="shared" si="26"/>
        <v>0.99999999999999989</v>
      </c>
      <c r="S17" s="122"/>
      <c r="T17" s="244">
        <f t="shared" si="11"/>
        <v>3.9038499999999995E-3</v>
      </c>
      <c r="U17" s="246">
        <f t="shared" si="16"/>
        <v>0.23891561999999997</v>
      </c>
      <c r="V17" s="246">
        <f t="shared" si="17"/>
        <v>4.8468192784674658E-4</v>
      </c>
      <c r="W17" s="246">
        <f t="shared" si="18"/>
        <v>3.1383450000000003E-3</v>
      </c>
      <c r="X17" s="246">
        <f t="shared" si="19"/>
        <v>0</v>
      </c>
      <c r="Y17" s="246">
        <f t="shared" si="20"/>
        <v>0</v>
      </c>
      <c r="Z17" s="246">
        <f t="shared" si="12"/>
        <v>0.24253864692784671</v>
      </c>
      <c r="AA17" s="247">
        <f t="shared" si="13"/>
        <v>0.17011172712441897</v>
      </c>
      <c r="AB17" s="122"/>
      <c r="AC17" s="244">
        <f t="shared" si="21"/>
        <v>141.56512699218749</v>
      </c>
      <c r="AD17" s="245">
        <f t="shared" si="22"/>
        <v>237.97975612499999</v>
      </c>
      <c r="AE17" s="245">
        <f t="shared" si="23"/>
        <v>47.235919500000001</v>
      </c>
      <c r="AF17" s="245">
        <f t="shared" si="24"/>
        <v>0</v>
      </c>
      <c r="AG17" s="245">
        <f t="shared" si="25"/>
        <v>0</v>
      </c>
      <c r="AH17" s="245">
        <f t="shared" si="14"/>
        <v>426.78080261718753</v>
      </c>
      <c r="AI17" s="247">
        <f t="shared" si="15"/>
        <v>299.33546820830395</v>
      </c>
    </row>
    <row r="18" spans="1:35">
      <c r="A18" s="122"/>
      <c r="B18" s="241">
        <v>14</v>
      </c>
      <c r="C18" s="248">
        <f>'Other parameters'!$D$17</f>
        <v>1.7776000000000001E-3</v>
      </c>
      <c r="D18" s="242">
        <f>'Other parameters'!$G$17</f>
        <v>61.2</v>
      </c>
      <c r="E18" s="248">
        <f t="shared" si="0"/>
        <v>4.194E-4</v>
      </c>
      <c r="F18" s="248">
        <f t="shared" si="1"/>
        <v>0.10631249999999999</v>
      </c>
      <c r="G18" s="248">
        <f t="shared" si="2"/>
        <v>0</v>
      </c>
      <c r="H18" s="249">
        <f t="shared" si="3"/>
        <v>0.68095133999317792</v>
      </c>
      <c r="I18" s="122"/>
      <c r="J18" s="244">
        <v>0</v>
      </c>
      <c r="K18" s="245">
        <v>0</v>
      </c>
      <c r="L18" s="245">
        <f t="shared" si="4"/>
        <v>0.76317324135229481</v>
      </c>
      <c r="M18" s="245">
        <f t="shared" si="5"/>
        <v>8.7847995913330063E-2</v>
      </c>
      <c r="N18" s="245">
        <f t="shared" si="6"/>
        <v>0.14410810426226064</v>
      </c>
      <c r="O18" s="245">
        <f t="shared" si="7"/>
        <v>6.1412845164864364E-4</v>
      </c>
      <c r="P18" s="245">
        <f t="shared" si="8"/>
        <v>2.3007697359071872E-4</v>
      </c>
      <c r="Q18" s="245">
        <f t="shared" si="9"/>
        <v>4.0264530468749997E-3</v>
      </c>
      <c r="R18" s="243">
        <f t="shared" si="26"/>
        <v>0.99999999999999978</v>
      </c>
      <c r="S18" s="122"/>
      <c r="T18" s="244">
        <f t="shared" si="11"/>
        <v>3.6778030468749999E-3</v>
      </c>
      <c r="U18" s="246">
        <f t="shared" si="16"/>
        <v>0.22508154646875</v>
      </c>
      <c r="V18" s="246">
        <f t="shared" si="17"/>
        <v>4.4814511887841259E-4</v>
      </c>
      <c r="W18" s="246">
        <f t="shared" si="18"/>
        <v>5.9084322747526867E-3</v>
      </c>
      <c r="X18" s="246">
        <f t="shared" si="19"/>
        <v>1.099289928451072E-4</v>
      </c>
      <c r="Y18" s="246">
        <f t="shared" si="20"/>
        <v>1.6105388151350311E-5</v>
      </c>
      <c r="Z18" s="246">
        <f t="shared" si="12"/>
        <v>0.23156415824337759</v>
      </c>
      <c r="AA18" s="247">
        <f t="shared" si="13"/>
        <v>0.15768392385022026</v>
      </c>
      <c r="AB18" s="122"/>
      <c r="AC18" s="244">
        <f t="shared" si="21"/>
        <v>130.8935139108618</v>
      </c>
      <c r="AD18" s="245">
        <f t="shared" si="22"/>
        <v>219.7938935094609</v>
      </c>
      <c r="AE18" s="245">
        <f t="shared" si="23"/>
        <v>88.929111140241048</v>
      </c>
      <c r="AF18" s="245">
        <f t="shared" si="24"/>
        <v>0.58778234107291683</v>
      </c>
      <c r="AG18" s="245">
        <f t="shared" si="25"/>
        <v>0.14198050040283253</v>
      </c>
      <c r="AH18" s="245">
        <f t="shared" si="14"/>
        <v>440.34628140203949</v>
      </c>
      <c r="AI18" s="247">
        <f t="shared" si="15"/>
        <v>299.85439038173178</v>
      </c>
    </row>
    <row r="19" spans="1:35">
      <c r="A19" s="122"/>
      <c r="B19" s="241">
        <v>15</v>
      </c>
      <c r="C19" s="248">
        <f>'Other parameters'!$D$18</f>
        <v>1.9608E-3</v>
      </c>
      <c r="D19" s="242">
        <f>'Other parameters'!$G$18</f>
        <v>56.7</v>
      </c>
      <c r="E19" s="248">
        <f t="shared" si="0"/>
        <v>4.194E-4</v>
      </c>
      <c r="F19" s="248">
        <f t="shared" si="1"/>
        <v>0.10631249999999999</v>
      </c>
      <c r="G19" s="248">
        <f t="shared" si="2"/>
        <v>0</v>
      </c>
      <c r="H19" s="249">
        <f t="shared" si="3"/>
        <v>0.66111780581861923</v>
      </c>
      <c r="I19" s="122"/>
      <c r="J19" s="244">
        <v>0</v>
      </c>
      <c r="K19" s="245">
        <v>0</v>
      </c>
      <c r="L19" s="245">
        <f t="shared" si="4"/>
        <v>0.70487886506849473</v>
      </c>
      <c r="M19" s="245">
        <f t="shared" si="5"/>
        <v>8.1134855221265831E-2</v>
      </c>
      <c r="N19" s="245">
        <f t="shared" si="6"/>
        <v>0.20576931069683707</v>
      </c>
      <c r="O19" s="245">
        <f t="shared" si="7"/>
        <v>1.6935566200355109E-3</v>
      </c>
      <c r="P19" s="245">
        <f t="shared" si="8"/>
        <v>6.2481051717935181E-4</v>
      </c>
      <c r="Q19" s="245">
        <f t="shared" si="9"/>
        <v>5.8986018761873317E-3</v>
      </c>
      <c r="R19" s="243">
        <f t="shared" si="26"/>
        <v>0.99999999999999978</v>
      </c>
      <c r="S19" s="250"/>
      <c r="T19" s="244">
        <f t="shared" si="11"/>
        <v>3.8329488293123316E-3</v>
      </c>
      <c r="U19" s="246">
        <f t="shared" si="16"/>
        <v>0.21732819862200922</v>
      </c>
      <c r="V19" s="246">
        <f t="shared" si="17"/>
        <v>4.1389890526574518E-4</v>
      </c>
      <c r="W19" s="246">
        <f t="shared" si="18"/>
        <v>8.43654173857032E-3</v>
      </c>
      <c r="X19" s="246">
        <f t="shared" si="19"/>
        <v>3.0314663498635642E-4</v>
      </c>
      <c r="Y19" s="246">
        <f t="shared" si="20"/>
        <v>4.373673620255463E-5</v>
      </c>
      <c r="Z19" s="246">
        <f t="shared" si="12"/>
        <v>0.22652552263703418</v>
      </c>
      <c r="AA19" s="247">
        <f t="shared" si="13"/>
        <v>0.14976005648771201</v>
      </c>
      <c r="AB19" s="122"/>
      <c r="AC19" s="244">
        <f t="shared" si="21"/>
        <v>120.89093427968609</v>
      </c>
      <c r="AD19" s="245">
        <f t="shared" si="22"/>
        <v>203.00511313972649</v>
      </c>
      <c r="AE19" s="245">
        <f t="shared" si="23"/>
        <v>126.98024163101816</v>
      </c>
      <c r="AF19" s="245">
        <f t="shared" si="24"/>
        <v>1.6209030410359875</v>
      </c>
      <c r="AG19" s="245">
        <f t="shared" si="25"/>
        <v>0.38557057015137802</v>
      </c>
      <c r="AH19" s="245">
        <f t="shared" si="14"/>
        <v>452.88276266161813</v>
      </c>
      <c r="AI19" s="247">
        <f t="shared" si="15"/>
        <v>299.4088583439235</v>
      </c>
    </row>
    <row r="20" spans="1:35">
      <c r="A20" s="122"/>
      <c r="B20" s="241">
        <v>16</v>
      </c>
      <c r="C20" s="248">
        <f>'Other parameters'!$D$18</f>
        <v>1.9608E-3</v>
      </c>
      <c r="D20" s="242">
        <f>'Other parameters'!$G$18</f>
        <v>56.7</v>
      </c>
      <c r="E20" s="248">
        <f t="shared" ref="E20:E39" si="27">IF(B20&lt;rf1age,0,(pA1_2a*EXP(-0.1*(B20-$B$19))))</f>
        <v>3.7948881312428143E-4</v>
      </c>
      <c r="F20" s="248">
        <f t="shared" si="1"/>
        <v>0.10631249999999999</v>
      </c>
      <c r="G20" s="248">
        <f t="shared" si="2"/>
        <v>0</v>
      </c>
      <c r="H20" s="249">
        <f t="shared" si="3"/>
        <v>0.64186194739671765</v>
      </c>
      <c r="I20" s="122"/>
      <c r="J20" s="244">
        <v>0</v>
      </c>
      <c r="K20" s="245">
        <v>0</v>
      </c>
      <c r="L20" s="245">
        <f t="shared" si="4"/>
        <v>0.65103649308342948</v>
      </c>
      <c r="M20" s="245">
        <f t="shared" si="5"/>
        <v>7.4937434342594339E-2</v>
      </c>
      <c r="N20" s="245">
        <f t="shared" si="6"/>
        <v>0.26191700194327328</v>
      </c>
      <c r="O20" s="245">
        <f t="shared" si="7"/>
        <v>3.1327705038944166E-3</v>
      </c>
      <c r="P20" s="245">
        <f t="shared" si="8"/>
        <v>1.1389632123222765E-3</v>
      </c>
      <c r="Q20" s="245">
        <f t="shared" si="9"/>
        <v>7.8373369144860393E-3</v>
      </c>
      <c r="R20" s="243">
        <f t="shared" si="26"/>
        <v>0.99999999999999989</v>
      </c>
      <c r="S20" s="250"/>
      <c r="T20" s="244">
        <f t="shared" si="11"/>
        <v>3.8995350382987071E-3</v>
      </c>
      <c r="U20" s="246">
        <f t="shared" si="16"/>
        <v>0.22110363667153671</v>
      </c>
      <c r="V20" s="246">
        <f t="shared" si="17"/>
        <v>3.8228356916687858E-4</v>
      </c>
      <c r="W20" s="246">
        <f t="shared" si="18"/>
        <v>1.0738597079674206E-2</v>
      </c>
      <c r="X20" s="246">
        <f t="shared" si="19"/>
        <v>5.6076592019710055E-4</v>
      </c>
      <c r="Y20" s="246">
        <f t="shared" si="20"/>
        <v>7.9727424862559363E-5</v>
      </c>
      <c r="Z20" s="246">
        <f t="shared" si="12"/>
        <v>0.23286501066543747</v>
      </c>
      <c r="AA20" s="247">
        <f t="shared" si="13"/>
        <v>0.14946718922627511</v>
      </c>
      <c r="AB20" s="122"/>
      <c r="AC20" s="244">
        <f t="shared" si="21"/>
        <v>111.65677717046556</v>
      </c>
      <c r="AD20" s="245">
        <f t="shared" si="22"/>
        <v>187.49851000802769</v>
      </c>
      <c r="AE20" s="245">
        <f t="shared" si="23"/>
        <v>161.62898189919395</v>
      </c>
      <c r="AF20" s="245">
        <f t="shared" si="24"/>
        <v>2.9983746492773462</v>
      </c>
      <c r="AG20" s="245">
        <f t="shared" si="25"/>
        <v>0.70285419832407681</v>
      </c>
      <c r="AH20" s="245">
        <f t="shared" si="14"/>
        <v>464.48549792528866</v>
      </c>
      <c r="AI20" s="247">
        <f t="shared" si="15"/>
        <v>298.13556623585981</v>
      </c>
    </row>
    <row r="21" spans="1:35">
      <c r="A21" s="122"/>
      <c r="B21" s="241">
        <v>17</v>
      </c>
      <c r="C21" s="248">
        <f>'Other parameters'!$D$18</f>
        <v>1.9608E-3</v>
      </c>
      <c r="D21" s="242">
        <f>'Other parameters'!$G$18</f>
        <v>56.7</v>
      </c>
      <c r="E21" s="248">
        <f t="shared" si="27"/>
        <v>3.4337567784090557E-4</v>
      </c>
      <c r="F21" s="248">
        <f t="shared" si="1"/>
        <v>0.10631249999999999</v>
      </c>
      <c r="G21" s="248">
        <f t="shared" si="2"/>
        <v>0</v>
      </c>
      <c r="H21" s="249">
        <f t="shared" si="3"/>
        <v>0.62316693922011435</v>
      </c>
      <c r="I21" s="122"/>
      <c r="J21" s="244">
        <v>0</v>
      </c>
      <c r="K21" s="245">
        <v>0</v>
      </c>
      <c r="L21" s="245">
        <f t="shared" si="4"/>
        <v>0.6013069088415719</v>
      </c>
      <c r="M21" s="245">
        <f t="shared" si="5"/>
        <v>6.9213317170932084E-2</v>
      </c>
      <c r="N21" s="245">
        <f t="shared" si="6"/>
        <v>0.31298330415060044</v>
      </c>
      <c r="O21" s="245">
        <f t="shared" si="7"/>
        <v>4.8425613862028948E-3</v>
      </c>
      <c r="P21" s="245">
        <f t="shared" si="8"/>
        <v>1.7360196799099553E-3</v>
      </c>
      <c r="Q21" s="245">
        <f t="shared" si="9"/>
        <v>9.9178887707825486E-3</v>
      </c>
      <c r="R21" s="243">
        <f t="shared" si="26"/>
        <v>0.99999999999999978</v>
      </c>
      <c r="S21" s="250"/>
      <c r="T21" s="244">
        <f t="shared" si="11"/>
        <v>4.0413518562965088E-3</v>
      </c>
      <c r="U21" s="246">
        <f t="shared" si="16"/>
        <v>0.22914465025201206</v>
      </c>
      <c r="V21" s="246">
        <f t="shared" si="17"/>
        <v>3.5308273033500152E-4</v>
      </c>
      <c r="W21" s="246">
        <f t="shared" si="18"/>
        <v>1.2832315470174618E-2</v>
      </c>
      <c r="X21" s="246">
        <f t="shared" si="19"/>
        <v>8.6681848813031817E-4</v>
      </c>
      <c r="Y21" s="246">
        <f t="shared" si="20"/>
        <v>1.2152137759369687E-4</v>
      </c>
      <c r="Z21" s="246">
        <f t="shared" si="12"/>
        <v>0.24331838831824565</v>
      </c>
      <c r="AA21" s="247">
        <f t="shared" si="13"/>
        <v>0.15162797530425237</v>
      </c>
      <c r="AB21" s="122"/>
      <c r="AC21" s="244">
        <f t="shared" si="21"/>
        <v>103.12784258468881</v>
      </c>
      <c r="AD21" s="245">
        <f t="shared" si="22"/>
        <v>173.17638974637271</v>
      </c>
      <c r="AE21" s="245">
        <f t="shared" si="23"/>
        <v>193.14199699133553</v>
      </c>
      <c r="AF21" s="245">
        <f t="shared" si="24"/>
        <v>4.6348155027347904</v>
      </c>
      <c r="AG21" s="245">
        <f t="shared" si="25"/>
        <v>1.0712977444724334</v>
      </c>
      <c r="AH21" s="245">
        <f t="shared" si="14"/>
        <v>475.15234256960423</v>
      </c>
      <c r="AI21" s="247">
        <f t="shared" si="15"/>
        <v>296.09923098236749</v>
      </c>
    </row>
    <row r="22" spans="1:35">
      <c r="A22" s="122"/>
      <c r="B22" s="241">
        <v>18</v>
      </c>
      <c r="C22" s="248">
        <f>'Other parameters'!$D$18</f>
        <v>1.9608E-3</v>
      </c>
      <c r="D22" s="242">
        <f>'Other parameters'!$G$18</f>
        <v>56.7</v>
      </c>
      <c r="E22" s="248">
        <f t="shared" si="27"/>
        <v>3.1069916175391246E-4</v>
      </c>
      <c r="F22" s="248">
        <f t="shared" si="1"/>
        <v>0.10631249999999999</v>
      </c>
      <c r="G22" s="248">
        <f t="shared" si="2"/>
        <v>0</v>
      </c>
      <c r="H22" s="249">
        <f t="shared" si="3"/>
        <v>0.60501644584477121</v>
      </c>
      <c r="I22" s="122"/>
      <c r="J22" s="244">
        <v>0</v>
      </c>
      <c r="K22" s="245">
        <v>0</v>
      </c>
      <c r="L22" s="245">
        <f t="shared" si="4"/>
        <v>0.55537593055979451</v>
      </c>
      <c r="M22" s="245">
        <f t="shared" si="5"/>
        <v>6.3926440746219601E-2</v>
      </c>
      <c r="N22" s="245">
        <f t="shared" si="6"/>
        <v>0.35936503800490838</v>
      </c>
      <c r="O22" s="245">
        <f t="shared" si="7"/>
        <v>6.7483386323525085E-3</v>
      </c>
      <c r="P22" s="245">
        <f t="shared" si="8"/>
        <v>2.3868614827032065E-3</v>
      </c>
      <c r="Q22" s="245">
        <f t="shared" si="9"/>
        <v>1.2197390574021515E-2</v>
      </c>
      <c r="R22" s="243">
        <f t="shared" si="26"/>
        <v>0.99999999999999956</v>
      </c>
      <c r="S22" s="250"/>
      <c r="T22" s="244">
        <f t="shared" si="11"/>
        <v>4.2403018032389659E-3</v>
      </c>
      <c r="U22" s="246">
        <f t="shared" si="16"/>
        <v>0.24042511224364937</v>
      </c>
      <c r="V22" s="246">
        <f t="shared" si="17"/>
        <v>3.2611241827249567E-4</v>
      </c>
      <c r="W22" s="246">
        <f t="shared" si="18"/>
        <v>1.4733966558201243E-2</v>
      </c>
      <c r="X22" s="246">
        <f t="shared" si="19"/>
        <v>1.207952615191099E-3</v>
      </c>
      <c r="Y22" s="246">
        <f t="shared" si="20"/>
        <v>1.6708030378922447E-4</v>
      </c>
      <c r="Z22" s="246">
        <f t="shared" si="12"/>
        <v>0.25686022413910337</v>
      </c>
      <c r="AA22" s="247">
        <f t="shared" si="13"/>
        <v>0.15540465988753163</v>
      </c>
      <c r="AB22" s="122"/>
      <c r="AC22" s="244">
        <f t="shared" si="21"/>
        <v>95.250396711867211</v>
      </c>
      <c r="AD22" s="245">
        <f t="shared" si="22"/>
        <v>159.94826800122081</v>
      </c>
      <c r="AE22" s="245">
        <f t="shared" si="23"/>
        <v>221.76416495282896</v>
      </c>
      <c r="AF22" s="245">
        <f t="shared" si="24"/>
        <v>6.4588349050245863</v>
      </c>
      <c r="AG22" s="245">
        <f t="shared" si="25"/>
        <v>1.4729322209761488</v>
      </c>
      <c r="AH22" s="245">
        <f t="shared" si="14"/>
        <v>484.89459679191765</v>
      </c>
      <c r="AI22" s="247">
        <f t="shared" si="15"/>
        <v>293.36920556037944</v>
      </c>
    </row>
    <row r="23" spans="1:35">
      <c r="A23" s="122"/>
      <c r="B23" s="241">
        <v>19</v>
      </c>
      <c r="C23" s="248">
        <f>'Other parameters'!$D$18</f>
        <v>1.9608E-3</v>
      </c>
      <c r="D23" s="242">
        <f>'Other parameters'!$G$18</f>
        <v>56.7</v>
      </c>
      <c r="E23" s="248">
        <f t="shared" si="27"/>
        <v>2.8113222730734712E-4</v>
      </c>
      <c r="F23" s="248">
        <f t="shared" si="1"/>
        <v>0.10631249999999999</v>
      </c>
      <c r="G23" s="248">
        <f t="shared" si="2"/>
        <v>0</v>
      </c>
      <c r="H23" s="249">
        <f t="shared" si="3"/>
        <v>0.5873946076162827</v>
      </c>
      <c r="I23" s="122"/>
      <c r="J23" s="244">
        <v>0</v>
      </c>
      <c r="K23" s="245">
        <v>0</v>
      </c>
      <c r="L23" s="245">
        <f t="shared" si="4"/>
        <v>0.51295340153617341</v>
      </c>
      <c r="M23" s="245">
        <f t="shared" si="5"/>
        <v>5.904340361763815E-2</v>
      </c>
      <c r="N23" s="245">
        <f t="shared" si="6"/>
        <v>0.40142868237432328</v>
      </c>
      <c r="O23" s="245">
        <f t="shared" si="7"/>
        <v>8.7880191704664615E-3</v>
      </c>
      <c r="P23" s="245">
        <f t="shared" si="8"/>
        <v>3.068425715797015E-3</v>
      </c>
      <c r="Q23" s="245">
        <f t="shared" si="9"/>
        <v>1.4718067585601406E-2</v>
      </c>
      <c r="R23" s="243">
        <f t="shared" si="26"/>
        <v>0.99999999999999978</v>
      </c>
      <c r="S23" s="250"/>
      <c r="T23" s="244">
        <f t="shared" si="11"/>
        <v>4.4814770115798909E-3</v>
      </c>
      <c r="U23" s="246">
        <f t="shared" si="16"/>
        <v>0.25409974655657985</v>
      </c>
      <c r="V23" s="246">
        <f t="shared" si="17"/>
        <v>3.012022398247733E-4</v>
      </c>
      <c r="W23" s="246">
        <f t="shared" si="18"/>
        <v>1.6458575977347255E-2</v>
      </c>
      <c r="X23" s="246">
        <f t="shared" si="19"/>
        <v>1.5730554315134964E-3</v>
      </c>
      <c r="Y23" s="246">
        <f t="shared" si="20"/>
        <v>2.1478980010579106E-4</v>
      </c>
      <c r="Z23" s="246">
        <f t="shared" si="12"/>
        <v>0.27264737000537115</v>
      </c>
      <c r="AA23" s="247">
        <f t="shared" si="13"/>
        <v>0.16015159492191644</v>
      </c>
      <c r="AB23" s="122"/>
      <c r="AC23" s="244">
        <f t="shared" si="21"/>
        <v>87.974671390280847</v>
      </c>
      <c r="AD23" s="245">
        <f t="shared" si="22"/>
        <v>147.73057964241795</v>
      </c>
      <c r="AE23" s="245">
        <f t="shared" si="23"/>
        <v>247.72163989319489</v>
      </c>
      <c r="AF23" s="245">
        <f t="shared" si="24"/>
        <v>8.4110131480534509</v>
      </c>
      <c r="AG23" s="245">
        <f t="shared" si="25"/>
        <v>1.8935255092183381</v>
      </c>
      <c r="AH23" s="245">
        <f t="shared" si="14"/>
        <v>493.73142958316549</v>
      </c>
      <c r="AI23" s="247">
        <f t="shared" si="15"/>
        <v>290.01517934782981</v>
      </c>
    </row>
    <row r="24" spans="1:35">
      <c r="A24" s="122"/>
      <c r="B24" s="241">
        <v>20</v>
      </c>
      <c r="C24" s="248">
        <f>'Other parameters'!$D$19</f>
        <v>2.3103999999999998E-3</v>
      </c>
      <c r="D24" s="242">
        <f>'Other parameters'!$G$19</f>
        <v>52.3</v>
      </c>
      <c r="E24" s="248">
        <f t="shared" si="27"/>
        <v>2.5437895868347845E-4</v>
      </c>
      <c r="F24" s="248">
        <f t="shared" si="1"/>
        <v>0.10631249999999999</v>
      </c>
      <c r="G24" s="248">
        <f t="shared" si="2"/>
        <v>0</v>
      </c>
      <c r="H24" s="249">
        <f t="shared" si="3"/>
        <v>0.57028602681192497</v>
      </c>
      <c r="I24" s="122"/>
      <c r="J24" s="244">
        <v>0</v>
      </c>
      <c r="K24" s="245">
        <v>0</v>
      </c>
      <c r="L24" s="245">
        <f t="shared" si="4"/>
        <v>0.47377132797594484</v>
      </c>
      <c r="M24" s="245">
        <f t="shared" si="5"/>
        <v>5.4533358500814429E-2</v>
      </c>
      <c r="N24" s="245">
        <f t="shared" si="6"/>
        <v>0.43951262523185319</v>
      </c>
      <c r="O24" s="245">
        <f t="shared" si="7"/>
        <v>1.0910220610514523E-2</v>
      </c>
      <c r="P24" s="245">
        <f t="shared" si="8"/>
        <v>3.7626025320720846E-3</v>
      </c>
      <c r="Q24" s="245">
        <f t="shared" si="9"/>
        <v>1.7509865148800579E-2</v>
      </c>
      <c r="R24" s="243">
        <f t="shared" si="26"/>
        <v>0.99999999999999967</v>
      </c>
      <c r="S24" s="250"/>
      <c r="T24" s="244">
        <f t="shared" si="11"/>
        <v>5.1021975631991724E-3</v>
      </c>
      <c r="U24" s="246">
        <f t="shared" si="16"/>
        <v>0.26684493255531672</v>
      </c>
      <c r="V24" s="246">
        <f t="shared" si="17"/>
        <v>2.7819483158497666E-4</v>
      </c>
      <c r="W24" s="246">
        <f t="shared" si="18"/>
        <v>1.8020017634505982E-2</v>
      </c>
      <c r="X24" s="246">
        <f t="shared" si="19"/>
        <v>1.9529294892820994E-3</v>
      </c>
      <c r="Y24" s="246">
        <f t="shared" si="20"/>
        <v>2.6338217724504594E-4</v>
      </c>
      <c r="Z24" s="246">
        <f t="shared" si="12"/>
        <v>0.28735945668793483</v>
      </c>
      <c r="AA24" s="247">
        <f t="shared" si="13"/>
        <v>0.16387708282139579</v>
      </c>
      <c r="AB24" s="122"/>
      <c r="AC24" s="244">
        <f t="shared" si="21"/>
        <v>81.2547041662135</v>
      </c>
      <c r="AD24" s="245">
        <f t="shared" si="22"/>
        <v>136.44614245707211</v>
      </c>
      <c r="AE24" s="245">
        <f t="shared" si="23"/>
        <v>271.22324103057662</v>
      </c>
      <c r="AF24" s="245">
        <f t="shared" si="24"/>
        <v>10.44217214632345</v>
      </c>
      <c r="AG24" s="245">
        <f t="shared" si="25"/>
        <v>2.3219020225416833</v>
      </c>
      <c r="AH24" s="245">
        <f t="shared" si="14"/>
        <v>501.68816182272735</v>
      </c>
      <c r="AI24" s="247">
        <f t="shared" si="15"/>
        <v>286.10574850446125</v>
      </c>
    </row>
    <row r="25" spans="1:35">
      <c r="A25" s="122"/>
      <c r="B25" s="241">
        <v>21</v>
      </c>
      <c r="C25" s="248">
        <f>'Other parameters'!$D$19</f>
        <v>2.3103999999999998E-3</v>
      </c>
      <c r="D25" s="242">
        <f>'Other parameters'!$G$19</f>
        <v>52.3</v>
      </c>
      <c r="E25" s="248">
        <f t="shared" si="27"/>
        <v>2.3017160017783467E-4</v>
      </c>
      <c r="F25" s="248">
        <f t="shared" si="1"/>
        <v>0.10631249999999999</v>
      </c>
      <c r="G25" s="248">
        <f t="shared" si="2"/>
        <v>0</v>
      </c>
      <c r="H25" s="249">
        <f t="shared" si="3"/>
        <v>0.55367575418633497</v>
      </c>
      <c r="I25" s="122"/>
      <c r="J25" s="244">
        <v>0</v>
      </c>
      <c r="K25" s="245">
        <v>0</v>
      </c>
      <c r="L25" s="245">
        <f t="shared" si="4"/>
        <v>0.43758218688071399</v>
      </c>
      <c r="M25" s="245">
        <f t="shared" si="5"/>
        <v>5.0367814305442633E-2</v>
      </c>
      <c r="N25" s="245">
        <f t="shared" si="6"/>
        <v>0.47392931246626901</v>
      </c>
      <c r="O25" s="245">
        <f t="shared" si="7"/>
        <v>1.3072698282925382E-2</v>
      </c>
      <c r="P25" s="245">
        <f t="shared" si="8"/>
        <v>4.4553235466614251E-3</v>
      </c>
      <c r="Q25" s="245">
        <f t="shared" si="9"/>
        <v>2.0592664517987223E-2</v>
      </c>
      <c r="R25" s="243">
        <f t="shared" si="26"/>
        <v>0.99999999999999967</v>
      </c>
      <c r="S25" s="250"/>
      <c r="T25" s="244">
        <f t="shared" si="11"/>
        <v>5.3931993691866426E-3</v>
      </c>
      <c r="U25" s="246">
        <f t="shared" si="16"/>
        <v>0.2820643270084614</v>
      </c>
      <c r="V25" s="246">
        <f t="shared" si="17"/>
        <v>2.5694484996365534E-4</v>
      </c>
      <c r="W25" s="246">
        <f t="shared" si="18"/>
        <v>1.943110181111703E-2</v>
      </c>
      <c r="X25" s="246">
        <f t="shared" si="19"/>
        <v>2.3400129926436433E-3</v>
      </c>
      <c r="Y25" s="246">
        <f t="shared" si="20"/>
        <v>3.1187264826629978E-4</v>
      </c>
      <c r="Z25" s="246">
        <f t="shared" si="12"/>
        <v>0.30440425931045201</v>
      </c>
      <c r="AA25" s="247">
        <f t="shared" si="13"/>
        <v>0.16854125785124718</v>
      </c>
      <c r="AB25" s="122"/>
      <c r="AC25" s="244">
        <f t="shared" si="21"/>
        <v>75.048043315109524</v>
      </c>
      <c r="AD25" s="245">
        <f t="shared" si="22"/>
        <v>126.02366982164563</v>
      </c>
      <c r="AE25" s="245">
        <f t="shared" si="23"/>
        <v>292.46177872293464</v>
      </c>
      <c r="AF25" s="245">
        <f t="shared" si="24"/>
        <v>12.511879526587883</v>
      </c>
      <c r="AG25" s="245">
        <f t="shared" si="25"/>
        <v>2.7493801606447654</v>
      </c>
      <c r="AH25" s="245">
        <f t="shared" si="14"/>
        <v>508.79475154692244</v>
      </c>
      <c r="AI25" s="247">
        <f t="shared" si="15"/>
        <v>281.70731778879122</v>
      </c>
    </row>
    <row r="26" spans="1:35">
      <c r="A26" s="122"/>
      <c r="B26" s="241">
        <v>22</v>
      </c>
      <c r="C26" s="248">
        <f>'Other parameters'!$D$19</f>
        <v>2.3103999999999998E-3</v>
      </c>
      <c r="D26" s="242">
        <f>'Other parameters'!$G$19</f>
        <v>52.3</v>
      </c>
      <c r="E26" s="248">
        <f t="shared" si="27"/>
        <v>2.0826787641011713E-4</v>
      </c>
      <c r="F26" s="248">
        <f t="shared" si="1"/>
        <v>0.10631249999999999</v>
      </c>
      <c r="G26" s="248">
        <f t="shared" si="2"/>
        <v>0</v>
      </c>
      <c r="H26" s="249">
        <f t="shared" si="3"/>
        <v>0.5375492759090631</v>
      </c>
      <c r="I26" s="122"/>
      <c r="J26" s="244">
        <v>0</v>
      </c>
      <c r="K26" s="245">
        <v>0</v>
      </c>
      <c r="L26" s="245">
        <f t="shared" si="4"/>
        <v>0.40415736235737315</v>
      </c>
      <c r="M26" s="245">
        <f t="shared" si="5"/>
        <v>4.65204562427559E-2</v>
      </c>
      <c r="N26" s="245">
        <f t="shared" si="6"/>
        <v>0.50496723045390102</v>
      </c>
      <c r="O26" s="245">
        <f t="shared" si="7"/>
        <v>1.5240994887504395E-2</v>
      </c>
      <c r="P26" s="245">
        <f t="shared" si="8"/>
        <v>5.1358089367109783E-3</v>
      </c>
      <c r="Q26" s="245">
        <f t="shared" si="9"/>
        <v>2.3978147121754206E-2</v>
      </c>
      <c r="R26" s="243">
        <f t="shared" si="26"/>
        <v>0.99999999999999956</v>
      </c>
      <c r="S26" s="250"/>
      <c r="T26" s="244">
        <f t="shared" si="11"/>
        <v>5.6958826037669828E-3</v>
      </c>
      <c r="U26" s="246">
        <f t="shared" si="16"/>
        <v>0.29789466017701316</v>
      </c>
      <c r="V26" s="246">
        <f t="shared" si="17"/>
        <v>2.3731805349044247E-4</v>
      </c>
      <c r="W26" s="246">
        <f t="shared" si="18"/>
        <v>2.0703656448609942E-2</v>
      </c>
      <c r="X26" s="246">
        <f t="shared" si="19"/>
        <v>2.7281380848632867E-3</v>
      </c>
      <c r="Y26" s="246">
        <f t="shared" si="20"/>
        <v>3.5950662556976851E-4</v>
      </c>
      <c r="Z26" s="246">
        <f t="shared" si="12"/>
        <v>0.32192327938954657</v>
      </c>
      <c r="AA26" s="247">
        <f t="shared" si="13"/>
        <v>0.17304962573412178</v>
      </c>
      <c r="AB26" s="122"/>
      <c r="AC26" s="244">
        <f t="shared" si="21"/>
        <v>69.315479801706289</v>
      </c>
      <c r="AD26" s="245">
        <f t="shared" si="22"/>
        <v>116.39732035892347</v>
      </c>
      <c r="AE26" s="245">
        <f t="shared" si="23"/>
        <v>311.61527791310232</v>
      </c>
      <c r="AF26" s="245">
        <f t="shared" si="24"/>
        <v>14.587156206830457</v>
      </c>
      <c r="AG26" s="245">
        <f t="shared" si="25"/>
        <v>3.1693076948443446</v>
      </c>
      <c r="AH26" s="245">
        <f t="shared" si="14"/>
        <v>515.08454197540686</v>
      </c>
      <c r="AI26" s="247">
        <f t="shared" si="15"/>
        <v>276.88332257083135</v>
      </c>
    </row>
    <row r="27" spans="1:35">
      <c r="A27" s="122"/>
      <c r="B27" s="241">
        <v>23</v>
      </c>
      <c r="C27" s="248">
        <f>'Other parameters'!$D$19</f>
        <v>2.3103999999999998E-3</v>
      </c>
      <c r="D27" s="242">
        <f>'Other parameters'!$G$19</f>
        <v>52.3</v>
      </c>
      <c r="E27" s="248">
        <f t="shared" si="27"/>
        <v>1.8844856755076273E-4</v>
      </c>
      <c r="F27" s="248">
        <f t="shared" si="1"/>
        <v>0.10631249999999999</v>
      </c>
      <c r="G27" s="248">
        <f t="shared" si="2"/>
        <v>0</v>
      </c>
      <c r="H27" s="249">
        <f t="shared" si="3"/>
        <v>0.52189250088258554</v>
      </c>
      <c r="I27" s="122"/>
      <c r="J27" s="244">
        <v>0</v>
      </c>
      <c r="K27" s="245">
        <v>0</v>
      </c>
      <c r="L27" s="245">
        <f t="shared" si="4"/>
        <v>0.37328570139487144</v>
      </c>
      <c r="M27" s="245">
        <f t="shared" si="5"/>
        <v>4.296697958561823E-2</v>
      </c>
      <c r="N27" s="245">
        <f t="shared" si="6"/>
        <v>0.53289273724227371</v>
      </c>
      <c r="O27" s="245">
        <f t="shared" si="7"/>
        <v>1.738727484261518E-2</v>
      </c>
      <c r="P27" s="245">
        <f t="shared" si="8"/>
        <v>5.7959462346430452E-3</v>
      </c>
      <c r="Q27" s="245">
        <f t="shared" si="9"/>
        <v>2.7671360699978106E-2</v>
      </c>
      <c r="R27" s="243">
        <f t="shared" si="26"/>
        <v>0.99999999999999978</v>
      </c>
      <c r="S27" s="250"/>
      <c r="T27" s="244">
        <f t="shared" si="11"/>
        <v>6.0036135782239007E-3</v>
      </c>
      <c r="U27" s="246">
        <f t="shared" si="16"/>
        <v>0.31398899014110998</v>
      </c>
      <c r="V27" s="246">
        <f t="shared" si="17"/>
        <v>2.1919045476279767E-4</v>
      </c>
      <c r="W27" s="246">
        <f t="shared" si="18"/>
        <v>2.1848602226933224E-2</v>
      </c>
      <c r="X27" s="246">
        <f t="shared" si="19"/>
        <v>3.112322196828117E-3</v>
      </c>
      <c r="Y27" s="246">
        <f t="shared" si="20"/>
        <v>4.0571623642501322E-4</v>
      </c>
      <c r="Z27" s="246">
        <f t="shared" si="12"/>
        <v>0.33957482125605915</v>
      </c>
      <c r="AA27" s="247">
        <f t="shared" si="13"/>
        <v>0.17722155270208167</v>
      </c>
      <c r="AB27" s="122"/>
      <c r="AC27" s="244">
        <f t="shared" si="21"/>
        <v>64.020799582571158</v>
      </c>
      <c r="AD27" s="245">
        <f t="shared" si="22"/>
        <v>107.50628200172298</v>
      </c>
      <c r="AE27" s="245">
        <f t="shared" si="23"/>
        <v>328.84810815220709</v>
      </c>
      <c r="AF27" s="245">
        <f t="shared" si="24"/>
        <v>16.641360751866991</v>
      </c>
      <c r="AG27" s="245">
        <f t="shared" si="25"/>
        <v>3.5766784213982232</v>
      </c>
      <c r="AH27" s="245">
        <f t="shared" si="14"/>
        <v>520.59322890976648</v>
      </c>
      <c r="AI27" s="247">
        <f t="shared" si="15"/>
        <v>271.69370217825838</v>
      </c>
    </row>
    <row r="28" spans="1:35">
      <c r="A28" s="122"/>
      <c r="B28" s="241">
        <v>24</v>
      </c>
      <c r="C28" s="248">
        <f>'Other parameters'!$D$19</f>
        <v>2.3103999999999998E-3</v>
      </c>
      <c r="D28" s="242">
        <f>'Other parameters'!$G$19</f>
        <v>52.3</v>
      </c>
      <c r="E28" s="248">
        <f t="shared" si="27"/>
        <v>1.7051531529520728E-4</v>
      </c>
      <c r="F28" s="248">
        <f t="shared" si="1"/>
        <v>0.10631249999999999</v>
      </c>
      <c r="G28" s="248">
        <f t="shared" si="2"/>
        <v>8.0000000000000016E-2</v>
      </c>
      <c r="H28" s="249">
        <f t="shared" si="3"/>
        <v>0.50669174842969467</v>
      </c>
      <c r="I28" s="122"/>
      <c r="J28" s="244">
        <v>0</v>
      </c>
      <c r="K28" s="245">
        <v>0</v>
      </c>
      <c r="L28" s="245">
        <f t="shared" si="4"/>
        <v>0.34477217995758991</v>
      </c>
      <c r="M28" s="245">
        <f t="shared" si="5"/>
        <v>3.9684936129542263E-2</v>
      </c>
      <c r="N28" s="245">
        <f t="shared" si="6"/>
        <v>0.5593427358325157</v>
      </c>
      <c r="O28" s="245">
        <f t="shared" si="7"/>
        <v>1.8098337045079994E-2</v>
      </c>
      <c r="P28" s="245">
        <f t="shared" si="8"/>
        <v>6.4297783670689496E-3</v>
      </c>
      <c r="Q28" s="245">
        <f t="shared" si="9"/>
        <v>3.167203266820276E-2</v>
      </c>
      <c r="R28" s="243">
        <f t="shared" si="26"/>
        <v>0.99999999999999956</v>
      </c>
      <c r="S28" s="250"/>
      <c r="T28" s="244">
        <f t="shared" si="11"/>
        <v>6.3110719682246503E-3</v>
      </c>
      <c r="U28" s="246">
        <f t="shared" si="16"/>
        <v>0.33006906393814922</v>
      </c>
      <c r="V28" s="246">
        <f t="shared" si="17"/>
        <v>2.0244753718687042E-4</v>
      </c>
      <c r="W28" s="246">
        <f t="shared" si="18"/>
        <v>2.2933052169133144E-2</v>
      </c>
      <c r="X28" s="246">
        <f t="shared" si="19"/>
        <v>3.2396023310693189E-3</v>
      </c>
      <c r="Y28" s="246">
        <f t="shared" si="20"/>
        <v>4.5008448569482649E-4</v>
      </c>
      <c r="Z28" s="246">
        <f t="shared" si="12"/>
        <v>0.35689425046123335</v>
      </c>
      <c r="AA28" s="247">
        <f t="shared" si="13"/>
        <v>0.18083537177070769</v>
      </c>
      <c r="AB28" s="122"/>
      <c r="AC28" s="244">
        <f t="shared" si="21"/>
        <v>59.130554833017975</v>
      </c>
      <c r="AD28" s="245">
        <f t="shared" si="22"/>
        <v>99.294387827785897</v>
      </c>
      <c r="AE28" s="245">
        <f t="shared" si="23"/>
        <v>345.17040228224545</v>
      </c>
      <c r="AF28" s="245">
        <f t="shared" si="24"/>
        <v>17.321918385846065</v>
      </c>
      <c r="AG28" s="245">
        <f t="shared" si="25"/>
        <v>3.9678162303182489</v>
      </c>
      <c r="AH28" s="245">
        <f t="shared" si="14"/>
        <v>524.88507955921364</v>
      </c>
      <c r="AI28" s="247">
        <f t="shared" si="15"/>
        <v>265.95493868651732</v>
      </c>
    </row>
    <row r="29" spans="1:35">
      <c r="A29" s="122"/>
      <c r="B29" s="241">
        <v>25</v>
      </c>
      <c r="C29" s="248">
        <f>'Other parameters'!$D$20</f>
        <v>2.8233999999999998E-3</v>
      </c>
      <c r="D29" s="242">
        <f>'Other parameters'!$G$20</f>
        <v>47.9</v>
      </c>
      <c r="E29" s="248">
        <f t="shared" si="27"/>
        <v>1.5428863762730291E-4</v>
      </c>
      <c r="F29" s="248">
        <f t="shared" ref="F29:F60" si="28">IF(B29&lt;rf2age,0,(pA2_2a*EXP(-0.1*(B29-$B$28))))</f>
        <v>9.6195528004947933E-2</v>
      </c>
      <c r="G29" s="248">
        <f t="shared" si="2"/>
        <v>8.0000000000000016E-2</v>
      </c>
      <c r="H29" s="249">
        <f t="shared" si="3"/>
        <v>0.49193373633950943</v>
      </c>
      <c r="I29" s="122"/>
      <c r="J29" s="244">
        <v>0</v>
      </c>
      <c r="K29" s="245">
        <v>0</v>
      </c>
      <c r="L29" s="245">
        <f t="shared" si="4"/>
        <v>0.32192472145883366</v>
      </c>
      <c r="M29" s="245">
        <f t="shared" si="5"/>
        <v>3.3165541892437291E-2</v>
      </c>
      <c r="N29" s="245">
        <f t="shared" si="6"/>
        <v>0.58319483431728936</v>
      </c>
      <c r="O29" s="245">
        <f t="shared" si="7"/>
        <v>1.8875842570313925E-2</v>
      </c>
      <c r="P29" s="245">
        <f t="shared" si="8"/>
        <v>7.037263252396276E-3</v>
      </c>
      <c r="Q29" s="245">
        <f t="shared" si="9"/>
        <v>3.5801796508729118E-2</v>
      </c>
      <c r="R29" s="243">
        <f t="shared" si="26"/>
        <v>0.99999999999999978</v>
      </c>
      <c r="S29" s="250"/>
      <c r="T29" s="244">
        <f t="shared" si="11"/>
        <v>6.9531638405263586E-3</v>
      </c>
      <c r="U29" s="246">
        <f t="shared" si="16"/>
        <v>0.33305654796121259</v>
      </c>
      <c r="V29" s="246">
        <f t="shared" si="17"/>
        <v>1.6918969590059793E-4</v>
      </c>
      <c r="W29" s="246">
        <f t="shared" si="18"/>
        <v>2.3910988207008866E-2</v>
      </c>
      <c r="X29" s="246">
        <f t="shared" si="19"/>
        <v>3.3787758200861926E-3</v>
      </c>
      <c r="Y29" s="246">
        <f t="shared" si="20"/>
        <v>4.9260842766773939E-4</v>
      </c>
      <c r="Z29" s="246">
        <f t="shared" si="12"/>
        <v>0.36100811011187595</v>
      </c>
      <c r="AA29" s="247">
        <f t="shared" si="13"/>
        <v>0.17759206845620018</v>
      </c>
      <c r="AB29" s="122"/>
      <c r="AC29" s="244">
        <f t="shared" si="21"/>
        <v>49.416657419731564</v>
      </c>
      <c r="AD29" s="245">
        <f t="shared" si="22"/>
        <v>92.714319780144095</v>
      </c>
      <c r="AE29" s="245">
        <f t="shared" si="23"/>
        <v>359.88953225719928</v>
      </c>
      <c r="AF29" s="245">
        <f t="shared" si="24"/>
        <v>18.066068924047457</v>
      </c>
      <c r="AG29" s="245">
        <f t="shared" si="25"/>
        <v>4.3426951530537421</v>
      </c>
      <c r="AH29" s="245">
        <f t="shared" si="14"/>
        <v>524.42927353417622</v>
      </c>
      <c r="AI29" s="247">
        <f t="shared" si="15"/>
        <v>257.98445197548193</v>
      </c>
    </row>
    <row r="30" spans="1:35">
      <c r="A30" s="122"/>
      <c r="B30" s="241">
        <v>26</v>
      </c>
      <c r="C30" s="248">
        <f>'Other parameters'!$D$20</f>
        <v>2.8233999999999998E-3</v>
      </c>
      <c r="D30" s="242">
        <f>'Other parameters'!$G$20</f>
        <v>47.9</v>
      </c>
      <c r="E30" s="248">
        <f t="shared" si="27"/>
        <v>1.3960613250297457E-4</v>
      </c>
      <c r="F30" s="248">
        <f t="shared" si="28"/>
        <v>8.7041313186602937E-2</v>
      </c>
      <c r="G30" s="248">
        <f t="shared" si="2"/>
        <v>8.0000000000000016E-2</v>
      </c>
      <c r="H30" s="249">
        <f t="shared" si="3"/>
        <v>0.47760556926165965</v>
      </c>
      <c r="I30" s="122"/>
      <c r="J30" s="244">
        <v>0</v>
      </c>
      <c r="K30" s="245">
        <v>0</v>
      </c>
      <c r="L30" s="245">
        <f t="shared" si="4"/>
        <v>0.30252701184785913</v>
      </c>
      <c r="M30" s="245">
        <f t="shared" si="5"/>
        <v>2.8020750503008257E-2</v>
      </c>
      <c r="N30" s="245">
        <f t="shared" si="6"/>
        <v>0.60215210752199388</v>
      </c>
      <c r="O30" s="245">
        <f t="shared" si="7"/>
        <v>1.9685327315915921E-2</v>
      </c>
      <c r="P30" s="245">
        <f t="shared" si="8"/>
        <v>7.6149921802051747E-3</v>
      </c>
      <c r="Q30" s="245">
        <f t="shared" si="9"/>
        <v>3.9999810631017284E-2</v>
      </c>
      <c r="R30" s="243">
        <f t="shared" si="26"/>
        <v>0.99999999999999967</v>
      </c>
      <c r="S30" s="250"/>
      <c r="T30" s="244">
        <f t="shared" si="11"/>
        <v>7.0214141222881641E-3</v>
      </c>
      <c r="U30" s="246">
        <f t="shared" si="16"/>
        <v>0.33632573645760305</v>
      </c>
      <c r="V30" s="246">
        <f t="shared" si="17"/>
        <v>1.4294421215507228E-4</v>
      </c>
      <c r="W30" s="246">
        <f t="shared" si="18"/>
        <v>2.4688236408401749E-2</v>
      </c>
      <c r="X30" s="246">
        <f t="shared" si="19"/>
        <v>3.5236735895489498E-3</v>
      </c>
      <c r="Y30" s="246">
        <f t="shared" si="20"/>
        <v>5.3304945261436229E-4</v>
      </c>
      <c r="Z30" s="246">
        <f t="shared" si="12"/>
        <v>0.36521364012032315</v>
      </c>
      <c r="AA30" s="247">
        <f t="shared" si="13"/>
        <v>0.17442806849178982</v>
      </c>
      <c r="AB30" s="122"/>
      <c r="AC30" s="244">
        <f t="shared" si="21"/>
        <v>41.750918249482304</v>
      </c>
      <c r="AD30" s="245">
        <f t="shared" si="22"/>
        <v>87.127779412183429</v>
      </c>
      <c r="AE30" s="245">
        <f t="shared" si="23"/>
        <v>371.58806555182247</v>
      </c>
      <c r="AF30" s="245">
        <f t="shared" si="24"/>
        <v>18.840826774063128</v>
      </c>
      <c r="AG30" s="245">
        <f t="shared" si="25"/>
        <v>4.6992116744046131</v>
      </c>
      <c r="AH30" s="245">
        <f t="shared" si="14"/>
        <v>524.00680166195593</v>
      </c>
      <c r="AI30" s="247">
        <f t="shared" si="15"/>
        <v>250.26856680474003</v>
      </c>
    </row>
    <row r="31" spans="1:35">
      <c r="A31" s="122"/>
      <c r="B31" s="241">
        <v>27</v>
      </c>
      <c r="C31" s="248">
        <f>'Other parameters'!$D$20</f>
        <v>2.8233999999999998E-3</v>
      </c>
      <c r="D31" s="242">
        <f>'Other parameters'!$G$20</f>
        <v>47.9</v>
      </c>
      <c r="E31" s="248">
        <f t="shared" si="27"/>
        <v>1.2632085247597753E-4</v>
      </c>
      <c r="F31" s="248">
        <f t="shared" si="28"/>
        <v>7.8758237086225119E-2</v>
      </c>
      <c r="G31" s="248">
        <f t="shared" si="2"/>
        <v>8.0000000000000016E-2</v>
      </c>
      <c r="H31" s="249">
        <f t="shared" si="3"/>
        <v>0.46369472743850448</v>
      </c>
      <c r="I31" s="122"/>
      <c r="J31" s="244">
        <v>0</v>
      </c>
      <c r="K31" s="245">
        <v>0</v>
      </c>
      <c r="L31" s="245">
        <f t="shared" si="4"/>
        <v>0.28598591285454034</v>
      </c>
      <c r="M31" s="245">
        <f t="shared" si="5"/>
        <v>2.3826494124100924E-2</v>
      </c>
      <c r="N31" s="245">
        <f t="shared" si="6"/>
        <v>0.6172608122627915</v>
      </c>
      <c r="O31" s="245">
        <f t="shared" si="7"/>
        <v>2.0480963852242379E-2</v>
      </c>
      <c r="P31" s="245">
        <f t="shared" si="8"/>
        <v>8.1532216566633092E-3</v>
      </c>
      <c r="Q31" s="245">
        <f t="shared" si="9"/>
        <v>4.4292595249661205E-2</v>
      </c>
      <c r="R31" s="243">
        <f t="shared" si="26"/>
        <v>0.99999999999999978</v>
      </c>
      <c r="S31" s="250"/>
      <c r="T31" s="244">
        <f t="shared" si="11"/>
        <v>7.1161846186439202E-3</v>
      </c>
      <c r="U31" s="246">
        <f t="shared" si="16"/>
        <v>0.34086524323304379</v>
      </c>
      <c r="V31" s="246">
        <f t="shared" si="17"/>
        <v>1.2154775906596145E-4</v>
      </c>
      <c r="W31" s="246">
        <f t="shared" si="18"/>
        <v>2.5307693302774454E-2</v>
      </c>
      <c r="X31" s="246">
        <f t="shared" si="19"/>
        <v>3.6660925295513855E-3</v>
      </c>
      <c r="Y31" s="246">
        <f t="shared" si="20"/>
        <v>5.707255159664317E-4</v>
      </c>
      <c r="Z31" s="246">
        <f t="shared" si="12"/>
        <v>0.37053130234040205</v>
      </c>
      <c r="AA31" s="247">
        <f t="shared" si="13"/>
        <v>0.17181341124616684</v>
      </c>
      <c r="AB31" s="122"/>
      <c r="AC31" s="244">
        <f t="shared" si="21"/>
        <v>35.501476244910378</v>
      </c>
      <c r="AD31" s="245">
        <f t="shared" si="22"/>
        <v>82.363942902107624</v>
      </c>
      <c r="AE31" s="245">
        <f t="shared" si="23"/>
        <v>380.91164724736865</v>
      </c>
      <c r="AF31" s="245">
        <f t="shared" si="24"/>
        <v>19.602330502981182</v>
      </c>
      <c r="AG31" s="245">
        <f t="shared" si="25"/>
        <v>5.0313530843269287</v>
      </c>
      <c r="AH31" s="245">
        <f t="shared" si="14"/>
        <v>523.41074998169483</v>
      </c>
      <c r="AI31" s="247">
        <f t="shared" si="15"/>
        <v>242.70280505114519</v>
      </c>
    </row>
    <row r="32" spans="1:35">
      <c r="A32" s="122"/>
      <c r="B32" s="241">
        <v>28</v>
      </c>
      <c r="C32" s="248">
        <f>'Other parameters'!$D$20</f>
        <v>2.8233999999999998E-3</v>
      </c>
      <c r="D32" s="242">
        <f>'Other parameters'!$G$20</f>
        <v>47.9</v>
      </c>
      <c r="E32" s="248">
        <f t="shared" si="27"/>
        <v>1.1429983399846488E-4</v>
      </c>
      <c r="F32" s="248">
        <f t="shared" si="28"/>
        <v>7.1263399894163901E-2</v>
      </c>
      <c r="G32" s="248">
        <f t="shared" si="2"/>
        <v>8.0000000000000016E-2</v>
      </c>
      <c r="H32" s="249">
        <f t="shared" si="3"/>
        <v>0.45018905576553836</v>
      </c>
      <c r="I32" s="122"/>
      <c r="J32" s="244">
        <v>0</v>
      </c>
      <c r="K32" s="245">
        <v>0</v>
      </c>
      <c r="L32" s="245">
        <f t="shared" si="4"/>
        <v>0.27180047285495595</v>
      </c>
      <c r="M32" s="245">
        <f t="shared" si="5"/>
        <v>2.0380328471850617E-2</v>
      </c>
      <c r="N32" s="245">
        <f t="shared" si="6"/>
        <v>0.62924667128050393</v>
      </c>
      <c r="O32" s="245">
        <f t="shared" si="7"/>
        <v>2.1234713599371572E-2</v>
      </c>
      <c r="P32" s="245">
        <f t="shared" si="8"/>
        <v>8.6469801629814221E-3</v>
      </c>
      <c r="Q32" s="245">
        <f t="shared" si="9"/>
        <v>4.8690833630336293E-2</v>
      </c>
      <c r="R32" s="243">
        <f t="shared" si="26"/>
        <v>0.99999999999999978</v>
      </c>
      <c r="S32" s="250"/>
      <c r="T32" s="244">
        <f t="shared" si="11"/>
        <v>7.2216383806750894E-3</v>
      </c>
      <c r="U32" s="246">
        <f t="shared" si="16"/>
        <v>0.34591647843433676</v>
      </c>
      <c r="V32" s="246">
        <f t="shared" si="17"/>
        <v>1.0396759346461877E-4</v>
      </c>
      <c r="W32" s="246">
        <f t="shared" si="18"/>
        <v>2.5799113522500663E-2</v>
      </c>
      <c r="X32" s="246">
        <f t="shared" si="19"/>
        <v>3.8010137342875112E-3</v>
      </c>
      <c r="Y32" s="246">
        <f t="shared" si="20"/>
        <v>6.0528861140869965E-4</v>
      </c>
      <c r="Z32" s="246">
        <f t="shared" si="12"/>
        <v>0.37622586189599816</v>
      </c>
      <c r="AA32" s="247">
        <f t="shared" si="13"/>
        <v>0.16937276552153524</v>
      </c>
      <c r="AB32" s="122"/>
      <c r="AC32" s="244">
        <f t="shared" si="21"/>
        <v>30.366689423057419</v>
      </c>
      <c r="AD32" s="245">
        <f t="shared" si="22"/>
        <v>78.278536182227313</v>
      </c>
      <c r="AE32" s="245">
        <f t="shared" si="23"/>
        <v>388.30812084719901</v>
      </c>
      <c r="AF32" s="245">
        <f t="shared" si="24"/>
        <v>20.323744385958531</v>
      </c>
      <c r="AG32" s="245">
        <f t="shared" si="25"/>
        <v>5.3360514585758354</v>
      </c>
      <c r="AH32" s="245">
        <f t="shared" si="14"/>
        <v>522.61314229701816</v>
      </c>
      <c r="AI32" s="247">
        <f t="shared" si="15"/>
        <v>235.27471706135555</v>
      </c>
    </row>
    <row r="33" spans="1:35">
      <c r="A33" s="122"/>
      <c r="B33" s="241">
        <v>29</v>
      </c>
      <c r="C33" s="248">
        <f>'Other parameters'!$D$20</f>
        <v>2.8233999999999998E-3</v>
      </c>
      <c r="D33" s="242">
        <f>'Other parameters'!$G$20</f>
        <v>47.9</v>
      </c>
      <c r="E33" s="248">
        <f t="shared" si="27"/>
        <v>1.0342276667710974E-4</v>
      </c>
      <c r="F33" s="248">
        <f t="shared" si="28"/>
        <v>6.4481790760699334E-2</v>
      </c>
      <c r="G33" s="248">
        <f t="shared" si="2"/>
        <v>8.0000000000000016E-2</v>
      </c>
      <c r="H33" s="249">
        <f t="shared" si="3"/>
        <v>0.4370767531704256</v>
      </c>
      <c r="I33" s="122"/>
      <c r="J33" s="244">
        <v>0</v>
      </c>
      <c r="K33" s="245">
        <v>0</v>
      </c>
      <c r="L33" s="245">
        <f t="shared" si="4"/>
        <v>0.25957317703834465</v>
      </c>
      <c r="M33" s="245">
        <f t="shared" si="5"/>
        <v>1.7526181219292409E-2</v>
      </c>
      <c r="N33" s="245">
        <f t="shared" si="6"/>
        <v>0.6386794004379972</v>
      </c>
      <c r="O33" s="245">
        <f t="shared" si="7"/>
        <v>2.1930108434873037E-2</v>
      </c>
      <c r="P33" s="245">
        <f t="shared" si="8"/>
        <v>9.0943077825798042E-3</v>
      </c>
      <c r="Q33" s="245">
        <f t="shared" si="9"/>
        <v>5.3196825086912647E-2</v>
      </c>
      <c r="R33" s="243">
        <f t="shared" si="26"/>
        <v>0.99999999999999978</v>
      </c>
      <c r="S33" s="250"/>
      <c r="T33" s="244">
        <f t="shared" si="11"/>
        <v>7.3293914565763559E-3</v>
      </c>
      <c r="U33" s="246">
        <f t="shared" si="16"/>
        <v>0.35107785077000742</v>
      </c>
      <c r="V33" s="246">
        <f t="shared" si="17"/>
        <v>8.9407532685814979E-5</v>
      </c>
      <c r="W33" s="246">
        <f t="shared" si="18"/>
        <v>2.6185855417957888E-2</v>
      </c>
      <c r="X33" s="246">
        <f t="shared" si="19"/>
        <v>3.9254894098422737E-3</v>
      </c>
      <c r="Y33" s="246">
        <f t="shared" si="20"/>
        <v>6.366015447805864E-4</v>
      </c>
      <c r="Z33" s="246">
        <f t="shared" si="12"/>
        <v>0.38191520467527396</v>
      </c>
      <c r="AA33" s="247">
        <f t="shared" si="13"/>
        <v>0.16692625764588728</v>
      </c>
      <c r="AB33" s="122"/>
      <c r="AC33" s="244">
        <f t="shared" si="21"/>
        <v>26.114010016745688</v>
      </c>
      <c r="AD33" s="245">
        <f t="shared" si="22"/>
        <v>74.757074987043254</v>
      </c>
      <c r="AE33" s="245">
        <f t="shared" si="23"/>
        <v>394.12905801028808</v>
      </c>
      <c r="AF33" s="245">
        <f t="shared" si="24"/>
        <v>20.989306783016985</v>
      </c>
      <c r="AG33" s="245">
        <f t="shared" si="25"/>
        <v>5.6120973326299977</v>
      </c>
      <c r="AH33" s="245">
        <f t="shared" si="14"/>
        <v>521.60154712972405</v>
      </c>
      <c r="AI33" s="247">
        <f t="shared" si="15"/>
        <v>227.97991066813051</v>
      </c>
    </row>
    <row r="34" spans="1:35">
      <c r="A34" s="122"/>
      <c r="B34" s="241">
        <v>30</v>
      </c>
      <c r="C34" s="248">
        <f>'Other parameters'!$D$21</f>
        <v>3.3604000000000004E-3</v>
      </c>
      <c r="D34" s="242">
        <f>'Other parameters'!$G$21</f>
        <v>43.5</v>
      </c>
      <c r="E34" s="248">
        <f t="shared" si="27"/>
        <v>9.3580789166251466E-5</v>
      </c>
      <c r="F34" s="248">
        <f t="shared" si="28"/>
        <v>5.8345537062246176E-2</v>
      </c>
      <c r="G34" s="248">
        <f t="shared" si="2"/>
        <v>8.0000000000000016E-2</v>
      </c>
      <c r="H34" s="249">
        <f t="shared" si="3"/>
        <v>0.42434636230138412</v>
      </c>
      <c r="I34" s="122"/>
      <c r="J34" s="244">
        <v>0</v>
      </c>
      <c r="K34" s="245">
        <v>0</v>
      </c>
      <c r="L34" s="245">
        <f t="shared" si="4"/>
        <v>0.24898504773410496</v>
      </c>
      <c r="M34" s="245">
        <f t="shared" si="5"/>
        <v>1.5144936421255726E-2</v>
      </c>
      <c r="N34" s="245">
        <f t="shared" si="6"/>
        <v>0.64600874274648945</v>
      </c>
      <c r="O34" s="245">
        <f t="shared" si="7"/>
        <v>2.2558627090705073E-2</v>
      </c>
      <c r="P34" s="245">
        <f t="shared" si="8"/>
        <v>9.4952843420960976E-3</v>
      </c>
      <c r="Q34" s="245">
        <f t="shared" si="9"/>
        <v>5.7807361665348451E-2</v>
      </c>
      <c r="R34" s="243">
        <f t="shared" si="26"/>
        <v>0.99999999999999989</v>
      </c>
      <c r="S34" s="250"/>
      <c r="T34" s="244">
        <f t="shared" si="11"/>
        <v>7.9709365784358058E-3</v>
      </c>
      <c r="U34" s="246">
        <f t="shared" si="16"/>
        <v>0.34673574116195754</v>
      </c>
      <c r="V34" s="246">
        <f t="shared" si="17"/>
        <v>7.725992223665251E-5</v>
      </c>
      <c r="W34" s="246">
        <f t="shared" si="18"/>
        <v>2.6486358452606069E-2</v>
      </c>
      <c r="X34" s="246">
        <f t="shared" si="19"/>
        <v>4.0379942492362077E-3</v>
      </c>
      <c r="Y34" s="246">
        <f t="shared" si="20"/>
        <v>6.6466990394672693E-4</v>
      </c>
      <c r="Z34" s="246">
        <f t="shared" si="12"/>
        <v>0.3780020236899832</v>
      </c>
      <c r="AA34" s="247">
        <f t="shared" si="13"/>
        <v>0.160403783695406</v>
      </c>
      <c r="AB34" s="122"/>
      <c r="AC34" s="244">
        <f t="shared" si="21"/>
        <v>22.565955267671033</v>
      </c>
      <c r="AD34" s="245">
        <f t="shared" si="22"/>
        <v>71.707693747422226</v>
      </c>
      <c r="AE34" s="245">
        <f t="shared" si="23"/>
        <v>398.65199514885865</v>
      </c>
      <c r="AF34" s="245">
        <f t="shared" si="24"/>
        <v>21.590861988513826</v>
      </c>
      <c r="AG34" s="245">
        <f t="shared" si="25"/>
        <v>5.8595399675075024</v>
      </c>
      <c r="AH34" s="245">
        <f t="shared" si="14"/>
        <v>520.37604611997324</v>
      </c>
      <c r="AI34" s="247">
        <f t="shared" si="15"/>
        <v>220.81968219978793</v>
      </c>
    </row>
    <row r="35" spans="1:35">
      <c r="A35" s="122"/>
      <c r="B35" s="241">
        <v>31</v>
      </c>
      <c r="C35" s="248">
        <f>'Other parameters'!$D$21</f>
        <v>3.3604000000000004E-3</v>
      </c>
      <c r="D35" s="242">
        <f>'Other parameters'!$G$21</f>
        <v>43.5</v>
      </c>
      <c r="E35" s="248">
        <f t="shared" si="27"/>
        <v>8.4675399646958469E-5</v>
      </c>
      <c r="F35" s="248">
        <f t="shared" si="28"/>
        <v>5.2793225109324216E-2</v>
      </c>
      <c r="G35" s="248">
        <f t="shared" si="2"/>
        <v>8.0000000000000016E-2</v>
      </c>
      <c r="H35" s="249">
        <f t="shared" si="3"/>
        <v>0.41198675951590691</v>
      </c>
      <c r="I35" s="122"/>
      <c r="J35" s="244">
        <v>0</v>
      </c>
      <c r="K35" s="245">
        <v>0</v>
      </c>
      <c r="L35" s="245">
        <f t="shared" si="4"/>
        <v>0.23977800752974904</v>
      </c>
      <c r="M35" s="245">
        <f t="shared" si="5"/>
        <v>1.3144723673882438E-2</v>
      </c>
      <c r="N35" s="245">
        <f t="shared" si="6"/>
        <v>0.65159303587467299</v>
      </c>
      <c r="O35" s="245">
        <f t="shared" si="7"/>
        <v>2.3117103493468079E-2</v>
      </c>
      <c r="P35" s="245">
        <f t="shared" si="8"/>
        <v>9.8513281629854822E-3</v>
      </c>
      <c r="Q35" s="245">
        <f t="shared" si="9"/>
        <v>6.2515801265241755E-2</v>
      </c>
      <c r="R35" s="243">
        <f t="shared" si="26"/>
        <v>0.99999999999999978</v>
      </c>
      <c r="S35" s="250"/>
      <c r="T35" s="244">
        <f t="shared" si="11"/>
        <v>8.0688395998932978E-3</v>
      </c>
      <c r="U35" s="246">
        <f t="shared" si="16"/>
        <v>0.35099452259535846</v>
      </c>
      <c r="V35" s="246">
        <f t="shared" si="17"/>
        <v>6.7056097207586588E-5</v>
      </c>
      <c r="W35" s="246">
        <f t="shared" si="18"/>
        <v>2.6715314470861593E-2</v>
      </c>
      <c r="X35" s="246">
        <f t="shared" si="19"/>
        <v>4.1379615253307857E-3</v>
      </c>
      <c r="Y35" s="246">
        <f t="shared" si="20"/>
        <v>6.8959297140898379E-4</v>
      </c>
      <c r="Z35" s="246">
        <f t="shared" si="12"/>
        <v>0.38260444766016743</v>
      </c>
      <c r="AA35" s="247">
        <f t="shared" si="13"/>
        <v>0.1576279665678858</v>
      </c>
      <c r="AB35" s="122"/>
      <c r="AC35" s="244">
        <f t="shared" si="21"/>
        <v>19.585638274084832</v>
      </c>
      <c r="AD35" s="245">
        <f t="shared" si="22"/>
        <v>69.056066168567725</v>
      </c>
      <c r="AE35" s="245">
        <f t="shared" si="23"/>
        <v>402.09806243826074</v>
      </c>
      <c r="AF35" s="245">
        <f t="shared" si="24"/>
        <v>22.125379753598299</v>
      </c>
      <c r="AG35" s="245">
        <f t="shared" si="25"/>
        <v>6.0792546093783413</v>
      </c>
      <c r="AH35" s="245">
        <f t="shared" si="14"/>
        <v>518.94440124388996</v>
      </c>
      <c r="AI35" s="247">
        <f t="shared" si="15"/>
        <v>213.79822223739279</v>
      </c>
    </row>
    <row r="36" spans="1:35">
      <c r="A36" s="122"/>
      <c r="B36" s="241">
        <v>32</v>
      </c>
      <c r="C36" s="248">
        <f>'Other parameters'!$D$21</f>
        <v>3.3604000000000004E-3</v>
      </c>
      <c r="D36" s="242">
        <f>'Other parameters'!$G$21</f>
        <v>43.5</v>
      </c>
      <c r="E36" s="248">
        <f t="shared" si="27"/>
        <v>7.6617469987716891E-5</v>
      </c>
      <c r="F36" s="248">
        <f t="shared" si="28"/>
        <v>4.7769285497712116E-2</v>
      </c>
      <c r="G36" s="248">
        <f t="shared" si="2"/>
        <v>8.0000000000000016E-2</v>
      </c>
      <c r="H36" s="249">
        <f t="shared" si="3"/>
        <v>0.39998714516107459</v>
      </c>
      <c r="I36" s="122"/>
      <c r="J36" s="244">
        <v>0</v>
      </c>
      <c r="K36" s="245">
        <v>0</v>
      </c>
      <c r="L36" s="245">
        <f t="shared" si="4"/>
        <v>0.23174161158719733</v>
      </c>
      <c r="M36" s="245">
        <f t="shared" si="5"/>
        <v>1.1454024097761147E-2</v>
      </c>
      <c r="N36" s="245">
        <f t="shared" si="6"/>
        <v>0.65572026545235274</v>
      </c>
      <c r="O36" s="245">
        <f t="shared" si="7"/>
        <v>2.3605895594986291E-2</v>
      </c>
      <c r="P36" s="245">
        <f t="shared" si="8"/>
        <v>1.0164697789080818E-2</v>
      </c>
      <c r="Q36" s="245">
        <f t="shared" si="9"/>
        <v>6.7313505478621485E-2</v>
      </c>
      <c r="R36" s="243">
        <f t="shared" si="26"/>
        <v>0.99999999999999978</v>
      </c>
      <c r="S36" s="250"/>
      <c r="T36" s="244">
        <f t="shared" si="11"/>
        <v>8.1581042133797334E-3</v>
      </c>
      <c r="U36" s="246">
        <f t="shared" si="16"/>
        <v>0.35487753328201838</v>
      </c>
      <c r="V36" s="246">
        <f t="shared" si="17"/>
        <v>5.8431213342551392E-5</v>
      </c>
      <c r="W36" s="246">
        <f t="shared" si="18"/>
        <v>2.6884530883546462E-2</v>
      </c>
      <c r="X36" s="246">
        <f t="shared" si="19"/>
        <v>4.2254553115025463E-3</v>
      </c>
      <c r="Y36" s="246">
        <f t="shared" si="20"/>
        <v>7.1152884523565741E-4</v>
      </c>
      <c r="Z36" s="246">
        <f t="shared" si="12"/>
        <v>0.3867574795356456</v>
      </c>
      <c r="AA36" s="247">
        <f t="shared" si="13"/>
        <v>0.15469802010915562</v>
      </c>
      <c r="AB36" s="122"/>
      <c r="AC36" s="244">
        <f t="shared" si="21"/>
        <v>17.066495905664109</v>
      </c>
      <c r="AD36" s="245">
        <f t="shared" si="22"/>
        <v>66.741584137112838</v>
      </c>
      <c r="AE36" s="245">
        <f t="shared" si="23"/>
        <v>404.64497581064688</v>
      </c>
      <c r="AF36" s="245">
        <f t="shared" si="24"/>
        <v>22.593202673961379</v>
      </c>
      <c r="AG36" s="245">
        <f t="shared" si="25"/>
        <v>6.2726350056417735</v>
      </c>
      <c r="AH36" s="245">
        <f t="shared" si="14"/>
        <v>517.31889353302699</v>
      </c>
      <c r="AI36" s="247">
        <f t="shared" si="15"/>
        <v>206.92090736216136</v>
      </c>
    </row>
    <row r="37" spans="1:35">
      <c r="A37" s="122"/>
      <c r="B37" s="241">
        <v>33</v>
      </c>
      <c r="C37" s="248">
        <f>'Other parameters'!$D$21</f>
        <v>3.3604000000000004E-3</v>
      </c>
      <c r="D37" s="242">
        <f>'Other parameters'!$G$21</f>
        <v>43.5</v>
      </c>
      <c r="E37" s="248">
        <f t="shared" si="27"/>
        <v>6.9326353720133391E-5</v>
      </c>
      <c r="F37" s="248">
        <f t="shared" si="28"/>
        <v>4.3223436951172436E-2</v>
      </c>
      <c r="G37" s="248">
        <f t="shared" ref="G37:G68" si="29">IF(B37&lt;rhdage,0,pVS_2a)</f>
        <v>8.0000000000000016E-2</v>
      </c>
      <c r="H37" s="249">
        <f t="shared" ref="H37:H68" si="30">1/(1+disc)^($B37-1)</f>
        <v>0.38833703413696569</v>
      </c>
      <c r="I37" s="122"/>
      <c r="J37" s="244">
        <v>0</v>
      </c>
      <c r="K37" s="245">
        <v>0</v>
      </c>
      <c r="L37" s="245">
        <f t="shared" ref="L37:L68" si="31">IF(B37&lt;rf2age,1,(K36*cpARF1_Remission)+(L36*(1-F37))+(M36*cpARF2_Remission))</f>
        <v>0.2247029889152129</v>
      </c>
      <c r="M37" s="245">
        <f t="shared" ref="M37:M68" si="32">IF(B37&lt;rf2age,0,L36*F37)</f>
        <v>1.0016668937402315E-2</v>
      </c>
      <c r="N37" s="245">
        <f t="shared" ref="N37:N68" si="33">IF(B37&lt;rf2age,0,(K36*pARF1_RHDMild)+(M36*pARF2_RHDMild)+(N36*cpRHDMild_RHDMild)+(O36*G37))</f>
        <v>0.65862377599408162</v>
      </c>
      <c r="O37" s="245">
        <f t="shared" ref="O37:O68" si="34">IF(B37&lt;rf2age,0,(N36*pRHDMild_RHDSevere)+(O36*(1-(G37+pRHDSevere_Death))))</f>
        <v>2.4027598505452743E-2</v>
      </c>
      <c r="P37" s="245">
        <f t="shared" ref="P37:P68" si="35">IF(B37&lt;rf2age,0,(N36*pRHDMild_Stroke)+(P36*(1-pStroke_Death)))</f>
        <v>1.0438140207123709E-2</v>
      </c>
      <c r="Q37" s="245">
        <f t="shared" ref="Q37:Q68" si="36">IF(B37&lt;rf2age,0,(K36*pARF1_Death)+(M36*pARF2_Death)+(O36*pRHDSevere_Death)+(P36*pStroke_Death)+Q36)</f>
        <v>7.2190827440726496E-2</v>
      </c>
      <c r="R37" s="243">
        <f t="shared" si="26"/>
        <v>0.99999999999999978</v>
      </c>
      <c r="S37" s="250"/>
      <c r="T37" s="244">
        <f t="shared" si="11"/>
        <v>8.2377219621050067E-3</v>
      </c>
      <c r="U37" s="246">
        <f t="shared" si="16"/>
        <v>0.35834090535156782</v>
      </c>
      <c r="V37" s="246">
        <f t="shared" si="17"/>
        <v>5.1098733045049626E-5</v>
      </c>
      <c r="W37" s="246">
        <f t="shared" si="18"/>
        <v>2.7003574815757346E-2</v>
      </c>
      <c r="X37" s="246">
        <f t="shared" si="19"/>
        <v>4.300940132476041E-3</v>
      </c>
      <c r="Y37" s="246">
        <f t="shared" si="20"/>
        <v>7.3066981449865969E-4</v>
      </c>
      <c r="Z37" s="246">
        <f t="shared" si="12"/>
        <v>0.3904271888473449</v>
      </c>
      <c r="AA37" s="247">
        <f t="shared" si="13"/>
        <v>0.15161733656341092</v>
      </c>
      <c r="AB37" s="122"/>
      <c r="AC37" s="244">
        <f t="shared" si="21"/>
        <v>14.92483671672945</v>
      </c>
      <c r="AD37" s="245">
        <f t="shared" si="22"/>
        <v>64.714460807581318</v>
      </c>
      <c r="AE37" s="245">
        <f t="shared" si="23"/>
        <v>406.43673216594777</v>
      </c>
      <c r="AF37" s="245">
        <f t="shared" si="24"/>
        <v>22.99681452956882</v>
      </c>
      <c r="AG37" s="245">
        <f t="shared" si="25"/>
        <v>6.4413763218160414</v>
      </c>
      <c r="AH37" s="245">
        <f t="shared" si="14"/>
        <v>515.51422054164345</v>
      </c>
      <c r="AI37" s="247">
        <f t="shared" ref="AI37:AI68" si="37">AH37*H37</f>
        <v>200.19326346057144</v>
      </c>
    </row>
    <row r="38" spans="1:35">
      <c r="A38" s="122"/>
      <c r="B38" s="241">
        <v>34</v>
      </c>
      <c r="C38" s="248">
        <f>'Other parameters'!$D$21</f>
        <v>3.3604000000000004E-3</v>
      </c>
      <c r="D38" s="242">
        <f>'Other parameters'!$G$21</f>
        <v>43.5</v>
      </c>
      <c r="E38" s="248">
        <f t="shared" si="27"/>
        <v>6.2729078901973133E-5</v>
      </c>
      <c r="F38" s="248">
        <f t="shared" si="28"/>
        <v>3.9110183089538959E-2</v>
      </c>
      <c r="G38" s="248">
        <f t="shared" si="29"/>
        <v>8.0000000000000016E-2</v>
      </c>
      <c r="H38" s="249">
        <f t="shared" si="30"/>
        <v>0.37702624673491814</v>
      </c>
      <c r="I38" s="122"/>
      <c r="J38" s="244">
        <v>0</v>
      </c>
      <c r="K38" s="245">
        <v>0</v>
      </c>
      <c r="L38" s="245">
        <f t="shared" si="31"/>
        <v>0.2185191478016969</v>
      </c>
      <c r="M38" s="245">
        <f t="shared" si="32"/>
        <v>8.7881750372406191E-3</v>
      </c>
      <c r="N38" s="245">
        <f t="shared" si="33"/>
        <v>0.66049410459121849</v>
      </c>
      <c r="O38" s="245">
        <f t="shared" si="34"/>
        <v>2.4386147484644759E-2</v>
      </c>
      <c r="P38" s="245">
        <f t="shared" si="35"/>
        <v>1.067464503795321E-2</v>
      </c>
      <c r="Q38" s="245">
        <f t="shared" si="36"/>
        <v>7.7137780047245794E-2</v>
      </c>
      <c r="R38" s="243">
        <f t="shared" si="26"/>
        <v>0.99999999999999978</v>
      </c>
      <c r="S38" s="250"/>
      <c r="T38" s="244">
        <f t="shared" si="11"/>
        <v>8.3073526065193005E-3</v>
      </c>
      <c r="U38" s="246">
        <f t="shared" si="16"/>
        <v>0.36136983838358955</v>
      </c>
      <c r="V38" s="246">
        <f t="shared" si="17"/>
        <v>4.483173128586859E-5</v>
      </c>
      <c r="W38" s="246">
        <f t="shared" si="18"/>
        <v>2.7080258288239959E-2</v>
      </c>
      <c r="X38" s="246">
        <f t="shared" si="19"/>
        <v>4.3651203997514118E-3</v>
      </c>
      <c r="Y38" s="246">
        <f t="shared" si="20"/>
        <v>7.4722515265672473E-4</v>
      </c>
      <c r="Z38" s="246">
        <f t="shared" si="12"/>
        <v>0.39360727395552353</v>
      </c>
      <c r="AA38" s="247">
        <f t="shared" si="13"/>
        <v>0.14840027318701374</v>
      </c>
      <c r="AB38" s="122"/>
      <c r="AC38" s="244">
        <f t="shared" si="21"/>
        <v>13.094380805488523</v>
      </c>
      <c r="AD38" s="245">
        <f t="shared" si="22"/>
        <v>62.933514566888704</v>
      </c>
      <c r="AE38" s="245">
        <f t="shared" si="23"/>
        <v>407.59091194324094</v>
      </c>
      <c r="AF38" s="245">
        <f t="shared" si="24"/>
        <v>23.339981757553499</v>
      </c>
      <c r="AG38" s="245">
        <f t="shared" si="25"/>
        <v>6.5873234529209261</v>
      </c>
      <c r="AH38" s="245">
        <f t="shared" si="14"/>
        <v>513.54611252609254</v>
      </c>
      <c r="AI38" s="247">
        <f t="shared" si="37"/>
        <v>193.6203633310206</v>
      </c>
    </row>
    <row r="39" spans="1:35">
      <c r="A39" s="122"/>
      <c r="B39" s="241">
        <v>35</v>
      </c>
      <c r="C39" s="248">
        <f>'Other parameters'!$D$22</f>
        <v>4.1983999999999997E-3</v>
      </c>
      <c r="D39" s="242">
        <f>'Other parameters'!$G$22</f>
        <v>39.200000000000003</v>
      </c>
      <c r="E39" s="248">
        <f t="shared" si="27"/>
        <v>5.6759617789435369E-5</v>
      </c>
      <c r="F39" s="248">
        <f t="shared" si="28"/>
        <v>3.5388357085652078E-2</v>
      </c>
      <c r="G39" s="248">
        <f t="shared" si="29"/>
        <v>8.0000000000000016E-2</v>
      </c>
      <c r="H39" s="249">
        <f t="shared" si="30"/>
        <v>0.36604489974263904</v>
      </c>
      <c r="I39" s="122"/>
      <c r="J39" s="244">
        <v>0</v>
      </c>
      <c r="K39" s="245">
        <v>0</v>
      </c>
      <c r="L39" s="245">
        <f t="shared" si="31"/>
        <v>0.21307103967892063</v>
      </c>
      <c r="M39" s="245">
        <f t="shared" si="32"/>
        <v>7.7330336324588338E-3</v>
      </c>
      <c r="N39" s="245">
        <f t="shared" si="33"/>
        <v>0.66148797387366498</v>
      </c>
      <c r="O39" s="245">
        <f t="shared" si="34"/>
        <v>2.4686199762875539E-2</v>
      </c>
      <c r="P39" s="245">
        <f t="shared" si="35"/>
        <v>1.0877275347170373E-2</v>
      </c>
      <c r="Q39" s="245">
        <f t="shared" si="36"/>
        <v>8.2144477704909388E-2</v>
      </c>
      <c r="R39" s="243">
        <f t="shared" si="26"/>
        <v>0.99999999999999978</v>
      </c>
      <c r="S39" s="250"/>
      <c r="T39" s="244">
        <f t="shared" si="11"/>
        <v>9.2050976576635926E-3</v>
      </c>
      <c r="U39" s="246">
        <f t="shared" si="16"/>
        <v>0.36083982818041288</v>
      </c>
      <c r="V39" s="246">
        <f t="shared" si="17"/>
        <v>3.9449064722296852E-5</v>
      </c>
      <c r="W39" s="246">
        <f t="shared" si="18"/>
        <v>2.7121006928820267E-2</v>
      </c>
      <c r="X39" s="246">
        <f t="shared" si="19"/>
        <v>4.4188297575547212E-3</v>
      </c>
      <c r="Y39" s="246">
        <f t="shared" si="20"/>
        <v>7.6140927430192612E-4</v>
      </c>
      <c r="Z39" s="246">
        <f t="shared" si="12"/>
        <v>0.39318052320581204</v>
      </c>
      <c r="AA39" s="247">
        <f t="shared" si="13"/>
        <v>0.14392172519762983</v>
      </c>
      <c r="AB39" s="122"/>
      <c r="AC39" s="244">
        <f t="shared" si="21"/>
        <v>11.522220112363662</v>
      </c>
      <c r="AD39" s="245">
        <f t="shared" si="22"/>
        <v>61.364459427529141</v>
      </c>
      <c r="AE39" s="245">
        <f t="shared" si="23"/>
        <v>408.20422867743866</v>
      </c>
      <c r="AF39" s="245">
        <f t="shared" si="24"/>
        <v>23.627161793048181</v>
      </c>
      <c r="AG39" s="245">
        <f t="shared" si="25"/>
        <v>6.7123666167388372</v>
      </c>
      <c r="AH39" s="245">
        <f t="shared" si="14"/>
        <v>511.43043662711852</v>
      </c>
      <c r="AI39" s="247">
        <f t="shared" si="37"/>
        <v>187.2065029005077</v>
      </c>
    </row>
    <row r="40" spans="1:35">
      <c r="A40" s="122"/>
      <c r="B40" s="241">
        <v>36</v>
      </c>
      <c r="C40" s="248">
        <f>'Other parameters'!$D$22</f>
        <v>4.1983999999999997E-3</v>
      </c>
      <c r="D40" s="242">
        <f>'Other parameters'!$G$22</f>
        <v>39.200000000000003</v>
      </c>
      <c r="E40" s="234">
        <v>0</v>
      </c>
      <c r="F40" s="248">
        <f t="shared" si="28"/>
        <v>3.2020709653915978E-2</v>
      </c>
      <c r="G40" s="248">
        <f t="shared" si="29"/>
        <v>8.0000000000000016E-2</v>
      </c>
      <c r="H40" s="249">
        <f t="shared" si="30"/>
        <v>0.35538339780838735</v>
      </c>
      <c r="I40" s="122"/>
      <c r="J40" s="244">
        <v>0</v>
      </c>
      <c r="K40" s="245">
        <v>0</v>
      </c>
      <c r="L40" s="245">
        <f t="shared" si="31"/>
        <v>0.20825894252614319</v>
      </c>
      <c r="M40" s="245">
        <f t="shared" si="32"/>
        <v>6.8226858972167282E-3</v>
      </c>
      <c r="N40" s="245">
        <f t="shared" si="33"/>
        <v>0.66173518426439892</v>
      </c>
      <c r="O40" s="245">
        <f t="shared" si="34"/>
        <v>2.4932715240112771E-2</v>
      </c>
      <c r="P40" s="245">
        <f t="shared" si="35"/>
        <v>1.1049053741232691E-2</v>
      </c>
      <c r="Q40" s="245">
        <f t="shared" si="36"/>
        <v>8.7201418330895453E-2</v>
      </c>
      <c r="R40" s="243">
        <f t="shared" si="26"/>
        <v>0.99999999999999978</v>
      </c>
      <c r="S40" s="250"/>
      <c r="T40" s="244">
        <f t="shared" si="11"/>
        <v>9.2553406259860711E-3</v>
      </c>
      <c r="U40" s="246">
        <f t="shared" si="16"/>
        <v>0.36280935253865398</v>
      </c>
      <c r="V40" s="246">
        <f t="shared" si="17"/>
        <v>3.4805044220869997E-5</v>
      </c>
      <c r="W40" s="246">
        <f t="shared" si="18"/>
        <v>2.7131142554840358E-2</v>
      </c>
      <c r="X40" s="246">
        <f t="shared" si="19"/>
        <v>4.4629560279801856E-3</v>
      </c>
      <c r="Y40" s="246">
        <f t="shared" si="20"/>
        <v>7.7343376188628845E-4</v>
      </c>
      <c r="Z40" s="246">
        <f t="shared" si="12"/>
        <v>0.39521168992758166</v>
      </c>
      <c r="AA40" s="247">
        <f t="shared" si="13"/>
        <v>0.14045167322005878</v>
      </c>
      <c r="AB40" s="122"/>
      <c r="AC40" s="244">
        <f t="shared" si="21"/>
        <v>10.165801986852925</v>
      </c>
      <c r="AD40" s="245">
        <f t="shared" si="22"/>
        <v>59.978575447529238</v>
      </c>
      <c r="AE40" s="245">
        <f t="shared" si="23"/>
        <v>408.35678220956061</v>
      </c>
      <c r="AF40" s="245">
        <f t="shared" si="24"/>
        <v>23.863101756311934</v>
      </c>
      <c r="AG40" s="245">
        <f t="shared" si="25"/>
        <v>6.8183710637146939</v>
      </c>
      <c r="AH40" s="245">
        <f t="shared" si="14"/>
        <v>509.18263246396941</v>
      </c>
      <c r="AI40" s="247">
        <f t="shared" si="37"/>
        <v>180.95505403006473</v>
      </c>
    </row>
    <row r="41" spans="1:35">
      <c r="A41" s="122"/>
      <c r="B41" s="241">
        <v>37</v>
      </c>
      <c r="C41" s="248">
        <f>'Other parameters'!$D$22</f>
        <v>4.1983999999999997E-3</v>
      </c>
      <c r="D41" s="242">
        <f>'Other parameters'!$G$22</f>
        <v>39.200000000000003</v>
      </c>
      <c r="E41" s="234">
        <v>0</v>
      </c>
      <c r="F41" s="248">
        <f t="shared" si="28"/>
        <v>2.8973536246928461E-2</v>
      </c>
      <c r="G41" s="248">
        <f t="shared" si="29"/>
        <v>8.0000000000000016E-2</v>
      </c>
      <c r="H41" s="249">
        <f t="shared" si="30"/>
        <v>0.34503242505668674</v>
      </c>
      <c r="I41" s="122"/>
      <c r="J41" s="244">
        <v>0</v>
      </c>
      <c r="K41" s="245">
        <v>0</v>
      </c>
      <c r="L41" s="245">
        <f t="shared" si="31"/>
        <v>0.20399884283939135</v>
      </c>
      <c r="M41" s="245">
        <f t="shared" si="32"/>
        <v>6.0339980200282009E-3</v>
      </c>
      <c r="N41" s="245">
        <f t="shared" si="33"/>
        <v>0.66134393907083111</v>
      </c>
      <c r="O41" s="245">
        <f t="shared" si="34"/>
        <v>2.5130678439048905E-2</v>
      </c>
      <c r="P41" s="245">
        <f t="shared" si="35"/>
        <v>1.1192888202060516E-2</v>
      </c>
      <c r="Q41" s="245">
        <f t="shared" si="36"/>
        <v>9.2299653428639744E-2</v>
      </c>
      <c r="R41" s="243">
        <f t="shared" si="26"/>
        <v>0.99999999999999989</v>
      </c>
      <c r="S41" s="250"/>
      <c r="T41" s="244">
        <f t="shared" si="11"/>
        <v>9.2966350977442894E-3</v>
      </c>
      <c r="U41" s="246">
        <f t="shared" si="16"/>
        <v>0.36442809583157615</v>
      </c>
      <c r="V41" s="246">
        <f t="shared" si="17"/>
        <v>3.0781655652856195E-5</v>
      </c>
      <c r="W41" s="246">
        <f t="shared" si="18"/>
        <v>2.7115101501904076E-2</v>
      </c>
      <c r="X41" s="246">
        <f t="shared" si="19"/>
        <v>4.4983914405897539E-3</v>
      </c>
      <c r="Y41" s="246">
        <f t="shared" si="20"/>
        <v>7.8350217414423619E-4</v>
      </c>
      <c r="Z41" s="246">
        <f t="shared" si="12"/>
        <v>0.39685587260386707</v>
      </c>
      <c r="AA41" s="247">
        <f t="shared" si="13"/>
        <v>0.13692814412249979</v>
      </c>
      <c r="AB41" s="122"/>
      <c r="AC41" s="244">
        <f t="shared" si="21"/>
        <v>8.9906570498420191</v>
      </c>
      <c r="AD41" s="245">
        <f t="shared" si="22"/>
        <v>58.751666737744706</v>
      </c>
      <c r="AE41" s="245">
        <f t="shared" si="23"/>
        <v>408.11534480060988</v>
      </c>
      <c r="AF41" s="245">
        <f t="shared" si="24"/>
        <v>24.052572334013707</v>
      </c>
      <c r="AG41" s="245">
        <f t="shared" si="25"/>
        <v>6.9071313094915441</v>
      </c>
      <c r="AH41" s="245">
        <f t="shared" si="14"/>
        <v>506.81737223170182</v>
      </c>
      <c r="AI41" s="247">
        <f t="shared" si="37"/>
        <v>174.86842700196158</v>
      </c>
    </row>
    <row r="42" spans="1:35">
      <c r="A42" s="122"/>
      <c r="B42" s="241">
        <v>38</v>
      </c>
      <c r="C42" s="248">
        <f>'Other parameters'!$D$22</f>
        <v>4.1983999999999997E-3</v>
      </c>
      <c r="D42" s="242">
        <f>'Other parameters'!$G$22</f>
        <v>39.200000000000003</v>
      </c>
      <c r="E42" s="234">
        <v>0</v>
      </c>
      <c r="F42" s="248">
        <f t="shared" si="28"/>
        <v>2.6216339729042033E-2</v>
      </c>
      <c r="G42" s="248">
        <f t="shared" si="29"/>
        <v>8.0000000000000016E-2</v>
      </c>
      <c r="H42" s="249">
        <f t="shared" si="30"/>
        <v>0.33498293694823961</v>
      </c>
      <c r="I42" s="122"/>
      <c r="J42" s="244">
        <v>0</v>
      </c>
      <c r="K42" s="245">
        <v>0</v>
      </c>
      <c r="L42" s="245">
        <f t="shared" si="31"/>
        <v>0.20021957935638976</v>
      </c>
      <c r="M42" s="245">
        <f t="shared" si="32"/>
        <v>5.348102968208937E-3</v>
      </c>
      <c r="N42" s="245">
        <f t="shared" si="33"/>
        <v>0.66040499065689939</v>
      </c>
      <c r="O42" s="245">
        <f t="shared" si="34"/>
        <v>2.5284920181550697E-2</v>
      </c>
      <c r="P42" s="245">
        <f t="shared" si="35"/>
        <v>1.1311526313285532E-2</v>
      </c>
      <c r="Q42" s="245">
        <f t="shared" si="36"/>
        <v>9.7430880523665525E-2</v>
      </c>
      <c r="R42" s="243">
        <f t="shared" si="26"/>
        <v>0.99999999999999989</v>
      </c>
      <c r="S42" s="250"/>
      <c r="T42" s="244">
        <f t="shared" si="11"/>
        <v>9.3296270950257824E-3</v>
      </c>
      <c r="U42" s="246">
        <f t="shared" si="16"/>
        <v>0.36572138212501071</v>
      </c>
      <c r="V42" s="246">
        <f t="shared" si="17"/>
        <v>2.7282651306315183E-5</v>
      </c>
      <c r="W42" s="246">
        <f t="shared" si="18"/>
        <v>2.7076604616932877E-2</v>
      </c>
      <c r="X42" s="246">
        <f t="shared" si="19"/>
        <v>4.5260007124975745E-3</v>
      </c>
      <c r="Y42" s="246">
        <f t="shared" si="20"/>
        <v>7.9180684192998725E-4</v>
      </c>
      <c r="Z42" s="246">
        <f t="shared" si="12"/>
        <v>0.39814307694767748</v>
      </c>
      <c r="AA42" s="247">
        <f t="shared" si="13"/>
        <v>0.13337113724154195</v>
      </c>
      <c r="AB42" s="122"/>
      <c r="AC42" s="244">
        <f t="shared" si="21"/>
        <v>7.9686734226313165</v>
      </c>
      <c r="AD42" s="245">
        <f t="shared" si="22"/>
        <v>57.663238854640248</v>
      </c>
      <c r="AE42" s="245">
        <f t="shared" si="23"/>
        <v>407.53591973437261</v>
      </c>
      <c r="AF42" s="245">
        <f t="shared" si="24"/>
        <v>24.200197105762172</v>
      </c>
      <c r="AG42" s="245">
        <f t="shared" si="25"/>
        <v>6.9803428879285017</v>
      </c>
      <c r="AH42" s="245">
        <f t="shared" si="14"/>
        <v>504.34837200533485</v>
      </c>
      <c r="AI42" s="247">
        <f t="shared" si="37"/>
        <v>168.94809889941038</v>
      </c>
    </row>
    <row r="43" spans="1:35">
      <c r="A43" s="122"/>
      <c r="B43" s="241">
        <v>39</v>
      </c>
      <c r="C43" s="248">
        <f>'Other parameters'!$D$22</f>
        <v>4.1983999999999997E-3</v>
      </c>
      <c r="D43" s="242">
        <f>'Other parameters'!$G$22</f>
        <v>39.200000000000003</v>
      </c>
      <c r="E43" s="234">
        <v>0</v>
      </c>
      <c r="F43" s="248">
        <f t="shared" si="28"/>
        <v>2.3721525150779944E-2</v>
      </c>
      <c r="G43" s="248">
        <f t="shared" si="29"/>
        <v>8.0000000000000016E-2</v>
      </c>
      <c r="H43" s="249">
        <f t="shared" si="30"/>
        <v>0.3252261523769317</v>
      </c>
      <c r="I43" s="122"/>
      <c r="J43" s="244">
        <v>0</v>
      </c>
      <c r="K43" s="245">
        <v>0</v>
      </c>
      <c r="L43" s="245">
        <f t="shared" si="31"/>
        <v>0.19686057234074292</v>
      </c>
      <c r="M43" s="245">
        <f t="shared" si="32"/>
        <v>4.7495137873811806E-3</v>
      </c>
      <c r="N43" s="245">
        <f t="shared" si="33"/>
        <v>0.65899489269205724</v>
      </c>
      <c r="O43" s="245">
        <f t="shared" si="34"/>
        <v>2.5400009086604128E-2</v>
      </c>
      <c r="P43" s="245">
        <f t="shared" si="35"/>
        <v>1.1407529593172167E-2</v>
      </c>
      <c r="Q43" s="245">
        <f t="shared" si="36"/>
        <v>0.10258748250004222</v>
      </c>
      <c r="R43" s="243">
        <f t="shared" si="26"/>
        <v>0.99999999999999978</v>
      </c>
      <c r="S43" s="250"/>
      <c r="T43" s="244">
        <f t="shared" si="11"/>
        <v>9.3550019763766999E-3</v>
      </c>
      <c r="U43" s="246">
        <f t="shared" si="16"/>
        <v>0.36671607747396667</v>
      </c>
      <c r="V43" s="246">
        <f t="shared" si="17"/>
        <v>2.4229026498914409E-5</v>
      </c>
      <c r="W43" s="246">
        <f t="shared" si="18"/>
        <v>2.7018790600374348E-2</v>
      </c>
      <c r="X43" s="246">
        <f t="shared" si="19"/>
        <v>4.5466016265021383E-3</v>
      </c>
      <c r="Y43" s="246">
        <f t="shared" si="20"/>
        <v>7.9852707152205178E-4</v>
      </c>
      <c r="Z43" s="246">
        <f t="shared" si="12"/>
        <v>0.39910422579886407</v>
      </c>
      <c r="AA43" s="247">
        <f t="shared" si="13"/>
        <v>0.12979913175393873</v>
      </c>
      <c r="AB43" s="122"/>
      <c r="AC43" s="244">
        <f t="shared" si="21"/>
        <v>7.0767755431979591</v>
      </c>
      <c r="AD43" s="245">
        <f t="shared" si="22"/>
        <v>56.695844834133958</v>
      </c>
      <c r="AE43" s="245">
        <f t="shared" si="23"/>
        <v>406.66574828026853</v>
      </c>
      <c r="AF43" s="245">
        <f t="shared" si="24"/>
        <v>24.310348696788811</v>
      </c>
      <c r="AG43" s="245">
        <f t="shared" si="25"/>
        <v>7.0395865119465446</v>
      </c>
      <c r="AH43" s="245">
        <f t="shared" si="14"/>
        <v>501.78830386633581</v>
      </c>
      <c r="AI43" s="247">
        <f t="shared" si="37"/>
        <v>163.19467937419503</v>
      </c>
    </row>
    <row r="44" spans="1:35">
      <c r="A44" s="122"/>
      <c r="B44" s="241">
        <v>40</v>
      </c>
      <c r="C44" s="248">
        <f>'Other parameters'!$D$23</f>
        <v>5.1936000000000005E-3</v>
      </c>
      <c r="D44" s="242">
        <f>'Other parameters'!$G$23</f>
        <v>35</v>
      </c>
      <c r="E44" s="234">
        <v>0</v>
      </c>
      <c r="F44" s="248">
        <f t="shared" si="28"/>
        <v>2.1464123569306798E-2</v>
      </c>
      <c r="G44" s="248">
        <f t="shared" si="29"/>
        <v>8.0000000000000016E-2</v>
      </c>
      <c r="H44" s="249">
        <f t="shared" si="30"/>
        <v>0.31575354599702099</v>
      </c>
      <c r="I44" s="122"/>
      <c r="J44" s="244">
        <v>0</v>
      </c>
      <c r="K44" s="245">
        <v>0</v>
      </c>
      <c r="L44" s="245">
        <f t="shared" si="31"/>
        <v>0.19387000627481585</v>
      </c>
      <c r="M44" s="245">
        <f t="shared" si="32"/>
        <v>4.2254396506461655E-3</v>
      </c>
      <c r="N44" s="245">
        <f t="shared" si="33"/>
        <v>0.65717856942708541</v>
      </c>
      <c r="O44" s="245">
        <f t="shared" si="34"/>
        <v>2.5480191404310626E-2</v>
      </c>
      <c r="P44" s="245">
        <f t="shared" si="35"/>
        <v>1.1483261889466703E-2</v>
      </c>
      <c r="Q44" s="245">
        <f t="shared" si="36"/>
        <v>0.10776253135367511</v>
      </c>
      <c r="R44" s="243">
        <f t="shared" si="26"/>
        <v>0.99999999999999989</v>
      </c>
      <c r="S44" s="250"/>
      <c r="T44" s="244">
        <f t="shared" si="11"/>
        <v>1.0368648853632891E-2</v>
      </c>
      <c r="U44" s="246">
        <f t="shared" si="16"/>
        <v>0.36290270987715118</v>
      </c>
      <c r="V44" s="246">
        <f t="shared" si="17"/>
        <v>2.1555530491789483E-5</v>
      </c>
      <c r="W44" s="246">
        <f t="shared" si="18"/>
        <v>2.6944321346510505E-2</v>
      </c>
      <c r="X44" s="246">
        <f t="shared" si="19"/>
        <v>4.5609542613716022E-3</v>
      </c>
      <c r="Y44" s="246">
        <f t="shared" si="20"/>
        <v>8.0382833226266934E-4</v>
      </c>
      <c r="Z44" s="246">
        <f t="shared" si="12"/>
        <v>0.39523336934778769</v>
      </c>
      <c r="AA44" s="247">
        <f t="shared" si="13"/>
        <v>0.12479633786791426</v>
      </c>
      <c r="AB44" s="122"/>
      <c r="AC44" s="244">
        <f t="shared" si="21"/>
        <v>6.2959050794627869</v>
      </c>
      <c r="AD44" s="245">
        <f t="shared" si="22"/>
        <v>55.834561807146962</v>
      </c>
      <c r="AE44" s="245">
        <f t="shared" si="23"/>
        <v>405.54489519345441</v>
      </c>
      <c r="AF44" s="245">
        <f t="shared" si="24"/>
        <v>24.3870911930657</v>
      </c>
      <c r="AG44" s="245">
        <f t="shared" si="25"/>
        <v>7.0863209119899029</v>
      </c>
      <c r="AH44" s="245">
        <f t="shared" si="14"/>
        <v>499.14877418511975</v>
      </c>
      <c r="AI44" s="247">
        <f t="shared" si="37"/>
        <v>157.60799542901785</v>
      </c>
    </row>
    <row r="45" spans="1:35">
      <c r="A45" s="122"/>
      <c r="B45" s="241">
        <v>41</v>
      </c>
      <c r="C45" s="248">
        <f>'Other parameters'!$D$23</f>
        <v>5.1936000000000005E-3</v>
      </c>
      <c r="D45" s="242">
        <f>'Other parameters'!$G$23</f>
        <v>35</v>
      </c>
      <c r="E45" s="234">
        <v>0</v>
      </c>
      <c r="F45" s="248">
        <f t="shared" si="28"/>
        <v>1.9421542150856345E-2</v>
      </c>
      <c r="G45" s="248">
        <f t="shared" si="29"/>
        <v>8.0000000000000016E-2</v>
      </c>
      <c r="H45" s="249">
        <f t="shared" si="30"/>
        <v>0.30655684077380685</v>
      </c>
      <c r="I45" s="122"/>
      <c r="J45" s="244">
        <v>0</v>
      </c>
      <c r="K45" s="245">
        <v>0</v>
      </c>
      <c r="L45" s="245">
        <f t="shared" si="31"/>
        <v>0.19120336608533073</v>
      </c>
      <c r="M45" s="245">
        <f t="shared" si="32"/>
        <v>3.7652544986531201E-3</v>
      </c>
      <c r="N45" s="245">
        <f t="shared" si="33"/>
        <v>0.65501135937579946</v>
      </c>
      <c r="O45" s="245">
        <f t="shared" si="34"/>
        <v>2.5529363797479616E-2</v>
      </c>
      <c r="P45" s="245">
        <f t="shared" si="35"/>
        <v>1.1540887434969095E-2</v>
      </c>
      <c r="Q45" s="245">
        <f t="shared" si="36"/>
        <v>0.1129497688077678</v>
      </c>
      <c r="R45" s="243">
        <f t="shared" si="26"/>
        <v>0.99999999999999978</v>
      </c>
      <c r="S45" s="250"/>
      <c r="T45" s="244">
        <f t="shared" si="11"/>
        <v>1.0380837454092691E-2</v>
      </c>
      <c r="U45" s="246">
        <f t="shared" si="16"/>
        <v>0.36332931089324416</v>
      </c>
      <c r="V45" s="246">
        <f t="shared" si="17"/>
        <v>1.9207955826005781E-5</v>
      </c>
      <c r="W45" s="246">
        <f t="shared" si="18"/>
        <v>2.685546573440778E-2</v>
      </c>
      <c r="X45" s="246">
        <f t="shared" si="19"/>
        <v>4.5697561197488509E-3</v>
      </c>
      <c r="Y45" s="246">
        <f t="shared" si="20"/>
        <v>8.0786212044783672E-4</v>
      </c>
      <c r="Z45" s="246">
        <f t="shared" si="12"/>
        <v>0.39558160282367461</v>
      </c>
      <c r="AA45" s="247">
        <f t="shared" si="13"/>
        <v>0.12126824642986452</v>
      </c>
      <c r="AB45" s="122"/>
      <c r="AC45" s="244">
        <f t="shared" si="21"/>
        <v>5.6102292029931489</v>
      </c>
      <c r="AD45" s="245">
        <f t="shared" si="22"/>
        <v>55.06656943257525</v>
      </c>
      <c r="AE45" s="245">
        <f t="shared" si="23"/>
        <v>404.20750987080584</v>
      </c>
      <c r="AF45" s="245">
        <f t="shared" si="24"/>
        <v>24.434154090567741</v>
      </c>
      <c r="AG45" s="245">
        <f t="shared" si="25"/>
        <v>7.1218816361194293</v>
      </c>
      <c r="AH45" s="245">
        <f t="shared" si="14"/>
        <v>496.44034423306141</v>
      </c>
      <c r="AI45" s="247">
        <f t="shared" si="37"/>
        <v>152.18718356074848</v>
      </c>
    </row>
    <row r="46" spans="1:35">
      <c r="A46" s="122"/>
      <c r="B46" s="241">
        <v>42</v>
      </c>
      <c r="C46" s="248">
        <f>'Other parameters'!$D$23</f>
        <v>5.1936000000000005E-3</v>
      </c>
      <c r="D46" s="242">
        <f>'Other parameters'!$G$23</f>
        <v>35</v>
      </c>
      <c r="E46" s="234">
        <v>0</v>
      </c>
      <c r="F46" s="248">
        <f t="shared" si="28"/>
        <v>1.7573338054057416E-2</v>
      </c>
      <c r="G46" s="248">
        <f t="shared" si="29"/>
        <v>8.0000000000000016E-2</v>
      </c>
      <c r="H46" s="249">
        <f t="shared" si="30"/>
        <v>0.29762800075126877</v>
      </c>
      <c r="I46" s="122"/>
      <c r="J46" s="244">
        <v>0</v>
      </c>
      <c r="K46" s="245">
        <v>0</v>
      </c>
      <c r="L46" s="245">
        <f t="shared" si="31"/>
        <v>0.18882225086568935</v>
      </c>
      <c r="M46" s="245">
        <f t="shared" si="32"/>
        <v>3.3600813892912134E-3</v>
      </c>
      <c r="N46" s="245">
        <f t="shared" si="33"/>
        <v>0.6525406517006197</v>
      </c>
      <c r="O46" s="245">
        <f t="shared" si="34"/>
        <v>2.5551068099664308E-2</v>
      </c>
      <c r="P46" s="245">
        <f t="shared" si="35"/>
        <v>1.158237537066973E-2</v>
      </c>
      <c r="Q46" s="245">
        <f t="shared" si="36"/>
        <v>0.11814357257406566</v>
      </c>
      <c r="R46" s="243">
        <f t="shared" si="26"/>
        <v>1</v>
      </c>
      <c r="S46" s="250"/>
      <c r="T46" s="244">
        <f t="shared" si="11"/>
        <v>1.0387403766297855E-2</v>
      </c>
      <c r="U46" s="246">
        <f t="shared" si="16"/>
        <v>0.36355913182042493</v>
      </c>
      <c r="V46" s="246">
        <f t="shared" si="17"/>
        <v>1.7141017936603399E-5</v>
      </c>
      <c r="W46" s="246">
        <f t="shared" si="18"/>
        <v>2.6754166719725407E-2</v>
      </c>
      <c r="X46" s="246">
        <f t="shared" si="19"/>
        <v>4.573641189839911E-3</v>
      </c>
      <c r="Y46" s="246">
        <f t="shared" si="20"/>
        <v>8.1076627594688121E-4</v>
      </c>
      <c r="Z46" s="246">
        <f t="shared" si="12"/>
        <v>0.39571484702387372</v>
      </c>
      <c r="AA46" s="247">
        <f t="shared" si="13"/>
        <v>0.11777581878730969</v>
      </c>
      <c r="AB46" s="122"/>
      <c r="AC46" s="244">
        <f t="shared" si="21"/>
        <v>5.0065212700439083</v>
      </c>
      <c r="AD46" s="245">
        <f t="shared" si="22"/>
        <v>54.380808249318534</v>
      </c>
      <c r="AE46" s="245">
        <f t="shared" si="23"/>
        <v>402.68283616445245</v>
      </c>
      <c r="AF46" s="245">
        <f t="shared" si="24"/>
        <v>24.454927278188709</v>
      </c>
      <c r="AG46" s="245">
        <f t="shared" si="25"/>
        <v>7.147483841240291</v>
      </c>
      <c r="AH46" s="245">
        <f t="shared" si="14"/>
        <v>493.67257680324389</v>
      </c>
      <c r="AI46" s="247">
        <f t="shared" si="37"/>
        <v>146.93078205967666</v>
      </c>
    </row>
    <row r="47" spans="1:35">
      <c r="A47" s="122"/>
      <c r="B47" s="241">
        <v>43</v>
      </c>
      <c r="C47" s="248">
        <f>'Other parameters'!$D$23</f>
        <v>5.1936000000000005E-3</v>
      </c>
      <c r="D47" s="242">
        <f>'Other parameters'!$G$23</f>
        <v>35</v>
      </c>
      <c r="E47" s="234">
        <v>0</v>
      </c>
      <c r="F47" s="248">
        <f t="shared" si="28"/>
        <v>1.5901013831106387E-2</v>
      </c>
      <c r="G47" s="248">
        <f t="shared" si="29"/>
        <v>8.0000000000000016E-2</v>
      </c>
      <c r="H47" s="249">
        <f t="shared" si="30"/>
        <v>0.28895922403035801</v>
      </c>
      <c r="I47" s="122"/>
      <c r="J47" s="244">
        <v>0</v>
      </c>
      <c r="K47" s="245">
        <v>0</v>
      </c>
      <c r="L47" s="245">
        <f t="shared" si="31"/>
        <v>0.1866934068042691</v>
      </c>
      <c r="M47" s="245">
        <f t="shared" si="32"/>
        <v>3.0024652226359663E-3</v>
      </c>
      <c r="N47" s="245">
        <f t="shared" si="33"/>
        <v>0.6498072048630652</v>
      </c>
      <c r="O47" s="245">
        <f t="shared" si="34"/>
        <v>2.5548500276690807E-2</v>
      </c>
      <c r="P47" s="245">
        <f t="shared" si="35"/>
        <v>1.1609508432127593E-2</v>
      </c>
      <c r="Q47" s="245">
        <f t="shared" si="36"/>
        <v>0.12333891440121136</v>
      </c>
      <c r="R47" s="243">
        <f t="shared" si="26"/>
        <v>1</v>
      </c>
      <c r="S47" s="250"/>
      <c r="T47" s="244">
        <f t="shared" si="11"/>
        <v>1.0388941827145708E-2</v>
      </c>
      <c r="U47" s="246">
        <f t="shared" si="16"/>
        <v>0.36361296395009979</v>
      </c>
      <c r="V47" s="246">
        <f t="shared" si="17"/>
        <v>1.5316685601501834E-5</v>
      </c>
      <c r="W47" s="246">
        <f t="shared" si="18"/>
        <v>2.6642095399385675E-2</v>
      </c>
      <c r="X47" s="246">
        <f t="shared" si="19"/>
        <v>4.5731815495276542E-3</v>
      </c>
      <c r="Y47" s="246">
        <f t="shared" si="20"/>
        <v>8.1266559024893161E-4</v>
      </c>
      <c r="Z47" s="246">
        <f t="shared" si="12"/>
        <v>0.39565622317486354</v>
      </c>
      <c r="AA47" s="247">
        <f t="shared" si="13"/>
        <v>0.11432851523139072</v>
      </c>
      <c r="AB47" s="122"/>
      <c r="AC47" s="244">
        <f t="shared" si="21"/>
        <v>4.4736731817275901</v>
      </c>
      <c r="AD47" s="245">
        <f t="shared" si="22"/>
        <v>53.767701159629503</v>
      </c>
      <c r="AE47" s="245">
        <f t="shared" si="23"/>
        <v>400.99602612099756</v>
      </c>
      <c r="AF47" s="245">
        <f t="shared" si="24"/>
        <v>24.452469614820771</v>
      </c>
      <c r="AG47" s="245">
        <f t="shared" si="25"/>
        <v>7.1642276534659386</v>
      </c>
      <c r="AH47" s="245">
        <f t="shared" si="14"/>
        <v>490.85409773064134</v>
      </c>
      <c r="AI47" s="247">
        <f t="shared" si="37"/>
        <v>141.83681919236764</v>
      </c>
    </row>
    <row r="48" spans="1:35">
      <c r="A48" s="122"/>
      <c r="B48" s="241">
        <v>44</v>
      </c>
      <c r="C48" s="248">
        <f>'Other parameters'!$D$23</f>
        <v>5.1936000000000005E-3</v>
      </c>
      <c r="D48" s="242">
        <f>'Other parameters'!$G$23</f>
        <v>35</v>
      </c>
      <c r="E48" s="234">
        <v>0</v>
      </c>
      <c r="F48" s="248">
        <f t="shared" si="28"/>
        <v>1.4387832299092386E-2</v>
      </c>
      <c r="G48" s="248">
        <f t="shared" si="29"/>
        <v>8.0000000000000016E-2</v>
      </c>
      <c r="H48" s="249">
        <f t="shared" si="30"/>
        <v>0.28054293595180391</v>
      </c>
      <c r="I48" s="122"/>
      <c r="J48" s="244">
        <v>0</v>
      </c>
      <c r="K48" s="245">
        <v>0</v>
      </c>
      <c r="L48" s="245">
        <f t="shared" si="31"/>
        <v>0.18478793433370841</v>
      </c>
      <c r="M48" s="245">
        <f t="shared" si="32"/>
        <v>2.6861134284460572E-3</v>
      </c>
      <c r="N48" s="245">
        <f t="shared" si="33"/>
        <v>0.6468462158098981</v>
      </c>
      <c r="O48" s="245">
        <f t="shared" si="34"/>
        <v>2.5524528130743077E-2</v>
      </c>
      <c r="P48" s="245">
        <f t="shared" si="35"/>
        <v>1.1623894148788705E-2</v>
      </c>
      <c r="Q48" s="245">
        <f t="shared" si="36"/>
        <v>0.12853131414841573</v>
      </c>
      <c r="R48" s="243">
        <f t="shared" si="26"/>
        <v>1.0000000000000002</v>
      </c>
      <c r="S48" s="250"/>
      <c r="T48" s="244">
        <f t="shared" si="11"/>
        <v>1.0385999747204378E-2</v>
      </c>
      <c r="U48" s="246">
        <f t="shared" si="16"/>
        <v>0.36350999115215321</v>
      </c>
      <c r="V48" s="246">
        <f t="shared" si="17"/>
        <v>1.3702858092511121E-5</v>
      </c>
      <c r="W48" s="246">
        <f t="shared" si="18"/>
        <v>2.6520694848205822E-2</v>
      </c>
      <c r="X48" s="246">
        <f t="shared" si="19"/>
        <v>4.5688905354030109E-3</v>
      </c>
      <c r="Y48" s="246">
        <f t="shared" si="20"/>
        <v>8.1367259041520944E-4</v>
      </c>
      <c r="Z48" s="246">
        <f t="shared" si="12"/>
        <v>0.39542695198426969</v>
      </c>
      <c r="AA48" s="247">
        <f t="shared" si="13"/>
        <v>0.11093423806414002</v>
      </c>
      <c r="AB48" s="122"/>
      <c r="AC48" s="244">
        <f t="shared" si="21"/>
        <v>4.0023090083846249</v>
      </c>
      <c r="AD48" s="245">
        <f t="shared" si="22"/>
        <v>53.218925088108023</v>
      </c>
      <c r="AE48" s="245">
        <f t="shared" si="23"/>
        <v>399.16879977628815</v>
      </c>
      <c r="AF48" s="245">
        <f t="shared" si="24"/>
        <v>24.4295258739342</v>
      </c>
      <c r="AG48" s="245">
        <f t="shared" si="25"/>
        <v>7.1731050792175095</v>
      </c>
      <c r="AH48" s="245">
        <f t="shared" si="14"/>
        <v>487.99266482593254</v>
      </c>
      <c r="AI48" s="247">
        <f t="shared" si="37"/>
        <v>136.9028949132117</v>
      </c>
    </row>
    <row r="49" spans="1:35">
      <c r="A49" s="122"/>
      <c r="B49" s="241">
        <v>45</v>
      </c>
      <c r="C49" s="248">
        <f>'Other parameters'!$D$24</f>
        <v>5.7866000000000003E-3</v>
      </c>
      <c r="D49" s="242">
        <f>'Other parameters'!$G$24</f>
        <v>30.9</v>
      </c>
      <c r="E49" s="234">
        <v>0</v>
      </c>
      <c r="F49" s="248">
        <f t="shared" si="28"/>
        <v>1.3018649028645137E-2</v>
      </c>
      <c r="G49" s="248">
        <f t="shared" si="29"/>
        <v>8.0000000000000016E-2</v>
      </c>
      <c r="H49" s="249">
        <f t="shared" si="30"/>
        <v>0.27237178247747956</v>
      </c>
      <c r="I49" s="122"/>
      <c r="J49" s="244">
        <v>0</v>
      </c>
      <c r="K49" s="245">
        <v>0</v>
      </c>
      <c r="L49" s="245">
        <f t="shared" si="31"/>
        <v>0.18308063456328552</v>
      </c>
      <c r="M49" s="245">
        <f t="shared" si="32"/>
        <v>2.4056892618188742E-3</v>
      </c>
      <c r="N49" s="245">
        <f t="shared" si="33"/>
        <v>0.64368819207866868</v>
      </c>
      <c r="O49" s="245">
        <f t="shared" si="34"/>
        <v>2.5481713953301476E-2</v>
      </c>
      <c r="P49" s="245">
        <f t="shared" si="35"/>
        <v>1.1626977386750321E-2</v>
      </c>
      <c r="Q49" s="245">
        <f t="shared" si="36"/>
        <v>0.13371679275617526</v>
      </c>
      <c r="R49" s="243">
        <f t="shared" si="26"/>
        <v>1.0000000000000002</v>
      </c>
      <c r="S49" s="250"/>
      <c r="T49" s="244">
        <f t="shared" si="11"/>
        <v>1.0972078607759519E-2</v>
      </c>
      <c r="U49" s="246">
        <f t="shared" si="16"/>
        <v>0.33903722897976912</v>
      </c>
      <c r="V49" s="246">
        <f t="shared" si="17"/>
        <v>1.2272310700018479E-5</v>
      </c>
      <c r="W49" s="246">
        <f t="shared" si="18"/>
        <v>2.6391215875225416E-2</v>
      </c>
      <c r="X49" s="246">
        <f t="shared" si="19"/>
        <v>4.5612267976409635E-3</v>
      </c>
      <c r="Y49" s="246">
        <f t="shared" si="20"/>
        <v>8.1388841707252259E-4</v>
      </c>
      <c r="Z49" s="246">
        <f t="shared" si="12"/>
        <v>0.37081583238040805</v>
      </c>
      <c r="AA49" s="247">
        <f t="shared" si="13"/>
        <v>0.10099976923632202</v>
      </c>
      <c r="AB49" s="122"/>
      <c r="AC49" s="244">
        <f t="shared" si="21"/>
        <v>3.5844770001101227</v>
      </c>
      <c r="AD49" s="245">
        <f t="shared" si="22"/>
        <v>52.727222754226233</v>
      </c>
      <c r="AE49" s="245">
        <f t="shared" si="23"/>
        <v>397.21998333174645</v>
      </c>
      <c r="AF49" s="245">
        <f t="shared" si="24"/>
        <v>24.388548424704844</v>
      </c>
      <c r="AG49" s="245">
        <f t="shared" si="25"/>
        <v>7.1750077453636232</v>
      </c>
      <c r="AH49" s="245">
        <f t="shared" si="14"/>
        <v>485.09523925615127</v>
      </c>
      <c r="AI49" s="247">
        <f t="shared" si="37"/>
        <v>132.12625498753735</v>
      </c>
    </row>
    <row r="50" spans="1:35">
      <c r="A50" s="122"/>
      <c r="B50" s="241">
        <v>46</v>
      </c>
      <c r="C50" s="248">
        <f>'Other parameters'!$D$24</f>
        <v>5.7866000000000003E-3</v>
      </c>
      <c r="D50" s="242">
        <f>'Other parameters'!$G$24</f>
        <v>30.9</v>
      </c>
      <c r="E50" s="234">
        <v>0</v>
      </c>
      <c r="F50" s="248">
        <f t="shared" si="28"/>
        <v>1.1779760773395619E-2</v>
      </c>
      <c r="G50" s="248">
        <f t="shared" si="29"/>
        <v>8.0000000000000016E-2</v>
      </c>
      <c r="H50" s="249">
        <f t="shared" si="30"/>
        <v>0.26443862376454325</v>
      </c>
      <c r="I50" s="122"/>
      <c r="J50" s="244">
        <v>0</v>
      </c>
      <c r="K50" s="245">
        <v>0</v>
      </c>
      <c r="L50" s="245">
        <f t="shared" si="31"/>
        <v>0.18154946769396146</v>
      </c>
      <c r="M50" s="245">
        <f t="shared" si="32"/>
        <v>2.156646077396969E-3</v>
      </c>
      <c r="N50" s="245">
        <f t="shared" si="33"/>
        <v>0.64035966727002247</v>
      </c>
      <c r="O50" s="245">
        <f t="shared" si="34"/>
        <v>2.5422339531221885E-2</v>
      </c>
      <c r="P50" s="245">
        <f t="shared" si="35"/>
        <v>1.1620053418235738E-2</v>
      </c>
      <c r="Q50" s="245">
        <f t="shared" si="36"/>
        <v>0.13889182600916164</v>
      </c>
      <c r="R50" s="243">
        <f t="shared" si="26"/>
        <v>1.0000000000000002</v>
      </c>
      <c r="S50" s="250"/>
      <c r="T50" s="244">
        <f t="shared" si="11"/>
        <v>1.0961633252986366E-2</v>
      </c>
      <c r="U50" s="246">
        <f t="shared" si="16"/>
        <v>0.33871446751727868</v>
      </c>
      <c r="V50" s="246">
        <f t="shared" si="17"/>
        <v>1.1001849304419607E-5</v>
      </c>
      <c r="W50" s="246">
        <f t="shared" si="18"/>
        <v>2.6254746358070923E-2</v>
      </c>
      <c r="X50" s="246">
        <f t="shared" si="19"/>
        <v>4.550598776088717E-3</v>
      </c>
      <c r="Y50" s="246">
        <f t="shared" si="20"/>
        <v>8.1340373927650176E-4</v>
      </c>
      <c r="Z50" s="246">
        <f t="shared" si="12"/>
        <v>0.37034421824001923</v>
      </c>
      <c r="AA50" s="247">
        <f t="shared" si="13"/>
        <v>9.7933315390546338E-2</v>
      </c>
      <c r="AB50" s="122"/>
      <c r="AC50" s="244">
        <f t="shared" si="21"/>
        <v>3.2134026553214836</v>
      </c>
      <c r="AD50" s="245">
        <f t="shared" si="22"/>
        <v>52.286246695860903</v>
      </c>
      <c r="AE50" s="245">
        <f t="shared" si="23"/>
        <v>395.16595067233089</v>
      </c>
      <c r="AF50" s="245">
        <f t="shared" si="24"/>
        <v>24.331721165332468</v>
      </c>
      <c r="AG50" s="245">
        <f t="shared" si="25"/>
        <v>7.1707349643932741</v>
      </c>
      <c r="AH50" s="245">
        <f t="shared" si="14"/>
        <v>482.16805615323898</v>
      </c>
      <c r="AI50" s="247">
        <f t="shared" si="37"/>
        <v>127.50385719238753</v>
      </c>
    </row>
    <row r="51" spans="1:35">
      <c r="A51" s="122"/>
      <c r="B51" s="241">
        <v>47</v>
      </c>
      <c r="C51" s="248">
        <f>'Other parameters'!$D$24</f>
        <v>5.7866000000000003E-3</v>
      </c>
      <c r="D51" s="242">
        <f>'Other parameters'!$G$24</f>
        <v>30.9</v>
      </c>
      <c r="E51" s="234">
        <v>0</v>
      </c>
      <c r="F51" s="248">
        <f t="shared" si="28"/>
        <v>1.0658768323280568E-2</v>
      </c>
      <c r="G51" s="248">
        <f t="shared" si="29"/>
        <v>8.0000000000000016E-2</v>
      </c>
      <c r="H51" s="249">
        <f t="shared" si="30"/>
        <v>0.25673652792674101</v>
      </c>
      <c r="I51" s="122"/>
      <c r="J51" s="244">
        <v>0</v>
      </c>
      <c r="K51" s="245">
        <v>0</v>
      </c>
      <c r="L51" s="245">
        <f t="shared" si="31"/>
        <v>0.18017510195871983</v>
      </c>
      <c r="M51" s="245">
        <f t="shared" si="32"/>
        <v>1.9350937153648452E-3</v>
      </c>
      <c r="N51" s="245">
        <f t="shared" si="33"/>
        <v>0.63688379130706596</v>
      </c>
      <c r="O51" s="245">
        <f t="shared" si="34"/>
        <v>2.5348431766876945E-2</v>
      </c>
      <c r="P51" s="245">
        <f t="shared" si="35"/>
        <v>1.1604280959014855E-2</v>
      </c>
      <c r="Q51" s="245">
        <f t="shared" si="36"/>
        <v>0.14405330029295768</v>
      </c>
      <c r="R51" s="243">
        <f t="shared" si="26"/>
        <v>1.0000000000000002</v>
      </c>
      <c r="S51" s="250"/>
      <c r="T51" s="244">
        <f t="shared" si="11"/>
        <v>1.0948074283796044E-2</v>
      </c>
      <c r="U51" s="246">
        <f t="shared" si="16"/>
        <v>0.33829549536929776</v>
      </c>
      <c r="V51" s="246">
        <f t="shared" si="17"/>
        <v>9.8716287616694314E-6</v>
      </c>
      <c r="W51" s="246">
        <f t="shared" si="18"/>
        <v>2.6112235443589704E-2</v>
      </c>
      <c r="X51" s="246">
        <f t="shared" si="19"/>
        <v>4.5373692862709734E-3</v>
      </c>
      <c r="Y51" s="246">
        <f t="shared" si="20"/>
        <v>8.1229966713103991E-4</v>
      </c>
      <c r="Z51" s="246">
        <f t="shared" si="12"/>
        <v>0.36976727139505111</v>
      </c>
      <c r="AA51" s="247">
        <f t="shared" si="13"/>
        <v>9.4932765398910365E-2</v>
      </c>
      <c r="AB51" s="122"/>
      <c r="AC51" s="244">
        <f t="shared" si="21"/>
        <v>2.8832896358936195</v>
      </c>
      <c r="AD51" s="245">
        <f t="shared" si="22"/>
        <v>51.890429364111313</v>
      </c>
      <c r="AE51" s="245">
        <f t="shared" si="23"/>
        <v>393.0209876155904</v>
      </c>
      <c r="AF51" s="245">
        <f t="shared" si="24"/>
        <v>24.260984044077926</v>
      </c>
      <c r="AG51" s="245">
        <f t="shared" si="25"/>
        <v>7.1610017798080676</v>
      </c>
      <c r="AH51" s="245">
        <f t="shared" si="14"/>
        <v>479.21669243948133</v>
      </c>
      <c r="AI51" s="247">
        <f t="shared" si="37"/>
        <v>123.03242974144936</v>
      </c>
    </row>
    <row r="52" spans="1:35">
      <c r="A52" s="122"/>
      <c r="B52" s="241">
        <v>48</v>
      </c>
      <c r="C52" s="248">
        <f>'Other parameters'!$D$24</f>
        <v>5.7866000000000003E-3</v>
      </c>
      <c r="D52" s="242">
        <f>'Other parameters'!$G$24</f>
        <v>30.9</v>
      </c>
      <c r="E52" s="234">
        <v>0</v>
      </c>
      <c r="F52" s="248">
        <f t="shared" si="28"/>
        <v>9.644452409080663E-3</v>
      </c>
      <c r="G52" s="248">
        <f t="shared" si="29"/>
        <v>8.0000000000000016E-2</v>
      </c>
      <c r="H52" s="249">
        <f t="shared" si="30"/>
        <v>0.24925876497741845</v>
      </c>
      <c r="I52" s="122"/>
      <c r="J52" s="244">
        <v>0</v>
      </c>
      <c r="K52" s="245">
        <v>0</v>
      </c>
      <c r="L52" s="245">
        <f t="shared" si="31"/>
        <v>0.17894053612857258</v>
      </c>
      <c r="M52" s="245">
        <f t="shared" si="32"/>
        <v>1.7376901961421295E-3</v>
      </c>
      <c r="N52" s="245">
        <f t="shared" si="33"/>
        <v>0.6332808200323633</v>
      </c>
      <c r="O52" s="245">
        <f t="shared" si="34"/>
        <v>2.5261787781880266E-2</v>
      </c>
      <c r="P52" s="245">
        <f t="shared" si="35"/>
        <v>1.1580694802761818E-2</v>
      </c>
      <c r="Q52" s="245">
        <f t="shared" si="36"/>
        <v>0.14919847105828007</v>
      </c>
      <c r="R52" s="243">
        <f t="shared" si="26"/>
        <v>1.0000000000000002</v>
      </c>
      <c r="S52" s="250"/>
      <c r="T52" s="244">
        <f t="shared" si="11"/>
        <v>1.0931770765322396E-2</v>
      </c>
      <c r="U52" s="246">
        <f t="shared" si="16"/>
        <v>0.33779171664846203</v>
      </c>
      <c r="V52" s="246">
        <f t="shared" si="17"/>
        <v>8.864600397853823E-6</v>
      </c>
      <c r="W52" s="246">
        <f t="shared" si="18"/>
        <v>2.5964513621326898E-2</v>
      </c>
      <c r="X52" s="246">
        <f t="shared" si="19"/>
        <v>4.5218600129565672E-3</v>
      </c>
      <c r="Y52" s="246">
        <f t="shared" si="20"/>
        <v>8.1064863619332737E-4</v>
      </c>
      <c r="Z52" s="246">
        <f t="shared" si="12"/>
        <v>0.36909760351933668</v>
      </c>
      <c r="AA52" s="247">
        <f t="shared" si="13"/>
        <v>9.2000812809354723E-2</v>
      </c>
      <c r="AB52" s="122"/>
      <c r="AC52" s="244">
        <f t="shared" si="21"/>
        <v>2.5891583922517731</v>
      </c>
      <c r="AD52" s="245">
        <f t="shared" si="22"/>
        <v>51.534874405028901</v>
      </c>
      <c r="AE52" s="245">
        <f t="shared" si="23"/>
        <v>390.79759404197142</v>
      </c>
      <c r="AF52" s="245">
        <f t="shared" si="24"/>
        <v>24.178057086037605</v>
      </c>
      <c r="AG52" s="245">
        <f t="shared" si="25"/>
        <v>7.1464467627843185</v>
      </c>
      <c r="AH52" s="245">
        <f t="shared" si="14"/>
        <v>476.246130688074</v>
      </c>
      <c r="AI52" s="247">
        <f t="shared" si="37"/>
        <v>118.70852236058354</v>
      </c>
    </row>
    <row r="53" spans="1:35">
      <c r="A53" s="122"/>
      <c r="B53" s="241">
        <v>49</v>
      </c>
      <c r="C53" s="248">
        <f>'Other parameters'!$D$24</f>
        <v>5.7866000000000003E-3</v>
      </c>
      <c r="D53" s="242">
        <f>'Other parameters'!$G$24</f>
        <v>30.9</v>
      </c>
      <c r="E53" s="234">
        <v>0</v>
      </c>
      <c r="F53" s="248">
        <f t="shared" si="28"/>
        <v>8.7266614162032404E-3</v>
      </c>
      <c r="G53" s="248">
        <f t="shared" si="29"/>
        <v>8.0000000000000016E-2</v>
      </c>
      <c r="H53" s="249">
        <f t="shared" si="30"/>
        <v>0.24199880094894996</v>
      </c>
      <c r="I53" s="122"/>
      <c r="J53" s="244">
        <v>0</v>
      </c>
      <c r="K53" s="245">
        <v>0</v>
      </c>
      <c r="L53" s="245">
        <f t="shared" si="31"/>
        <v>0.17783078210714159</v>
      </c>
      <c r="M53" s="245">
        <f t="shared" si="32"/>
        <v>1.5615534724279362E-3</v>
      </c>
      <c r="N53" s="245">
        <f t="shared" si="33"/>
        <v>0.62956852343370417</v>
      </c>
      <c r="O53" s="245">
        <f t="shared" si="34"/>
        <v>2.5163998802634507E-2</v>
      </c>
      <c r="P53" s="245">
        <f t="shared" si="35"/>
        <v>1.1550217817092843E-2</v>
      </c>
      <c r="Q53" s="245">
        <f t="shared" si="36"/>
        <v>0.15432492436699918</v>
      </c>
      <c r="R53" s="243">
        <f t="shared" si="26"/>
        <v>1.0000000000000004</v>
      </c>
      <c r="S53" s="250"/>
      <c r="T53" s="244">
        <f t="shared" si="11"/>
        <v>1.09130533087191E-2</v>
      </c>
      <c r="U53" s="246">
        <f t="shared" si="16"/>
        <v>0.33721334723942015</v>
      </c>
      <c r="V53" s="246">
        <f t="shared" si="17"/>
        <v>7.966061823728267E-6</v>
      </c>
      <c r="W53" s="246">
        <f t="shared" si="18"/>
        <v>2.5812309460781873E-2</v>
      </c>
      <c r="X53" s="246">
        <f t="shared" si="19"/>
        <v>4.5043557856715762E-3</v>
      </c>
      <c r="Y53" s="246">
        <f t="shared" si="20"/>
        <v>8.0851524719649905E-4</v>
      </c>
      <c r="Z53" s="246">
        <f t="shared" si="12"/>
        <v>0.36834649379489387</v>
      </c>
      <c r="AA53" s="247">
        <f t="shared" si="13"/>
        <v>8.9139409832114158E-2</v>
      </c>
      <c r="AB53" s="122"/>
      <c r="AC53" s="244">
        <f t="shared" si="21"/>
        <v>2.3267146739176248</v>
      </c>
      <c r="AD53" s="245">
        <f t="shared" si="22"/>
        <v>51.215265246856781</v>
      </c>
      <c r="AE53" s="245">
        <f t="shared" si="23"/>
        <v>388.50673581093884</v>
      </c>
      <c r="AF53" s="245">
        <f t="shared" si="24"/>
        <v>24.084463254001488</v>
      </c>
      <c r="AG53" s="245">
        <f t="shared" si="25"/>
        <v>7.1276394149279936</v>
      </c>
      <c r="AH53" s="245">
        <f t="shared" si="14"/>
        <v>473.26081840064273</v>
      </c>
      <c r="AI53" s="247">
        <f t="shared" si="37"/>
        <v>114.5285505890743</v>
      </c>
    </row>
    <row r="54" spans="1:35">
      <c r="A54" s="122"/>
      <c r="B54" s="241">
        <v>50</v>
      </c>
      <c r="C54" s="248">
        <f>'Other parameters'!$D$25</f>
        <v>7.5960000000000003E-3</v>
      </c>
      <c r="D54" s="242">
        <f>'Other parameters'!$G$25</f>
        <v>26.7</v>
      </c>
      <c r="E54" s="234">
        <v>0</v>
      </c>
      <c r="F54" s="248">
        <f t="shared" si="28"/>
        <v>7.8962097839113694E-3</v>
      </c>
      <c r="G54" s="248">
        <f t="shared" si="29"/>
        <v>8.0000000000000016E-2</v>
      </c>
      <c r="H54" s="249">
        <f t="shared" si="30"/>
        <v>0.2349502921834466</v>
      </c>
      <c r="I54" s="122"/>
      <c r="J54" s="244">
        <v>0</v>
      </c>
      <c r="K54" s="245">
        <v>0</v>
      </c>
      <c r="L54" s="245">
        <f t="shared" si="31"/>
        <v>0.17683259684841784</v>
      </c>
      <c r="M54" s="245">
        <f t="shared" si="32"/>
        <v>1.4041891615550223E-3</v>
      </c>
      <c r="N54" s="245">
        <f t="shared" si="33"/>
        <v>0.62576252773991592</v>
      </c>
      <c r="O54" s="245">
        <f t="shared" si="34"/>
        <v>2.5056472424579684E-2</v>
      </c>
      <c r="P54" s="245">
        <f t="shared" si="35"/>
        <v>1.1513672163300159E-2</v>
      </c>
      <c r="Q54" s="245">
        <f t="shared" si="36"/>
        <v>0.15943054166223156</v>
      </c>
      <c r="R54" s="243">
        <f t="shared" si="26"/>
        <v>1</v>
      </c>
      <c r="S54" s="250"/>
      <c r="T54" s="244">
        <f t="shared" si="11"/>
        <v>1.2701617295232379E-2</v>
      </c>
      <c r="U54" s="246">
        <f t="shared" si="16"/>
        <v>0.33913318178270452</v>
      </c>
      <c r="V54" s="246">
        <f t="shared" si="17"/>
        <v>7.1632882707272656E-6</v>
      </c>
      <c r="W54" s="246">
        <f t="shared" si="18"/>
        <v>2.5656263637336554E-2</v>
      </c>
      <c r="X54" s="246">
        <f t="shared" si="19"/>
        <v>4.4851085639997634E-3</v>
      </c>
      <c r="Y54" s="246">
        <f t="shared" si="20"/>
        <v>8.0595705143101119E-4</v>
      </c>
      <c r="Z54" s="246">
        <f t="shared" si="12"/>
        <v>0.37008767432374251</v>
      </c>
      <c r="AA54" s="247">
        <f t="shared" si="13"/>
        <v>8.6952207215855531E-2</v>
      </c>
      <c r="AB54" s="122"/>
      <c r="AC54" s="244">
        <f t="shared" si="21"/>
        <v>2.0922418507169831</v>
      </c>
      <c r="AD54" s="245">
        <f t="shared" si="22"/>
        <v>50.927787892344341</v>
      </c>
      <c r="AE54" s="245">
        <f t="shared" si="23"/>
        <v>386.15805586830214</v>
      </c>
      <c r="AF54" s="245">
        <f t="shared" si="24"/>
        <v>23.981549757565215</v>
      </c>
      <c r="AG54" s="245">
        <f t="shared" si="25"/>
        <v>7.1050870919725284</v>
      </c>
      <c r="AH54" s="245">
        <f t="shared" si="14"/>
        <v>470.26472246090123</v>
      </c>
      <c r="AI54" s="247">
        <f t="shared" si="37"/>
        <v>110.48883394575617</v>
      </c>
    </row>
    <row r="55" spans="1:35">
      <c r="A55" s="122"/>
      <c r="B55" s="241">
        <v>51</v>
      </c>
      <c r="C55" s="248">
        <f>'Other parameters'!$D$25</f>
        <v>7.5960000000000003E-3</v>
      </c>
      <c r="D55" s="242">
        <f>'Other parameters'!$G$25</f>
        <v>26.7</v>
      </c>
      <c r="E55" s="234">
        <v>0</v>
      </c>
      <c r="F55" s="248">
        <f t="shared" si="28"/>
        <v>7.144786073144645E-3</v>
      </c>
      <c r="G55" s="248">
        <f t="shared" si="29"/>
        <v>8.0000000000000016E-2</v>
      </c>
      <c r="H55" s="249">
        <f t="shared" si="30"/>
        <v>0.22810707978975397</v>
      </c>
      <c r="I55" s="122"/>
      <c r="J55" s="244">
        <v>0</v>
      </c>
      <c r="K55" s="245">
        <v>0</v>
      </c>
      <c r="L55" s="245">
        <f t="shared" si="31"/>
        <v>0.17593425495518158</v>
      </c>
      <c r="M55" s="245">
        <f t="shared" si="32"/>
        <v>1.2634310752405774E-3</v>
      </c>
      <c r="N55" s="245">
        <f t="shared" si="33"/>
        <v>0.6218766034921781</v>
      </c>
      <c r="O55" s="245">
        <f t="shared" si="34"/>
        <v>2.4940453056940627E-2</v>
      </c>
      <c r="P55" s="245">
        <f t="shared" si="35"/>
        <v>1.1471789670653085E-2</v>
      </c>
      <c r="Q55" s="245">
        <f t="shared" si="36"/>
        <v>0.16451346774980624</v>
      </c>
      <c r="R55" s="243">
        <f t="shared" si="26"/>
        <v>1.0000000000000002</v>
      </c>
      <c r="S55" s="250"/>
      <c r="T55" s="244">
        <f t="shared" si="11"/>
        <v>1.2678926087574687E-2</v>
      </c>
      <c r="U55" s="246">
        <f t="shared" si="16"/>
        <v>0.33852732653824413</v>
      </c>
      <c r="V55" s="246">
        <f t="shared" si="17"/>
        <v>6.4452292112272749E-6</v>
      </c>
      <c r="W55" s="246">
        <f t="shared" si="18"/>
        <v>2.5496940743179302E-2</v>
      </c>
      <c r="X55" s="246">
        <f t="shared" si="19"/>
        <v>4.4643410971923723E-3</v>
      </c>
      <c r="Y55" s="246">
        <f t="shared" si="20"/>
        <v>8.03025276945716E-4</v>
      </c>
      <c r="Z55" s="246">
        <f t="shared" si="12"/>
        <v>0.36929807888477273</v>
      </c>
      <c r="AA55" s="247">
        <f t="shared" si="13"/>
        <v>8.4239506346371715E-2</v>
      </c>
      <c r="AB55" s="122"/>
      <c r="AC55" s="244">
        <f t="shared" si="21"/>
        <v>1.8825123021084604</v>
      </c>
      <c r="AD55" s="245">
        <f t="shared" si="22"/>
        <v>50.669065427092299</v>
      </c>
      <c r="AE55" s="245">
        <f t="shared" si="23"/>
        <v>383.76005201502312</v>
      </c>
      <c r="AF55" s="245">
        <f t="shared" si="24"/>
        <v>23.870507620797873</v>
      </c>
      <c r="AG55" s="245">
        <f t="shared" si="25"/>
        <v>7.079241405760019</v>
      </c>
      <c r="AH55" s="245">
        <f t="shared" si="14"/>
        <v>467.26137877078173</v>
      </c>
      <c r="AI55" s="247">
        <f t="shared" si="37"/>
        <v>106.58562860993716</v>
      </c>
    </row>
    <row r="56" spans="1:35">
      <c r="A56" s="122"/>
      <c r="B56" s="241">
        <v>52</v>
      </c>
      <c r="C56" s="248">
        <f>'Other parameters'!$D$25</f>
        <v>7.5960000000000003E-3</v>
      </c>
      <c r="D56" s="242">
        <f>'Other parameters'!$G$25</f>
        <v>26.7</v>
      </c>
      <c r="E56" s="234">
        <v>0</v>
      </c>
      <c r="F56" s="248">
        <f t="shared" si="28"/>
        <v>6.4648697828434826E-3</v>
      </c>
      <c r="G56" s="248">
        <f t="shared" si="29"/>
        <v>8.0000000000000016E-2</v>
      </c>
      <c r="H56" s="249">
        <f t="shared" si="30"/>
        <v>0.22146318426189707</v>
      </c>
      <c r="I56" s="122"/>
      <c r="J56" s="244">
        <v>0</v>
      </c>
      <c r="K56" s="245">
        <v>0</v>
      </c>
      <c r="L56" s="245">
        <f t="shared" si="31"/>
        <v>0.17512535498611728</v>
      </c>
      <c r="M56" s="245">
        <f t="shared" si="32"/>
        <v>1.1373920486268346E-3</v>
      </c>
      <c r="N56" s="245">
        <f t="shared" si="33"/>
        <v>0.61792290925523308</v>
      </c>
      <c r="O56" s="245">
        <f t="shared" si="34"/>
        <v>2.4817040487527173E-2</v>
      </c>
      <c r="P56" s="245">
        <f t="shared" si="35"/>
        <v>1.1425221344068098E-2</v>
      </c>
      <c r="Q56" s="245">
        <f t="shared" si="36"/>
        <v>0.16957208187842771</v>
      </c>
      <c r="R56" s="243">
        <f t="shared" si="26"/>
        <v>1.0000000000000002</v>
      </c>
      <c r="S56" s="250"/>
      <c r="T56" s="244">
        <f t="shared" si="11"/>
        <v>1.2654614128621455E-2</v>
      </c>
      <c r="U56" s="246">
        <f t="shared" si="16"/>
        <v>0.33787819723419282</v>
      </c>
      <c r="V56" s="246">
        <f t="shared" si="17"/>
        <v>5.8022575192963464E-6</v>
      </c>
      <c r="W56" s="246">
        <f t="shared" si="18"/>
        <v>2.5334839279464557E-2</v>
      </c>
      <c r="X56" s="246">
        <f t="shared" si="19"/>
        <v>4.4422502472673637E-3</v>
      </c>
      <c r="Y56" s="246">
        <f t="shared" si="20"/>
        <v>7.9976549408476694E-4</v>
      </c>
      <c r="Z56" s="246">
        <f t="shared" si="12"/>
        <v>0.3684608545125288</v>
      </c>
      <c r="AA56" s="247">
        <f t="shared" si="13"/>
        <v>8.1600514116204212E-2</v>
      </c>
      <c r="AB56" s="122"/>
      <c r="AC56" s="244">
        <f t="shared" si="21"/>
        <v>1.6947141524539837</v>
      </c>
      <c r="AD56" s="245">
        <f t="shared" si="22"/>
        <v>50.43610223600178</v>
      </c>
      <c r="AE56" s="245">
        <f t="shared" si="23"/>
        <v>381.32022730140437</v>
      </c>
      <c r="AF56" s="245">
        <f t="shared" si="24"/>
        <v>23.752389450612259</v>
      </c>
      <c r="AG56" s="245">
        <f t="shared" si="25"/>
        <v>7.0505040914244237</v>
      </c>
      <c r="AH56" s="245">
        <f t="shared" si="14"/>
        <v>464.25393723189683</v>
      </c>
      <c r="AI56" s="247">
        <f t="shared" si="37"/>
        <v>102.81515524549876</v>
      </c>
    </row>
    <row r="57" spans="1:35">
      <c r="A57" s="122"/>
      <c r="B57" s="241">
        <v>53</v>
      </c>
      <c r="C57" s="248">
        <f>'Other parameters'!$D$25</f>
        <v>7.5960000000000003E-3</v>
      </c>
      <c r="D57" s="242">
        <f>'Other parameters'!$G$25</f>
        <v>26.7</v>
      </c>
      <c r="E57" s="234">
        <v>0</v>
      </c>
      <c r="F57" s="248">
        <f t="shared" si="28"/>
        <v>5.8496560822467909E-3</v>
      </c>
      <c r="G57" s="248">
        <f t="shared" si="29"/>
        <v>8.0000000000000016E-2</v>
      </c>
      <c r="H57" s="249">
        <f t="shared" si="30"/>
        <v>0.215012800254269</v>
      </c>
      <c r="I57" s="122"/>
      <c r="J57" s="244">
        <v>0</v>
      </c>
      <c r="K57" s="245">
        <v>0</v>
      </c>
      <c r="L57" s="245">
        <f t="shared" si="31"/>
        <v>0.1743966538208101</v>
      </c>
      <c r="M57" s="245">
        <f t="shared" si="32"/>
        <v>1.0244230979501692E-3</v>
      </c>
      <c r="N57" s="245">
        <f t="shared" si="33"/>
        <v>0.61391219872283009</v>
      </c>
      <c r="O57" s="245">
        <f t="shared" si="34"/>
        <v>2.468720659707057E-2</v>
      </c>
      <c r="P57" s="245">
        <f t="shared" si="35"/>
        <v>1.1374546016538849E-2</v>
      </c>
      <c r="Q57" s="245">
        <f t="shared" si="36"/>
        <v>0.1746049717448005</v>
      </c>
      <c r="R57" s="243">
        <f t="shared" si="26"/>
        <v>1.0000000000000004</v>
      </c>
      <c r="S57" s="250"/>
      <c r="T57" s="244">
        <f t="shared" si="11"/>
        <v>1.2628889866372806E-2</v>
      </c>
      <c r="U57" s="246">
        <f t="shared" si="16"/>
        <v>0.33719135943215389</v>
      </c>
      <c r="V57" s="246">
        <f t="shared" si="17"/>
        <v>5.2259611188581242E-6</v>
      </c>
      <c r="W57" s="246">
        <f t="shared" si="18"/>
        <v>2.5170400147636034E-2</v>
      </c>
      <c r="X57" s="246">
        <f t="shared" si="19"/>
        <v>4.4190099808756322E-3</v>
      </c>
      <c r="Y57" s="246">
        <f t="shared" si="20"/>
        <v>7.9621822115771954E-4</v>
      </c>
      <c r="Z57" s="246">
        <f t="shared" si="12"/>
        <v>0.36758221374294214</v>
      </c>
      <c r="AA57" s="247">
        <f t="shared" si="13"/>
        <v>7.9034881100533236E-2</v>
      </c>
      <c r="AB57" s="122"/>
      <c r="AC57" s="244">
        <f t="shared" si="21"/>
        <v>1.5263904159457522</v>
      </c>
      <c r="AD57" s="245">
        <f t="shared" si="22"/>
        <v>50.22623630039331</v>
      </c>
      <c r="AE57" s="245">
        <f t="shared" si="23"/>
        <v>378.84521783185846</v>
      </c>
      <c r="AF57" s="245">
        <f t="shared" si="24"/>
        <v>23.628125434056244</v>
      </c>
      <c r="AG57" s="245">
        <f t="shared" si="25"/>
        <v>7.019232346806124</v>
      </c>
      <c r="AH57" s="245">
        <f t="shared" si="14"/>
        <v>461.24520232905991</v>
      </c>
      <c r="AI57" s="247">
        <f t="shared" si="37"/>
        <v>99.173622556618042</v>
      </c>
    </row>
    <row r="58" spans="1:35">
      <c r="A58" s="122"/>
      <c r="B58" s="241">
        <v>54</v>
      </c>
      <c r="C58" s="248">
        <f>'Other parameters'!$D$25</f>
        <v>7.5960000000000003E-3</v>
      </c>
      <c r="D58" s="242">
        <f>'Other parameters'!$G$25</f>
        <v>26.7</v>
      </c>
      <c r="E58" s="234">
        <v>0</v>
      </c>
      <c r="F58" s="248">
        <f t="shared" si="28"/>
        <v>5.2929877058585347E-3</v>
      </c>
      <c r="G58" s="248">
        <f t="shared" si="29"/>
        <v>8.0000000000000016E-2</v>
      </c>
      <c r="H58" s="249">
        <f t="shared" si="30"/>
        <v>0.20875029150899907</v>
      </c>
      <c r="I58" s="122"/>
      <c r="J58" s="244">
        <v>0</v>
      </c>
      <c r="K58" s="245">
        <v>0</v>
      </c>
      <c r="L58" s="245">
        <f t="shared" si="31"/>
        <v>0.17373992448166073</v>
      </c>
      <c r="M58" s="245">
        <f t="shared" si="32"/>
        <v>9.2307934461641466E-4</v>
      </c>
      <c r="N58" s="245">
        <f t="shared" si="33"/>
        <v>0.60985399746969604</v>
      </c>
      <c r="O58" s="245">
        <f t="shared" si="34"/>
        <v>2.4551810308749304E-2</v>
      </c>
      <c r="P58" s="245">
        <f t="shared" si="35"/>
        <v>1.1320278179122508E-2</v>
      </c>
      <c r="Q58" s="245">
        <f t="shared" si="36"/>
        <v>0.1796109102161553</v>
      </c>
      <c r="R58" s="243">
        <f t="shared" si="26"/>
        <v>1.0000000000000004</v>
      </c>
      <c r="S58" s="250"/>
      <c r="T58" s="244">
        <f t="shared" si="11"/>
        <v>1.2601938471354813E-2</v>
      </c>
      <c r="U58" s="246">
        <f t="shared" si="16"/>
        <v>0.33647175718517347</v>
      </c>
      <c r="V58" s="246">
        <f t="shared" si="17"/>
        <v>4.7089691497966149E-6</v>
      </c>
      <c r="W58" s="246">
        <f t="shared" si="18"/>
        <v>2.5004013896257539E-2</v>
      </c>
      <c r="X58" s="246">
        <f t="shared" si="19"/>
        <v>4.3947740452661256E-3</v>
      </c>
      <c r="Y58" s="246">
        <f t="shared" si="20"/>
        <v>7.9241947253857559E-4</v>
      </c>
      <c r="Z58" s="246">
        <f t="shared" si="12"/>
        <v>0.36666767356838548</v>
      </c>
      <c r="AA58" s="247">
        <f t="shared" si="13"/>
        <v>7.6541983744326983E-2</v>
      </c>
      <c r="AB58" s="122"/>
      <c r="AC58" s="244">
        <f t="shared" si="21"/>
        <v>1.3753882234784578</v>
      </c>
      <c r="AD58" s="245">
        <f t="shared" si="22"/>
        <v>50.037098250718287</v>
      </c>
      <c r="AE58" s="245">
        <f t="shared" si="23"/>
        <v>376.34090183854943</v>
      </c>
      <c r="AF58" s="245">
        <f t="shared" si="24"/>
        <v>23.498537646503959</v>
      </c>
      <c r="AG58" s="245">
        <f t="shared" si="25"/>
        <v>6.9857436643364998</v>
      </c>
      <c r="AH58" s="245">
        <f t="shared" si="14"/>
        <v>458.23766962358661</v>
      </c>
      <c r="AI58" s="247">
        <f t="shared" si="37"/>
        <v>95.657247114328115</v>
      </c>
    </row>
    <row r="59" spans="1:35">
      <c r="A59" s="122"/>
      <c r="B59" s="241">
        <v>55</v>
      </c>
      <c r="C59" s="248">
        <f>'Other parameters'!$D$26</f>
        <v>9.7777999999999997E-3</v>
      </c>
      <c r="D59" s="242">
        <f>'Other parameters'!$G$26</f>
        <v>22.7</v>
      </c>
      <c r="E59" s="234">
        <v>0</v>
      </c>
      <c r="F59" s="248">
        <f t="shared" si="28"/>
        <v>4.7892933294651132E-3</v>
      </c>
      <c r="G59" s="248">
        <f t="shared" si="29"/>
        <v>8.0000000000000016E-2</v>
      </c>
      <c r="H59" s="249">
        <f t="shared" si="30"/>
        <v>0.20267018593106703</v>
      </c>
      <c r="I59" s="122"/>
      <c r="J59" s="244">
        <v>0</v>
      </c>
      <c r="K59" s="245">
        <v>0</v>
      </c>
      <c r="L59" s="245">
        <f t="shared" si="31"/>
        <v>0.17314783364987923</v>
      </c>
      <c r="M59" s="245">
        <f t="shared" si="32"/>
        <v>8.3209146138179028E-4</v>
      </c>
      <c r="N59" s="245">
        <f t="shared" si="33"/>
        <v>0.6057567544154282</v>
      </c>
      <c r="O59" s="245">
        <f t="shared" si="34"/>
        <v>2.4411610891161492E-2</v>
      </c>
      <c r="P59" s="245">
        <f t="shared" si="35"/>
        <v>1.1262875034594893E-2</v>
      </c>
      <c r="Q59" s="245">
        <f t="shared" si="36"/>
        <v>0.18458883454755476</v>
      </c>
      <c r="R59" s="243">
        <f t="shared" si="26"/>
        <v>1.0000000000000004</v>
      </c>
      <c r="S59" s="250"/>
      <c r="T59" s="244">
        <f t="shared" si="11"/>
        <v>1.4755724331399451E-2</v>
      </c>
      <c r="U59" s="246">
        <f t="shared" si="16"/>
        <v>0.33495494232276751</v>
      </c>
      <c r="V59" s="246">
        <f t="shared" si="17"/>
        <v>4.2448063043640925E-6</v>
      </c>
      <c r="W59" s="246">
        <f t="shared" si="18"/>
        <v>2.4836026931032557E-2</v>
      </c>
      <c r="X59" s="246">
        <f t="shared" si="19"/>
        <v>4.3696783495179069E-3</v>
      </c>
      <c r="Y59" s="246">
        <f t="shared" si="20"/>
        <v>7.884012524216426E-4</v>
      </c>
      <c r="Z59" s="246">
        <f t="shared" si="12"/>
        <v>0.36495329366204393</v>
      </c>
      <c r="AA59" s="247">
        <f t="shared" si="13"/>
        <v>7.3965151882641744E-2</v>
      </c>
      <c r="AB59" s="122"/>
      <c r="AC59" s="244">
        <f t="shared" si="21"/>
        <v>1.2398162774588675</v>
      </c>
      <c r="AD59" s="245">
        <f t="shared" si="22"/>
        <v>49.866576091165221</v>
      </c>
      <c r="AE59" s="245">
        <f t="shared" si="23"/>
        <v>373.81249314976077</v>
      </c>
      <c r="AF59" s="245">
        <f t="shared" si="24"/>
        <v>23.364352783930666</v>
      </c>
      <c r="AG59" s="245">
        <f t="shared" si="25"/>
        <v>6.9503201838485085</v>
      </c>
      <c r="AH59" s="245">
        <f t="shared" si="14"/>
        <v>455.23355848616404</v>
      </c>
      <c r="AI59" s="247">
        <f t="shared" si="37"/>
        <v>92.262269940452143</v>
      </c>
    </row>
    <row r="60" spans="1:35">
      <c r="A60" s="122"/>
      <c r="B60" s="241">
        <v>56</v>
      </c>
      <c r="C60" s="248">
        <f>'Other parameters'!$D$26</f>
        <v>9.7777999999999997E-3</v>
      </c>
      <c r="D60" s="242">
        <f>'Other parameters'!$G$26</f>
        <v>22.7</v>
      </c>
      <c r="E60" s="234">
        <v>0</v>
      </c>
      <c r="F60" s="248">
        <f t="shared" si="28"/>
        <v>4.3335318104500576E-3</v>
      </c>
      <c r="G60" s="248">
        <f t="shared" si="29"/>
        <v>8.0000000000000016E-2</v>
      </c>
      <c r="H60" s="249">
        <f t="shared" si="30"/>
        <v>0.19676717080686118</v>
      </c>
      <c r="I60" s="122"/>
      <c r="J60" s="244">
        <v>0</v>
      </c>
      <c r="K60" s="245">
        <v>0</v>
      </c>
      <c r="L60" s="245">
        <f t="shared" si="31"/>
        <v>0.17261383578480624</v>
      </c>
      <c r="M60" s="245">
        <f t="shared" si="32"/>
        <v>7.503416450322666E-4</v>
      </c>
      <c r="N60" s="245">
        <f t="shared" si="33"/>
        <v>0.60162797212339714</v>
      </c>
      <c r="O60" s="245">
        <f t="shared" si="34"/>
        <v>2.426727974939839E-2</v>
      </c>
      <c r="P60" s="245">
        <f t="shared" si="35"/>
        <v>1.1202742828411419E-2</v>
      </c>
      <c r="Q60" s="245">
        <f t="shared" si="36"/>
        <v>0.18953782786895493</v>
      </c>
      <c r="R60" s="243">
        <f t="shared" si="26"/>
        <v>1.0000000000000004</v>
      </c>
      <c r="S60" s="250"/>
      <c r="T60" s="244">
        <f t="shared" si="11"/>
        <v>1.4726793321400169E-2</v>
      </c>
      <c r="U60" s="246">
        <f t="shared" si="16"/>
        <v>0.33429820839578384</v>
      </c>
      <c r="V60" s="246">
        <f t="shared" si="17"/>
        <v>3.8277702549317277E-6</v>
      </c>
      <c r="W60" s="246">
        <f t="shared" si="18"/>
        <v>2.4666746857059284E-2</v>
      </c>
      <c r="X60" s="246">
        <f t="shared" si="19"/>
        <v>4.3438430751423117E-3</v>
      </c>
      <c r="Y60" s="246">
        <f t="shared" si="20"/>
        <v>7.841919979887994E-4</v>
      </c>
      <c r="Z60" s="246">
        <f t="shared" si="12"/>
        <v>0.36409681809622912</v>
      </c>
      <c r="AA60" s="247">
        <f t="shared" si="13"/>
        <v>7.1642300796575381E-2</v>
      </c>
      <c r="AB60" s="122"/>
      <c r="AC60" s="244">
        <f t="shared" si="21"/>
        <v>1.1180090510980771</v>
      </c>
      <c r="AD60" s="245">
        <f t="shared" si="22"/>
        <v>49.712784706024195</v>
      </c>
      <c r="AE60" s="245">
        <f t="shared" si="23"/>
        <v>371.26462159734837</v>
      </c>
      <c r="AF60" s="245">
        <f t="shared" si="24"/>
        <v>23.226213448149199</v>
      </c>
      <c r="AG60" s="245">
        <f t="shared" si="25"/>
        <v>6.9132125994126872</v>
      </c>
      <c r="AH60" s="245">
        <f t="shared" si="14"/>
        <v>452.23484140203254</v>
      </c>
      <c r="AI60" s="247">
        <f t="shared" si="37"/>
        <v>88.98497028296751</v>
      </c>
    </row>
    <row r="61" spans="1:35">
      <c r="A61" s="122"/>
      <c r="B61" s="241">
        <v>57</v>
      </c>
      <c r="C61" s="248">
        <f>'Other parameters'!$D$26</f>
        <v>9.7777999999999997E-3</v>
      </c>
      <c r="D61" s="242">
        <f>'Other parameters'!$G$26</f>
        <v>22.7</v>
      </c>
      <c r="E61" s="234">
        <v>0</v>
      </c>
      <c r="F61" s="248">
        <f t="shared" ref="F61:F92" si="38">IF(B61&lt;rf2age,0,(pA2_2a*EXP(-0.1*(B61-$B$28))))</f>
        <v>3.9211417343443262E-3</v>
      </c>
      <c r="G61" s="248">
        <f t="shared" si="29"/>
        <v>8.0000000000000016E-2</v>
      </c>
      <c r="H61" s="249">
        <f t="shared" si="30"/>
        <v>0.19103608816200118</v>
      </c>
      <c r="I61" s="122"/>
      <c r="J61" s="244">
        <v>0</v>
      </c>
      <c r="K61" s="245">
        <v>0</v>
      </c>
      <c r="L61" s="245">
        <f t="shared" si="31"/>
        <v>0.17213208129709356</v>
      </c>
      <c r="M61" s="245">
        <f t="shared" si="32"/>
        <v>6.7684331542106188E-4</v>
      </c>
      <c r="N61" s="245">
        <f t="shared" si="33"/>
        <v>0.59747431930621464</v>
      </c>
      <c r="O61" s="245">
        <f t="shared" si="34"/>
        <v>2.4119410844349421E-2</v>
      </c>
      <c r="P61" s="245">
        <f t="shared" si="35"/>
        <v>1.1140242514046625E-2</v>
      </c>
      <c r="Q61" s="245">
        <f t="shared" si="36"/>
        <v>0.19445710272287509</v>
      </c>
      <c r="R61" s="243">
        <f t="shared" si="26"/>
        <v>1.0000000000000004</v>
      </c>
      <c r="S61" s="250"/>
      <c r="T61" s="244">
        <f t="shared" si="11"/>
        <v>1.4697074853920151E-2</v>
      </c>
      <c r="U61" s="246">
        <f t="shared" si="16"/>
        <v>0.33362359918398743</v>
      </c>
      <c r="V61" s="246">
        <f t="shared" si="17"/>
        <v>3.4528280912712807E-6</v>
      </c>
      <c r="W61" s="246">
        <f t="shared" si="18"/>
        <v>2.4496447091554803E-2</v>
      </c>
      <c r="X61" s="246">
        <f t="shared" si="19"/>
        <v>4.317374541138546E-3</v>
      </c>
      <c r="Y61" s="246">
        <f t="shared" si="20"/>
        <v>7.7981697598326384E-4</v>
      </c>
      <c r="Z61" s="246">
        <f t="shared" si="12"/>
        <v>0.36322069062075535</v>
      </c>
      <c r="AA61" s="247">
        <f t="shared" si="13"/>
        <v>6.938825987568957E-2</v>
      </c>
      <c r="AB61" s="122"/>
      <c r="AC61" s="244">
        <f t="shared" si="21"/>
        <v>1.0084965399773822</v>
      </c>
      <c r="AD61" s="245">
        <f t="shared" si="22"/>
        <v>49.574039413562943</v>
      </c>
      <c r="AE61" s="245">
        <f t="shared" si="23"/>
        <v>368.70140244386505</v>
      </c>
      <c r="AF61" s="245">
        <f t="shared" si="24"/>
        <v>23.084688119126831</v>
      </c>
      <c r="AG61" s="245">
        <f t="shared" si="25"/>
        <v>6.874643655418172</v>
      </c>
      <c r="AH61" s="245">
        <f t="shared" si="14"/>
        <v>449.24327017195043</v>
      </c>
      <c r="AI61" s="247">
        <f t="shared" si="37"/>
        <v>85.821676966754438</v>
      </c>
    </row>
    <row r="62" spans="1:35">
      <c r="A62" s="122"/>
      <c r="B62" s="241">
        <v>58</v>
      </c>
      <c r="C62" s="248">
        <f>'Other parameters'!$D$26</f>
        <v>9.7777999999999997E-3</v>
      </c>
      <c r="D62" s="242">
        <f>'Other parameters'!$G$26</f>
        <v>22.7</v>
      </c>
      <c r="E62" s="234">
        <v>0</v>
      </c>
      <c r="F62" s="248">
        <f t="shared" si="38"/>
        <v>3.5479957626571644E-3</v>
      </c>
      <c r="G62" s="248">
        <f t="shared" si="29"/>
        <v>8.0000000000000016E-2</v>
      </c>
      <c r="H62" s="249">
        <f t="shared" si="30"/>
        <v>0.18547193025437006</v>
      </c>
      <c r="I62" s="122"/>
      <c r="J62" s="244">
        <v>0</v>
      </c>
      <c r="K62" s="245">
        <v>0</v>
      </c>
      <c r="L62" s="245">
        <f t="shared" si="31"/>
        <v>0.17169733666404358</v>
      </c>
      <c r="M62" s="245">
        <f t="shared" si="32"/>
        <v>6.1072389505944645E-4</v>
      </c>
      <c r="N62" s="245">
        <f t="shared" si="33"/>
        <v>0.5933017283072437</v>
      </c>
      <c r="O62" s="245">
        <f t="shared" si="34"/>
        <v>2.396852987869267E-2</v>
      </c>
      <c r="P62" s="245">
        <f t="shared" si="35"/>
        <v>1.107569481038803E-2</v>
      </c>
      <c r="Q62" s="245">
        <f t="shared" si="36"/>
        <v>0.19934598644457296</v>
      </c>
      <c r="R62" s="243">
        <f t="shared" si="26"/>
        <v>1.0000000000000004</v>
      </c>
      <c r="S62" s="250"/>
      <c r="T62" s="244">
        <f t="shared" si="11"/>
        <v>1.4666683721697885E-2</v>
      </c>
      <c r="U62" s="246">
        <f t="shared" si="16"/>
        <v>0.33293372048254199</v>
      </c>
      <c r="V62" s="246">
        <f t="shared" si="17"/>
        <v>3.115528472878601E-6</v>
      </c>
      <c r="W62" s="246">
        <f t="shared" si="18"/>
        <v>2.4325370860596992E-2</v>
      </c>
      <c r="X62" s="246">
        <f t="shared" si="19"/>
        <v>4.2903668482859878E-3</v>
      </c>
      <c r="Y62" s="246">
        <f t="shared" si="20"/>
        <v>7.7529863672716221E-4</v>
      </c>
      <c r="Z62" s="246">
        <f t="shared" si="12"/>
        <v>0.362327872356625</v>
      </c>
      <c r="AA62" s="247">
        <f t="shared" si="13"/>
        <v>6.7201649870942251E-2</v>
      </c>
      <c r="AB62" s="122"/>
      <c r="AC62" s="244">
        <f t="shared" si="21"/>
        <v>0.90997860363857519</v>
      </c>
      <c r="AD62" s="245">
        <f t="shared" si="22"/>
        <v>49.448832959244548</v>
      </c>
      <c r="AE62" s="245">
        <f t="shared" si="23"/>
        <v>366.12649653840009</v>
      </c>
      <c r="AF62" s="245">
        <f t="shared" si="24"/>
        <v>22.940279946896755</v>
      </c>
      <c r="AG62" s="245">
        <f t="shared" si="25"/>
        <v>6.8348112674904531</v>
      </c>
      <c r="AH62" s="245">
        <f t="shared" si="14"/>
        <v>446.26039931567044</v>
      </c>
      <c r="AI62" s="247">
        <f t="shared" si="37"/>
        <v>82.768777657163355</v>
      </c>
    </row>
    <row r="63" spans="1:35">
      <c r="A63" s="122"/>
      <c r="B63" s="241">
        <v>59</v>
      </c>
      <c r="C63" s="248">
        <f>'Other parameters'!$D$26</f>
        <v>9.7777999999999997E-3</v>
      </c>
      <c r="D63" s="242">
        <f>'Other parameters'!$G$26</f>
        <v>22.7</v>
      </c>
      <c r="E63" s="234">
        <v>0</v>
      </c>
      <c r="F63" s="248">
        <f t="shared" si="38"/>
        <v>3.2103593250852355E-3</v>
      </c>
      <c r="G63" s="248">
        <f t="shared" si="29"/>
        <v>8.0000000000000016E-2</v>
      </c>
      <c r="H63" s="249">
        <f t="shared" si="30"/>
        <v>0.18006983519841754</v>
      </c>
      <c r="I63" s="122"/>
      <c r="J63" s="244">
        <v>0</v>
      </c>
      <c r="K63" s="245">
        <v>0</v>
      </c>
      <c r="L63" s="245">
        <f t="shared" si="31"/>
        <v>0.17130491473090731</v>
      </c>
      <c r="M63" s="245">
        <f t="shared" si="32"/>
        <v>5.5121014585171135E-4</v>
      </c>
      <c r="N63" s="245">
        <f t="shared" si="33"/>
        <v>0.58911547984318169</v>
      </c>
      <c r="O63" s="245">
        <f t="shared" si="34"/>
        <v>2.3815102381861564E-2</v>
      </c>
      <c r="P63" s="245">
        <f t="shared" si="35"/>
        <v>1.1009384707552588E-2</v>
      </c>
      <c r="Q63" s="245">
        <f t="shared" si="36"/>
        <v>0.20420390819064554</v>
      </c>
      <c r="R63" s="243">
        <f t="shared" si="26"/>
        <v>1.0000000000000004</v>
      </c>
      <c r="S63" s="250"/>
      <c r="T63" s="244">
        <f t="shared" si="11"/>
        <v>1.4635721746072573E-2</v>
      </c>
      <c r="U63" s="246">
        <f t="shared" si="16"/>
        <v>0.33223088363584741</v>
      </c>
      <c r="V63" s="246">
        <f t="shared" si="17"/>
        <v>2.811926826235306E-6</v>
      </c>
      <c r="W63" s="246">
        <f t="shared" si="18"/>
        <v>2.4153734673570449E-2</v>
      </c>
      <c r="X63" s="246">
        <f t="shared" si="19"/>
        <v>4.2629033263532198E-3</v>
      </c>
      <c r="Y63" s="246">
        <f t="shared" si="20"/>
        <v>7.7065692952868123E-4</v>
      </c>
      <c r="Z63" s="246">
        <f t="shared" si="12"/>
        <v>0.36142099049212595</v>
      </c>
      <c r="AA63" s="247">
        <f t="shared" si="13"/>
        <v>6.5081018195165957E-2</v>
      </c>
      <c r="AB63" s="122"/>
      <c r="AC63" s="244">
        <f t="shared" si="21"/>
        <v>0.82130311731904992</v>
      </c>
      <c r="AD63" s="245">
        <f t="shared" si="22"/>
        <v>49.335815442501307</v>
      </c>
      <c r="AE63" s="245">
        <f t="shared" si="23"/>
        <v>363.54316261122744</v>
      </c>
      <c r="AF63" s="245">
        <f t="shared" si="24"/>
        <v>22.793434489679704</v>
      </c>
      <c r="AG63" s="245">
        <f t="shared" si="25"/>
        <v>6.7938913030307022</v>
      </c>
      <c r="AH63" s="245">
        <f t="shared" si="14"/>
        <v>443.28760696375821</v>
      </c>
      <c r="AI63" s="247">
        <f t="shared" si="37"/>
        <v>79.822726331464835</v>
      </c>
    </row>
    <row r="64" spans="1:35">
      <c r="A64" s="122"/>
      <c r="B64" s="241">
        <v>60</v>
      </c>
      <c r="C64" s="248">
        <f>'Other parameters'!$D$27</f>
        <v>1.46842E-2</v>
      </c>
      <c r="D64" s="242">
        <f>'Other parameters'!$G$27</f>
        <v>18.7</v>
      </c>
      <c r="E64" s="234">
        <v>0</v>
      </c>
      <c r="F64" s="248">
        <f t="shared" si="38"/>
        <v>2.90485324267779E-3</v>
      </c>
      <c r="G64" s="248">
        <f t="shared" si="29"/>
        <v>8.0000000000000016E-2</v>
      </c>
      <c r="H64" s="249">
        <f t="shared" si="30"/>
        <v>0.17482508271691022</v>
      </c>
      <c r="I64" s="122"/>
      <c r="J64" s="244">
        <v>0</v>
      </c>
      <c r="K64" s="245">
        <v>0</v>
      </c>
      <c r="L64" s="245">
        <f t="shared" si="31"/>
        <v>0.17095061373178605</v>
      </c>
      <c r="M64" s="245">
        <f t="shared" si="32"/>
        <v>4.9761563704271846E-4</v>
      </c>
      <c r="N64" s="245">
        <f t="shared" si="33"/>
        <v>0.58492027690127435</v>
      </c>
      <c r="O64" s="245">
        <f t="shared" si="34"/>
        <v>2.36595408174919E-2</v>
      </c>
      <c r="P64" s="245">
        <f t="shared" si="35"/>
        <v>1.0941565474948864E-2</v>
      </c>
      <c r="Q64" s="245">
        <f t="shared" si="36"/>
        <v>0.20903038743745656</v>
      </c>
      <c r="R64" s="243">
        <f t="shared" si="26"/>
        <v>1.0000000000000004</v>
      </c>
      <c r="S64" s="250"/>
      <c r="T64" s="244">
        <f t="shared" si="11"/>
        <v>1.9510679246811012E-2</v>
      </c>
      <c r="U64" s="246">
        <f t="shared" si="16"/>
        <v>0.36484970191536592</v>
      </c>
      <c r="V64" s="246">
        <f t="shared" si="17"/>
        <v>2.5385214141740872E-6</v>
      </c>
      <c r="W64" s="246">
        <f t="shared" si="18"/>
        <v>2.398173135295225E-2</v>
      </c>
      <c r="X64" s="246">
        <f t="shared" si="19"/>
        <v>4.2350578063310501E-3</v>
      </c>
      <c r="Y64" s="246">
        <f t="shared" si="20"/>
        <v>7.6590958324642051E-4</v>
      </c>
      <c r="Z64" s="246">
        <f t="shared" si="12"/>
        <v>0.39383493917930978</v>
      </c>
      <c r="AA64" s="247">
        <f t="shared" si="13"/>
        <v>6.8852225818832144E-2</v>
      </c>
      <c r="AB64" s="122"/>
      <c r="AC64" s="244">
        <f t="shared" si="21"/>
        <v>0.74144729919365049</v>
      </c>
      <c r="AD64" s="245">
        <f t="shared" si="22"/>
        <v>49.233776754754381</v>
      </c>
      <c r="AE64" s="245">
        <f t="shared" si="23"/>
        <v>360.95430287577642</v>
      </c>
      <c r="AF64" s="245">
        <f t="shared" si="24"/>
        <v>22.644546516421499</v>
      </c>
      <c r="AG64" s="245">
        <f t="shared" si="25"/>
        <v>6.7520400545909443</v>
      </c>
      <c r="AH64" s="245">
        <f t="shared" si="14"/>
        <v>440.32611350073688</v>
      </c>
      <c r="AI64" s="247">
        <f t="shared" si="37"/>
        <v>76.980049215181921</v>
      </c>
    </row>
    <row r="65" spans="1:35">
      <c r="A65" s="122"/>
      <c r="B65" s="241">
        <v>61</v>
      </c>
      <c r="C65" s="248">
        <f>'Other parameters'!$D$27</f>
        <v>1.46842E-2</v>
      </c>
      <c r="D65" s="242">
        <f>'Other parameters'!$G$27</f>
        <v>18.7</v>
      </c>
      <c r="E65" s="234">
        <v>0</v>
      </c>
      <c r="F65" s="248">
        <f t="shared" si="38"/>
        <v>2.6284199078779559E-3</v>
      </c>
      <c r="G65" s="248">
        <f t="shared" si="29"/>
        <v>8.0000000000000016E-2</v>
      </c>
      <c r="H65" s="249">
        <f t="shared" si="30"/>
        <v>0.1697330900164177</v>
      </c>
      <c r="I65" s="122"/>
      <c r="J65" s="244">
        <v>0</v>
      </c>
      <c r="K65" s="245">
        <v>0</v>
      </c>
      <c r="L65" s="245">
        <f t="shared" si="31"/>
        <v>0.17063066380102057</v>
      </c>
      <c r="M65" s="245">
        <f t="shared" si="32"/>
        <v>4.4932999639658112E-4</v>
      </c>
      <c r="N65" s="245">
        <f t="shared" si="33"/>
        <v>0.58072030936704444</v>
      </c>
      <c r="O65" s="245">
        <f t="shared" si="34"/>
        <v>2.3502210826727217E-2</v>
      </c>
      <c r="P65" s="245">
        <f t="shared" si="35"/>
        <v>1.0872462222111147E-2</v>
      </c>
      <c r="Q65" s="245">
        <f t="shared" si="36"/>
        <v>0.21382502378670035</v>
      </c>
      <c r="R65" s="243">
        <f t="shared" si="26"/>
        <v>1.0000000000000002</v>
      </c>
      <c r="S65" s="250"/>
      <c r="T65" s="244">
        <f t="shared" si="11"/>
        <v>1.94788363492438E-2</v>
      </c>
      <c r="U65" s="246">
        <f t="shared" si="16"/>
        <v>0.36425423973085902</v>
      </c>
      <c r="V65" s="246">
        <f t="shared" si="17"/>
        <v>2.292198502165573E-6</v>
      </c>
      <c r="W65" s="246">
        <f t="shared" si="18"/>
        <v>2.3809532684048822E-2</v>
      </c>
      <c r="X65" s="246">
        <f t="shared" si="19"/>
        <v>4.2068957379841716E-3</v>
      </c>
      <c r="Y65" s="246">
        <f t="shared" si="20"/>
        <v>7.6107235554778035E-4</v>
      </c>
      <c r="Z65" s="246">
        <f t="shared" si="12"/>
        <v>0.39303403270694198</v>
      </c>
      <c r="AA65" s="247">
        <f t="shared" si="13"/>
        <v>6.6710880852963048E-2</v>
      </c>
      <c r="AB65" s="122"/>
      <c r="AC65" s="244">
        <f t="shared" si="21"/>
        <v>0.66950169463090592</v>
      </c>
      <c r="AD65" s="245">
        <f t="shared" si="22"/>
        <v>49.141631174693927</v>
      </c>
      <c r="AE65" s="245">
        <f t="shared" si="23"/>
        <v>358.36250291040312</v>
      </c>
      <c r="AF65" s="245">
        <f t="shared" si="24"/>
        <v>22.493965982260619</v>
      </c>
      <c r="AG65" s="245">
        <f t="shared" si="25"/>
        <v>6.7093964372647887</v>
      </c>
      <c r="AH65" s="245">
        <f t="shared" si="14"/>
        <v>437.37699819925331</v>
      </c>
      <c r="AI65" s="247">
        <f t="shared" si="37"/>
        <v>74.237349406464432</v>
      </c>
    </row>
    <row r="66" spans="1:35">
      <c r="A66" s="122"/>
      <c r="B66" s="241">
        <v>62</v>
      </c>
      <c r="C66" s="248">
        <f>'Other parameters'!$D$27</f>
        <v>1.46842E-2</v>
      </c>
      <c r="D66" s="242">
        <f>'Other parameters'!$G$27</f>
        <v>18.7</v>
      </c>
      <c r="E66" s="234">
        <v>0</v>
      </c>
      <c r="F66" s="248">
        <f t="shared" si="38"/>
        <v>2.3782926829586043E-3</v>
      </c>
      <c r="G66" s="248">
        <f t="shared" si="29"/>
        <v>8.0000000000000016E-2</v>
      </c>
      <c r="H66" s="249">
        <f t="shared" si="30"/>
        <v>0.16478940778292983</v>
      </c>
      <c r="I66" s="122"/>
      <c r="J66" s="244">
        <v>0</v>
      </c>
      <c r="K66" s="245">
        <v>0</v>
      </c>
      <c r="L66" s="245">
        <f t="shared" si="31"/>
        <v>0.17034167994087734</v>
      </c>
      <c r="M66" s="245">
        <f t="shared" si="32"/>
        <v>4.0580965920633685E-4</v>
      </c>
      <c r="N66" s="245">
        <f t="shared" si="33"/>
        <v>0.57651931069956275</v>
      </c>
      <c r="O66" s="245">
        <f t="shared" si="34"/>
        <v>2.3343436710161512E-2</v>
      </c>
      <c r="P66" s="245">
        <f t="shared" si="35"/>
        <v>1.0802275059130617E-2</v>
      </c>
      <c r="Q66" s="245">
        <f t="shared" si="36"/>
        <v>0.21858748793106175</v>
      </c>
      <c r="R66" s="243">
        <f t="shared" si="26"/>
        <v>1.0000000000000004</v>
      </c>
      <c r="S66" s="250"/>
      <c r="T66" s="244">
        <f t="shared" si="11"/>
        <v>1.9446664144361393E-2</v>
      </c>
      <c r="U66" s="246">
        <f t="shared" si="16"/>
        <v>0.36365261949955802</v>
      </c>
      <c r="V66" s="246">
        <f t="shared" si="17"/>
        <v>2.0701851655950664E-6</v>
      </c>
      <c r="W66" s="246">
        <f t="shared" si="18"/>
        <v>2.3637291738682075E-2</v>
      </c>
      <c r="X66" s="246">
        <f t="shared" si="19"/>
        <v>4.1784751711189108E-3</v>
      </c>
      <c r="Y66" s="246">
        <f t="shared" si="20"/>
        <v>7.5615925413914328E-4</v>
      </c>
      <c r="Z66" s="246">
        <f t="shared" si="12"/>
        <v>0.3922266158486637</v>
      </c>
      <c r="AA66" s="247">
        <f t="shared" si="13"/>
        <v>6.463479174240401E-2</v>
      </c>
      <c r="AB66" s="122"/>
      <c r="AC66" s="244">
        <f t="shared" si="21"/>
        <v>0.60465639221744194</v>
      </c>
      <c r="AD66" s="245">
        <f t="shared" si="22"/>
        <v>49.058403822972679</v>
      </c>
      <c r="AE66" s="245">
        <f t="shared" si="23"/>
        <v>355.77006663270021</v>
      </c>
      <c r="AF66" s="245">
        <f t="shared" si="24"/>
        <v>22.342003275295582</v>
      </c>
      <c r="AG66" s="245">
        <f t="shared" si="25"/>
        <v>6.6660839389895044</v>
      </c>
      <c r="AH66" s="245">
        <f t="shared" si="14"/>
        <v>434.44121406217545</v>
      </c>
      <c r="AI66" s="247">
        <f t="shared" si="37"/>
        <v>71.591310381802941</v>
      </c>
    </row>
    <row r="67" spans="1:35">
      <c r="A67" s="122"/>
      <c r="B67" s="241">
        <v>63</v>
      </c>
      <c r="C67" s="248">
        <f>'Other parameters'!$D$27</f>
        <v>1.46842E-2</v>
      </c>
      <c r="D67" s="242">
        <f>'Other parameters'!$G$27</f>
        <v>18.7</v>
      </c>
      <c r="E67" s="234">
        <v>0</v>
      </c>
      <c r="F67" s="248">
        <f t="shared" si="38"/>
        <v>2.151968210582078E-3</v>
      </c>
      <c r="G67" s="248">
        <f t="shared" si="29"/>
        <v>8.0000000000000016E-2</v>
      </c>
      <c r="H67" s="249">
        <f t="shared" si="30"/>
        <v>0.15998971629410663</v>
      </c>
      <c r="I67" s="122"/>
      <c r="J67" s="244">
        <v>0</v>
      </c>
      <c r="K67" s="245">
        <v>0</v>
      </c>
      <c r="L67" s="245">
        <f t="shared" si="31"/>
        <v>0.17008062057210108</v>
      </c>
      <c r="M67" s="245">
        <f t="shared" si="32"/>
        <v>3.6656988016991489E-4</v>
      </c>
      <c r="N67" s="245">
        <f t="shared" si="33"/>
        <v>0.57232060775949556</v>
      </c>
      <c r="O67" s="245">
        <f t="shared" si="34"/>
        <v>2.3183506240695269E-2</v>
      </c>
      <c r="P67" s="245">
        <f t="shared" si="35"/>
        <v>1.0731181899647568E-2</v>
      </c>
      <c r="Q67" s="245">
        <f t="shared" si="36"/>
        <v>0.22331751364789088</v>
      </c>
      <c r="R67" s="243">
        <f t="shared" si="26"/>
        <v>1.0000000000000004</v>
      </c>
      <c r="S67" s="250"/>
      <c r="T67" s="244">
        <f t="shared" si="11"/>
        <v>1.9414225716829128E-2</v>
      </c>
      <c r="U67" s="246">
        <f t="shared" si="16"/>
        <v>0.36304602090470467</v>
      </c>
      <c r="V67" s="246">
        <f t="shared" si="17"/>
        <v>1.8700085393873469E-6</v>
      </c>
      <c r="W67" s="246">
        <f t="shared" si="18"/>
        <v>2.3465144918139318E-2</v>
      </c>
      <c r="X67" s="246">
        <f t="shared" si="19"/>
        <v>4.1498476170844529E-3</v>
      </c>
      <c r="Y67" s="246">
        <f t="shared" si="20"/>
        <v>7.5118273297532982E-4</v>
      </c>
      <c r="Z67" s="246">
        <f t="shared" si="12"/>
        <v>0.3914140661814432</v>
      </c>
      <c r="AA67" s="247">
        <f t="shared" si="13"/>
        <v>6.2622225401891773E-2</v>
      </c>
      <c r="AB67" s="122"/>
      <c r="AC67" s="244">
        <f t="shared" si="21"/>
        <v>0.54618912145317322</v>
      </c>
      <c r="AD67" s="245">
        <f t="shared" si="22"/>
        <v>48.983218724765109</v>
      </c>
      <c r="AE67" s="245">
        <f t="shared" si="23"/>
        <v>353.17904704838475</v>
      </c>
      <c r="AF67" s="245">
        <f t="shared" si="24"/>
        <v>22.188933822969442</v>
      </c>
      <c r="AG67" s="245">
        <f t="shared" si="25"/>
        <v>6.6222123502725143</v>
      </c>
      <c r="AH67" s="245">
        <f t="shared" si="14"/>
        <v>431.51960106784497</v>
      </c>
      <c r="AI67" s="247">
        <f t="shared" si="37"/>
        <v>69.038698550190588</v>
      </c>
    </row>
    <row r="68" spans="1:35">
      <c r="A68" s="122"/>
      <c r="B68" s="241">
        <v>64</v>
      </c>
      <c r="C68" s="248">
        <f>'Other parameters'!$D$27</f>
        <v>1.46842E-2</v>
      </c>
      <c r="D68" s="242">
        <f>'Other parameters'!$G$27</f>
        <v>18.7</v>
      </c>
      <c r="E68" s="234">
        <v>0</v>
      </c>
      <c r="F68" s="248">
        <f t="shared" si="38"/>
        <v>1.9471813593585521E-3</v>
      </c>
      <c r="G68" s="248">
        <f t="shared" si="29"/>
        <v>8.0000000000000016E-2</v>
      </c>
      <c r="H68" s="249">
        <f t="shared" si="30"/>
        <v>0.15532982164476369</v>
      </c>
      <c r="I68" s="122"/>
      <c r="J68" s="244">
        <v>0</v>
      </c>
      <c r="K68" s="245">
        <v>0</v>
      </c>
      <c r="L68" s="245">
        <f t="shared" si="31"/>
        <v>0.16984475092697912</v>
      </c>
      <c r="M68" s="245">
        <f t="shared" si="32"/>
        <v>3.3117781396612989E-4</v>
      </c>
      <c r="N68" s="245">
        <f t="shared" si="33"/>
        <v>0.5681271647211853</v>
      </c>
      <c r="O68" s="245">
        <f t="shared" si="34"/>
        <v>2.3022674889531584E-2</v>
      </c>
      <c r="P68" s="245">
        <f t="shared" si="35"/>
        <v>1.0659340945515778E-2</v>
      </c>
      <c r="Q68" s="245">
        <f t="shared" si="36"/>
        <v>0.22801489070282233</v>
      </c>
      <c r="R68" s="243">
        <f t="shared" si="26"/>
        <v>1.0000000000000002</v>
      </c>
      <c r="S68" s="250"/>
      <c r="T68" s="244">
        <f t="shared" si="11"/>
        <v>1.9381577054931452E-2</v>
      </c>
      <c r="U68" s="246">
        <f t="shared" si="16"/>
        <v>0.36243549092721816</v>
      </c>
      <c r="V68" s="246">
        <f t="shared" si="17"/>
        <v>1.6894605194655724E-6</v>
      </c>
      <c r="W68" s="246">
        <f t="shared" si="18"/>
        <v>2.3293213753568597E-2</v>
      </c>
      <c r="X68" s="246">
        <f t="shared" si="19"/>
        <v>4.1210588052261535E-3</v>
      </c>
      <c r="Y68" s="246">
        <f t="shared" si="20"/>
        <v>7.4615386618610456E-4</v>
      </c>
      <c r="Z68" s="246">
        <f t="shared" si="12"/>
        <v>0.39059760681271849</v>
      </c>
      <c r="AA68" s="247">
        <f t="shared" si="13"/>
        <v>6.0671456601091099E-2</v>
      </c>
      <c r="AB68" s="122"/>
      <c r="AC68" s="244">
        <f t="shared" si="21"/>
        <v>0.49345494280953356</v>
      </c>
      <c r="AD68" s="245">
        <f t="shared" si="22"/>
        <v>48.915288266969988</v>
      </c>
      <c r="AE68" s="245">
        <f t="shared" si="23"/>
        <v>350.59127334944344</v>
      </c>
      <c r="AF68" s="245">
        <f t="shared" si="24"/>
        <v>22.035002136770679</v>
      </c>
      <c r="AG68" s="245">
        <f t="shared" si="25"/>
        <v>6.5778792974777867</v>
      </c>
      <c r="AH68" s="245">
        <f t="shared" si="14"/>
        <v>428.61289799347145</v>
      </c>
      <c r="AI68" s="247">
        <f t="shared" si="37"/>
        <v>66.576364999971219</v>
      </c>
    </row>
    <row r="69" spans="1:35">
      <c r="A69" s="122"/>
      <c r="B69" s="241">
        <v>65</v>
      </c>
      <c r="C69" s="248">
        <f>'Other parameters'!$D$28</f>
        <v>2.30286E-2</v>
      </c>
      <c r="D69" s="242">
        <f>'Other parameters'!$G$28</f>
        <v>15</v>
      </c>
      <c r="E69" s="234">
        <v>0</v>
      </c>
      <c r="F69" s="248">
        <f t="shared" si="38"/>
        <v>1.7618825536497415E-3</v>
      </c>
      <c r="G69" s="248">
        <f t="shared" ref="G69:G104" si="39">IF(B69&lt;rhdage,0,pVS_2a)</f>
        <v>8.0000000000000016E-2</v>
      </c>
      <c r="H69" s="249">
        <f t="shared" ref="H69:H104" si="40">1/(1+disc)^($B69-1)</f>
        <v>0.15080565208229488</v>
      </c>
      <c r="I69" s="122"/>
      <c r="J69" s="244">
        <v>0</v>
      </c>
      <c r="K69" s="245">
        <v>0</v>
      </c>
      <c r="L69" s="245">
        <f t="shared" ref="L69:L104" si="41">IF(B69&lt;rf2age,1,(K68*cpARF1_Remission)+(L68*(1-F69))+(M68*cpARF2_Remission))</f>
        <v>0.16963161065512308</v>
      </c>
      <c r="M69" s="245">
        <f t="shared" ref="M69:M104" si="42">IF(B69&lt;rf2age,0,L68*F69)</f>
        <v>2.9924650348723029E-4</v>
      </c>
      <c r="N69" s="245">
        <f t="shared" ref="N69:N104" si="43">IF(B69&lt;rf2age,0,(K68*pARF1_RHDMild)+(M68*pARF2_RHDMild)+(N68*cpRHDMild_RHDMild)+(O68*G69))</f>
        <v>0.56394162185652386</v>
      </c>
      <c r="O69" s="245">
        <f t="shared" ref="O69:O104" si="44">IF(B69&lt;rf2age,0,(N68*pRHDMild_RHDSevere)+(O68*(1-(G69+pRHDSevere_Death))))</f>
        <v>2.286116953815423E-2</v>
      </c>
      <c r="P69" s="245">
        <f t="shared" ref="P69:P104" si="45">IF(B69&lt;rf2age,0,(N68*pRHDMild_Stroke)+(P68*(1-pStroke_Death)))</f>
        <v>1.058689288851772E-2</v>
      </c>
      <c r="Q69" s="245">
        <f t="shared" ref="Q69:Q104" si="46">IF(B69&lt;rf2age,0,(K68*pARF1_Death)+(M68*pARF2_Death)+(O68*pRHDSevere_Death)+(P68*pStroke_Death)+Q68)</f>
        <v>0.23267945855819422</v>
      </c>
      <c r="R69" s="243">
        <f t="shared" si="26"/>
        <v>1.0000000000000004</v>
      </c>
      <c r="S69" s="250"/>
      <c r="T69" s="244">
        <f t="shared" ref="T69:T103" si="47">((K68*pARF1_Death)+(M68*pARF2_Death)+(O68*pRHDSevere_Death)+(P68*pStroke_Death))+C69</f>
        <v>2.7693167855371903E-2</v>
      </c>
      <c r="U69" s="246">
        <f t="shared" si="16"/>
        <v>0.41539751783057854</v>
      </c>
      <c r="V69" s="246">
        <f t="shared" si="17"/>
        <v>1.5265670945019805E-6</v>
      </c>
      <c r="W69" s="246">
        <f t="shared" si="18"/>
        <v>2.312160649611748E-2</v>
      </c>
      <c r="X69" s="246">
        <f t="shared" si="19"/>
        <v>4.0921493473296067E-3</v>
      </c>
      <c r="Y69" s="246">
        <f t="shared" si="20"/>
        <v>7.4108250219624043E-4</v>
      </c>
      <c r="Z69" s="246">
        <f t="shared" ref="Z69:Z104" si="48">SUM(U69:Y69)</f>
        <v>0.44335388274331639</v>
      </c>
      <c r="AA69" s="247">
        <f t="shared" ref="AA69:AA100" si="49">Z69*H69</f>
        <v>6.6860271390323134E-2</v>
      </c>
      <c r="AB69" s="122"/>
      <c r="AC69" s="244">
        <f t="shared" si="21"/>
        <v>0.44587729019597311</v>
      </c>
      <c r="AD69" s="245">
        <f t="shared" si="22"/>
        <v>48.853903868675445</v>
      </c>
      <c r="AE69" s="245">
        <f t="shared" si="23"/>
        <v>348.00837484766089</v>
      </c>
      <c r="AF69" s="245">
        <f t="shared" si="24"/>
        <v>21.880425364967415</v>
      </c>
      <c r="AG69" s="245">
        <f t="shared" si="25"/>
        <v>6.5331716015042849</v>
      </c>
      <c r="AH69" s="245">
        <f t="shared" ref="AH69:AH104" si="50">SUM(AC69:AG69)</f>
        <v>425.72175297300407</v>
      </c>
      <c r="AI69" s="247">
        <f t="shared" ref="AI69:AI100" si="51">AH69*H69</f>
        <v>64.201246562711532</v>
      </c>
    </row>
    <row r="70" spans="1:35">
      <c r="A70" s="122"/>
      <c r="B70" s="241">
        <v>66</v>
      </c>
      <c r="C70" s="248">
        <f>'Other parameters'!$D$28</f>
        <v>2.30286E-2</v>
      </c>
      <c r="D70" s="242">
        <f>'Other parameters'!$G$28</f>
        <v>15</v>
      </c>
      <c r="E70" s="234">
        <v>0</v>
      </c>
      <c r="F70" s="248">
        <f t="shared" si="38"/>
        <v>1.5942172607270357E-3</v>
      </c>
      <c r="G70" s="248">
        <f t="shared" si="39"/>
        <v>8.0000000000000016E-2</v>
      </c>
      <c r="H70" s="249">
        <f t="shared" si="40"/>
        <v>0.14641325444882999</v>
      </c>
      <c r="I70" s="122"/>
      <c r="J70" s="244">
        <v>0</v>
      </c>
      <c r="K70" s="245">
        <v>0</v>
      </c>
      <c r="L70" s="245">
        <f t="shared" si="41"/>
        <v>0.16943898510435845</v>
      </c>
      <c r="M70" s="245">
        <f t="shared" si="42"/>
        <v>2.7042964167132538E-4</v>
      </c>
      <c r="N70" s="245">
        <f t="shared" si="43"/>
        <v>0.55976632985956876</v>
      </c>
      <c r="O70" s="245">
        <f t="shared" si="44"/>
        <v>2.2699191740517266E-2</v>
      </c>
      <c r="P70" s="245">
        <f t="shared" si="45"/>
        <v>1.0513962860968895E-2</v>
      </c>
      <c r="Q70" s="245">
        <f t="shared" si="46"/>
        <v>0.2373111007929157</v>
      </c>
      <c r="R70" s="243">
        <f t="shared" si="26"/>
        <v>1.0000000000000002</v>
      </c>
      <c r="S70" s="250"/>
      <c r="T70" s="244">
        <f t="shared" si="47"/>
        <v>2.7660242234721483E-2</v>
      </c>
      <c r="U70" s="246">
        <f t="shared" ref="U70:U104" si="52">$D70*T70</f>
        <v>0.41490363352082227</v>
      </c>
      <c r="V70" s="246">
        <f t="shared" ref="V70:V104" si="53">($K70+$M70)*wAR</f>
        <v>1.3795616240876929E-6</v>
      </c>
      <c r="W70" s="246">
        <f t="shared" ref="W70:W104" si="54">$N70*wRM</f>
        <v>2.2950419524242319E-2</v>
      </c>
      <c r="X70" s="246">
        <f t="shared" ref="X70:X104" si="55">$O70*wRH</f>
        <v>4.0631553215525907E-3</v>
      </c>
      <c r="Y70" s="246">
        <f t="shared" ref="Y70:Y104" si="56">$P70*wRS</f>
        <v>7.3597740026782276E-4</v>
      </c>
      <c r="Z70" s="246">
        <f t="shared" si="48"/>
        <v>0.44265456532850911</v>
      </c>
      <c r="AA70" s="247">
        <f t="shared" si="49"/>
        <v>6.481049550637924E-2</v>
      </c>
      <c r="AB70" s="122"/>
      <c r="AC70" s="244">
        <f t="shared" ref="AC70:AC104" si="57">($K70+$M70)*cARF</f>
        <v>0.40294016609027483</v>
      </c>
      <c r="AD70" s="245">
        <f t="shared" ref="AD70:AD104" si="58">$L70*cRFR</f>
        <v>48.798427710055236</v>
      </c>
      <c r="AE70" s="245">
        <f t="shared" ref="AE70:AE104" si="59">$N70*cRM</f>
        <v>345.43180215633987</v>
      </c>
      <c r="AF70" s="245">
        <f t="shared" ref="AF70:AF104" si="60">$O70*cRH</f>
        <v>21.725396414849076</v>
      </c>
      <c r="AG70" s="245">
        <f t="shared" ref="AG70:AG104" si="61">$P70*cRS</f>
        <v>6.4881664815039057</v>
      </c>
      <c r="AH70" s="245">
        <f t="shared" si="50"/>
        <v>422.84673292883838</v>
      </c>
      <c r="AI70" s="247">
        <f t="shared" si="51"/>
        <v>61.910366301166476</v>
      </c>
    </row>
    <row r="71" spans="1:35">
      <c r="A71" s="122"/>
      <c r="B71" s="241">
        <v>67</v>
      </c>
      <c r="C71" s="248">
        <f>'Other parameters'!$D$28</f>
        <v>2.30286E-2</v>
      </c>
      <c r="D71" s="242">
        <f>'Other parameters'!$G$28</f>
        <v>15</v>
      </c>
      <c r="E71" s="234">
        <v>0</v>
      </c>
      <c r="F71" s="248">
        <f t="shared" si="38"/>
        <v>1.4425074299846117E-3</v>
      </c>
      <c r="G71" s="248">
        <f t="shared" si="39"/>
        <v>8.0000000000000016E-2</v>
      </c>
      <c r="H71" s="249">
        <f t="shared" si="40"/>
        <v>0.14214879072701941</v>
      </c>
      <c r="I71" s="122"/>
      <c r="J71" s="244">
        <v>0</v>
      </c>
      <c r="K71" s="245">
        <v>0</v>
      </c>
      <c r="L71" s="245">
        <f t="shared" si="41"/>
        <v>0.16926487981625091</v>
      </c>
      <c r="M71" s="245">
        <f t="shared" si="42"/>
        <v>2.4441699494208902E-4</v>
      </c>
      <c r="N71" s="245">
        <f t="shared" si="43"/>
        <v>0.55560338028209288</v>
      </c>
      <c r="O71" s="245">
        <f t="shared" si="44"/>
        <v>2.2536920591875717E-2</v>
      </c>
      <c r="P71" s="245">
        <f t="shared" si="45"/>
        <v>1.0440662163743279E-2</v>
      </c>
      <c r="Q71" s="245">
        <f t="shared" si="46"/>
        <v>0.24190974015109559</v>
      </c>
      <c r="R71" s="243">
        <f t="shared" si="26"/>
        <v>1.0000000000000004</v>
      </c>
      <c r="S71" s="250"/>
      <c r="T71" s="244">
        <f t="shared" si="47"/>
        <v>2.762723935817989E-2</v>
      </c>
      <c r="U71" s="246">
        <f t="shared" si="52"/>
        <v>0.41440859037269834</v>
      </c>
      <c r="V71" s="246">
        <f t="shared" si="53"/>
        <v>1.2468614920059446E-6</v>
      </c>
      <c r="W71" s="246">
        <f t="shared" si="54"/>
        <v>2.2779738591565808E-2</v>
      </c>
      <c r="X71" s="246">
        <f t="shared" si="55"/>
        <v>4.0341087859457536E-3</v>
      </c>
      <c r="Y71" s="246">
        <f t="shared" si="56"/>
        <v>7.3084635146202957E-4</v>
      </c>
      <c r="Z71" s="246">
        <f t="shared" si="48"/>
        <v>0.44195453096316389</v>
      </c>
      <c r="AA71" s="247">
        <f t="shared" si="49"/>
        <v>6.2823302132740802E-2</v>
      </c>
      <c r="AB71" s="122"/>
      <c r="AC71" s="244">
        <f t="shared" si="57"/>
        <v>0.36418132246371265</v>
      </c>
      <c r="AD71" s="245">
        <f t="shared" si="58"/>
        <v>48.748285387080259</v>
      </c>
      <c r="AE71" s="245">
        <f t="shared" si="59"/>
        <v>342.86284597207953</v>
      </c>
      <c r="AF71" s="245">
        <f t="shared" si="60"/>
        <v>21.57008669848425</v>
      </c>
      <c r="AG71" s="245">
        <f t="shared" si="61"/>
        <v>6.4429326212459781</v>
      </c>
      <c r="AH71" s="245">
        <f t="shared" si="50"/>
        <v>419.98833200135374</v>
      </c>
      <c r="AI71" s="247">
        <f t="shared" si="51"/>
        <v>59.700833513450384</v>
      </c>
    </row>
    <row r="72" spans="1:35">
      <c r="A72" s="122"/>
      <c r="B72" s="241">
        <v>68</v>
      </c>
      <c r="C72" s="248">
        <f>'Other parameters'!$D$28</f>
        <v>2.30286E-2</v>
      </c>
      <c r="D72" s="242">
        <f>'Other parameters'!$G$28</f>
        <v>15</v>
      </c>
      <c r="E72" s="234">
        <v>0</v>
      </c>
      <c r="F72" s="248">
        <f t="shared" si="38"/>
        <v>1.3052346984449631E-3</v>
      </c>
      <c r="G72" s="248">
        <f t="shared" si="39"/>
        <v>8.0000000000000016E-2</v>
      </c>
      <c r="H72" s="249">
        <f t="shared" si="40"/>
        <v>0.1380085346864266</v>
      </c>
      <c r="I72" s="122"/>
      <c r="J72" s="244">
        <v>0</v>
      </c>
      <c r="K72" s="245">
        <v>0</v>
      </c>
      <c r="L72" s="245">
        <f t="shared" si="41"/>
        <v>0.16910749784057155</v>
      </c>
      <c r="M72" s="245">
        <f t="shared" si="42"/>
        <v>2.2093039436428717E-4</v>
      </c>
      <c r="N72" s="245">
        <f t="shared" si="43"/>
        <v>0.55145463256784621</v>
      </c>
      <c r="O72" s="245">
        <f t="shared" si="44"/>
        <v>2.2374515253693512E-2</v>
      </c>
      <c r="P72" s="245">
        <f t="shared" si="45"/>
        <v>1.0367089797200909E-2</v>
      </c>
      <c r="Q72" s="245">
        <f t="shared" si="46"/>
        <v>0.24647533414632403</v>
      </c>
      <c r="R72" s="243">
        <f t="shared" si="26"/>
        <v>1.0000000000000004</v>
      </c>
      <c r="S72" s="250"/>
      <c r="T72" s="244">
        <f t="shared" si="47"/>
        <v>2.7594193995228434E-2</v>
      </c>
      <c r="U72" s="246">
        <f t="shared" si="52"/>
        <v>0.4139129099284265</v>
      </c>
      <c r="V72" s="246">
        <f t="shared" si="53"/>
        <v>1.1270476556337062E-6</v>
      </c>
      <c r="W72" s="246">
        <f t="shared" si="54"/>
        <v>2.2609639935281697E-2</v>
      </c>
      <c r="X72" s="246">
        <f t="shared" si="55"/>
        <v>4.0050382304111388E-3</v>
      </c>
      <c r="Y72" s="246">
        <f t="shared" si="56"/>
        <v>7.2569628580406364E-4</v>
      </c>
      <c r="Z72" s="246">
        <f t="shared" si="48"/>
        <v>0.44125441142757904</v>
      </c>
      <c r="AA72" s="247">
        <f t="shared" si="49"/>
        <v>6.0896874745041796E-2</v>
      </c>
      <c r="AB72" s="122"/>
      <c r="AC72" s="244">
        <f t="shared" si="57"/>
        <v>0.3291862876027879</v>
      </c>
      <c r="AD72" s="245">
        <f t="shared" si="58"/>
        <v>48.702959378084607</v>
      </c>
      <c r="AE72" s="245">
        <f t="shared" si="59"/>
        <v>340.30265375761792</v>
      </c>
      <c r="AF72" s="245">
        <f t="shared" si="60"/>
        <v>21.414648549310062</v>
      </c>
      <c r="AG72" s="245">
        <f t="shared" si="61"/>
        <v>6.3975311138526809</v>
      </c>
      <c r="AH72" s="245">
        <f t="shared" si="50"/>
        <v>417.14697908646804</v>
      </c>
      <c r="AI72" s="247">
        <f t="shared" si="51"/>
        <v>57.569843332592896</v>
      </c>
    </row>
    <row r="73" spans="1:35">
      <c r="A73" s="122"/>
      <c r="B73" s="241">
        <v>69</v>
      </c>
      <c r="C73" s="248">
        <f>'Other parameters'!$D$28</f>
        <v>2.30286E-2</v>
      </c>
      <c r="D73" s="242">
        <f>'Other parameters'!$G$28</f>
        <v>15</v>
      </c>
      <c r="E73" s="234">
        <v>0</v>
      </c>
      <c r="F73" s="248">
        <f t="shared" si="38"/>
        <v>1.181025194471885E-3</v>
      </c>
      <c r="G73" s="248">
        <f t="shared" si="39"/>
        <v>8.0000000000000016E-2</v>
      </c>
      <c r="H73" s="249">
        <f t="shared" si="40"/>
        <v>0.13398886862759865</v>
      </c>
      <c r="I73" s="122"/>
      <c r="J73" s="244">
        <v>0</v>
      </c>
      <c r="K73" s="245">
        <v>0</v>
      </c>
      <c r="L73" s="245">
        <f t="shared" si="41"/>
        <v>0.16896521952758245</v>
      </c>
      <c r="M73" s="245">
        <f t="shared" si="42"/>
        <v>1.9972021552381491E-4</v>
      </c>
      <c r="N73" s="245">
        <f t="shared" si="43"/>
        <v>0.5473217381042853</v>
      </c>
      <c r="O73" s="245">
        <f t="shared" si="44"/>
        <v>2.2212117177844E-2</v>
      </c>
      <c r="P73" s="245">
        <f t="shared" si="45"/>
        <v>1.0293333817709442E-2</v>
      </c>
      <c r="Q73" s="245">
        <f t="shared" si="46"/>
        <v>0.25100787115705553</v>
      </c>
      <c r="R73" s="243">
        <f t="shared" si="26"/>
        <v>1.0000000000000004</v>
      </c>
      <c r="S73" s="250"/>
      <c r="T73" s="244">
        <f t="shared" si="47"/>
        <v>2.7561137010731526E-2</v>
      </c>
      <c r="U73" s="246">
        <f t="shared" si="52"/>
        <v>0.41341705516097288</v>
      </c>
      <c r="V73" s="246">
        <f t="shared" si="53"/>
        <v>1.0188466885077902E-6</v>
      </c>
      <c r="W73" s="246">
        <f t="shared" si="54"/>
        <v>2.2440191262275699E-2</v>
      </c>
      <c r="X73" s="246">
        <f t="shared" si="55"/>
        <v>3.9759689748340762E-3</v>
      </c>
      <c r="Y73" s="246">
        <f t="shared" si="56"/>
        <v>7.2053336723966097E-4</v>
      </c>
      <c r="Z73" s="246">
        <f t="shared" si="48"/>
        <v>0.44055476761201084</v>
      </c>
      <c r="AA73" s="247">
        <f t="shared" si="49"/>
        <v>5.9029434880827972E-2</v>
      </c>
      <c r="AB73" s="122"/>
      <c r="AC73" s="244">
        <f t="shared" si="57"/>
        <v>0.29758312113048419</v>
      </c>
      <c r="AD73" s="245">
        <f t="shared" si="58"/>
        <v>48.661983223943743</v>
      </c>
      <c r="AE73" s="245">
        <f t="shared" si="59"/>
        <v>337.75224458415448</v>
      </c>
      <c r="AF73" s="245">
        <f t="shared" si="60"/>
        <v>21.259217350914493</v>
      </c>
      <c r="AG73" s="245">
        <f t="shared" si="61"/>
        <v>6.3520162989084969</v>
      </c>
      <c r="AH73" s="245">
        <f t="shared" si="50"/>
        <v>414.32304457905167</v>
      </c>
      <c r="AI73" s="247">
        <f t="shared" si="51"/>
        <v>55.514675989489255</v>
      </c>
    </row>
    <row r="74" spans="1:35">
      <c r="A74" s="122"/>
      <c r="B74" s="241">
        <v>70</v>
      </c>
      <c r="C74" s="248">
        <f>'Other parameters'!$D$29</f>
        <v>3.7466800000000001E-2</v>
      </c>
      <c r="D74" s="242">
        <f>'Other parameters'!$G$29</f>
        <v>11.6</v>
      </c>
      <c r="E74" s="234">
        <v>0</v>
      </c>
      <c r="F74" s="248">
        <f t="shared" si="38"/>
        <v>1.0686357876013568E-3</v>
      </c>
      <c r="G74" s="248">
        <f t="shared" si="39"/>
        <v>8.0000000000000016E-2</v>
      </c>
      <c r="H74" s="249">
        <f t="shared" si="40"/>
        <v>0.13008628022096957</v>
      </c>
      <c r="I74" s="122"/>
      <c r="J74" s="244">
        <v>0</v>
      </c>
      <c r="K74" s="245">
        <v>0</v>
      </c>
      <c r="L74" s="245">
        <f t="shared" si="41"/>
        <v>0.16883658450317157</v>
      </c>
      <c r="M74" s="245">
        <f t="shared" si="42"/>
        <v>1.8056228044709423E-4</v>
      </c>
      <c r="N74" s="245">
        <f t="shared" si="43"/>
        <v>0.54320616165248836</v>
      </c>
      <c r="O74" s="245">
        <f t="shared" si="44"/>
        <v>2.2049852067818849E-2</v>
      </c>
      <c r="P74" s="245">
        <f t="shared" si="45"/>
        <v>1.0219472539920676E-2</v>
      </c>
      <c r="Q74" s="245">
        <f t="shared" si="46"/>
        <v>0.255507366956154</v>
      </c>
      <c r="R74" s="243">
        <f t="shared" si="26"/>
        <v>1.0000000000000007</v>
      </c>
      <c r="S74" s="250"/>
      <c r="T74" s="244">
        <f t="shared" si="47"/>
        <v>4.1966295799098455E-2</v>
      </c>
      <c r="U74" s="246">
        <f t="shared" si="52"/>
        <v>0.48680903126954206</v>
      </c>
      <c r="V74" s="246">
        <f t="shared" si="53"/>
        <v>9.2111497586983419E-7</v>
      </c>
      <c r="W74" s="246">
        <f t="shared" si="54"/>
        <v>2.2271452627752025E-2</v>
      </c>
      <c r="X74" s="246">
        <f t="shared" si="55"/>
        <v>3.9469235201395735E-3</v>
      </c>
      <c r="Y74" s="246">
        <f t="shared" si="56"/>
        <v>7.1536307779444743E-4</v>
      </c>
      <c r="Z74" s="246">
        <f t="shared" si="48"/>
        <v>0.51374369161020395</v>
      </c>
      <c r="AA74" s="247">
        <f t="shared" si="49"/>
        <v>6.6831005828560372E-2</v>
      </c>
      <c r="AB74" s="122"/>
      <c r="AC74" s="244">
        <f t="shared" si="57"/>
        <v>0.26903779786617038</v>
      </c>
      <c r="AD74" s="245">
        <f t="shared" si="58"/>
        <v>48.624936336913414</v>
      </c>
      <c r="AE74" s="245">
        <f t="shared" si="59"/>
        <v>335.21252235575059</v>
      </c>
      <c r="AF74" s="245">
        <f t="shared" si="60"/>
        <v>21.103913414109421</v>
      </c>
      <c r="AG74" s="245">
        <f t="shared" si="61"/>
        <v>6.3064365043850499</v>
      </c>
      <c r="AH74" s="245">
        <f t="shared" si="50"/>
        <v>411.51684640902459</v>
      </c>
      <c r="AI74" s="247">
        <f t="shared" si="51"/>
        <v>53.532695797614068</v>
      </c>
    </row>
    <row r="75" spans="1:35">
      <c r="A75" s="122"/>
      <c r="B75" s="241">
        <v>71</v>
      </c>
      <c r="C75" s="248">
        <f>'Other parameters'!$D$29</f>
        <v>3.7466800000000001E-2</v>
      </c>
      <c r="D75" s="242">
        <f>'Other parameters'!$G$29</f>
        <v>11.6</v>
      </c>
      <c r="E75" s="234">
        <v>0</v>
      </c>
      <c r="F75" s="248">
        <f t="shared" si="38"/>
        <v>9.6694164687403635E-4</v>
      </c>
      <c r="G75" s="248">
        <f t="shared" si="39"/>
        <v>8.0000000000000016E-2</v>
      </c>
      <c r="H75" s="249">
        <f t="shared" si="40"/>
        <v>0.12629735943783454</v>
      </c>
      <c r="I75" s="122"/>
      <c r="J75" s="244">
        <v>0</v>
      </c>
      <c r="K75" s="245">
        <v>0</v>
      </c>
      <c r="L75" s="245">
        <f t="shared" si="41"/>
        <v>0.16872027557101571</v>
      </c>
      <c r="M75" s="245">
        <f t="shared" si="42"/>
        <v>1.6325512507208413E-4</v>
      </c>
      <c r="N75" s="245">
        <f t="shared" si="43"/>
        <v>0.53910920046700184</v>
      </c>
      <c r="O75" s="245">
        <f t="shared" si="44"/>
        <v>2.188783160982356E-2</v>
      </c>
      <c r="P75" s="245">
        <f t="shared" si="45"/>
        <v>1.0145575602680375E-2</v>
      </c>
      <c r="Q75" s="245">
        <f t="shared" si="46"/>
        <v>0.25997386162440705</v>
      </c>
      <c r="R75" s="243">
        <f t="shared" si="26"/>
        <v>1.0000000000000004</v>
      </c>
      <c r="S75" s="250"/>
      <c r="T75" s="244">
        <f t="shared" si="47"/>
        <v>4.1933294668253053E-2</v>
      </c>
      <c r="U75" s="246">
        <f t="shared" si="52"/>
        <v>0.48642621815173542</v>
      </c>
      <c r="V75" s="246">
        <f t="shared" si="53"/>
        <v>8.3282477502526209E-7</v>
      </c>
      <c r="W75" s="246">
        <f t="shared" si="54"/>
        <v>2.2103477219147075E-2</v>
      </c>
      <c r="X75" s="246">
        <f t="shared" si="55"/>
        <v>3.9179218581584171E-3</v>
      </c>
      <c r="Y75" s="246">
        <f t="shared" si="56"/>
        <v>7.1019029218762628E-4</v>
      </c>
      <c r="Z75" s="246">
        <f t="shared" si="48"/>
        <v>0.51315864034600367</v>
      </c>
      <c r="AA75" s="247">
        <f t="shared" si="49"/>
        <v>6.4810581248409688E-2</v>
      </c>
      <c r="AB75" s="122"/>
      <c r="AC75" s="244">
        <f t="shared" si="57"/>
        <v>0.24325013635740536</v>
      </c>
      <c r="AD75" s="245">
        <f t="shared" si="58"/>
        <v>48.591439364452526</v>
      </c>
      <c r="AE75" s="245">
        <f t="shared" si="59"/>
        <v>332.68428760818682</v>
      </c>
      <c r="AF75" s="245">
        <f t="shared" si="60"/>
        <v>20.948843633762131</v>
      </c>
      <c r="AG75" s="245">
        <f t="shared" si="61"/>
        <v>6.2608347044140595</v>
      </c>
      <c r="AH75" s="245">
        <f t="shared" si="50"/>
        <v>408.72865544717291</v>
      </c>
      <c r="AI75" s="247">
        <f t="shared" si="51"/>
        <v>51.621349909554425</v>
      </c>
    </row>
    <row r="76" spans="1:35">
      <c r="A76" s="122"/>
      <c r="B76" s="241">
        <v>72</v>
      </c>
      <c r="C76" s="248">
        <f>'Other parameters'!$D$29</f>
        <v>3.7466800000000001E-2</v>
      </c>
      <c r="D76" s="242">
        <f>'Other parameters'!$G$29</f>
        <v>11.6</v>
      </c>
      <c r="E76" s="234">
        <v>0</v>
      </c>
      <c r="F76" s="248">
        <f t="shared" si="38"/>
        <v>8.7492498314894118E-4</v>
      </c>
      <c r="G76" s="248">
        <f t="shared" si="39"/>
        <v>8.0000000000000016E-2</v>
      </c>
      <c r="H76" s="249">
        <f t="shared" si="40"/>
        <v>0.12261879557071313</v>
      </c>
      <c r="I76" s="122"/>
      <c r="J76" s="244">
        <v>0</v>
      </c>
      <c r="K76" s="245">
        <v>0</v>
      </c>
      <c r="L76" s="245">
        <f t="shared" si="41"/>
        <v>0.1686151043192736</v>
      </c>
      <c r="M76" s="245">
        <f t="shared" si="42"/>
        <v>1.4761758426085563E-4</v>
      </c>
      <c r="N76" s="245">
        <f t="shared" si="43"/>
        <v>0.53503200137588214</v>
      </c>
      <c r="O76" s="245">
        <f t="shared" si="44"/>
        <v>2.1726155002398898E-2</v>
      </c>
      <c r="P76" s="245">
        <f t="shared" si="45"/>
        <v>1.0071704914401096E-2</v>
      </c>
      <c r="Q76" s="245">
        <f t="shared" si="46"/>
        <v>0.26440741680378405</v>
      </c>
      <c r="R76" s="243">
        <f t="shared" si="26"/>
        <v>1.0000000000000007</v>
      </c>
      <c r="S76" s="250"/>
      <c r="T76" s="244">
        <f t="shared" si="47"/>
        <v>4.1900355179377013E-2</v>
      </c>
      <c r="U76" s="246">
        <f t="shared" si="52"/>
        <v>0.48604412008077336</v>
      </c>
      <c r="V76" s="246">
        <f t="shared" si="53"/>
        <v>7.5305189559921432E-7</v>
      </c>
      <c r="W76" s="246">
        <f t="shared" si="54"/>
        <v>2.1936312056411167E-2</v>
      </c>
      <c r="X76" s="246">
        <f t="shared" si="55"/>
        <v>3.8889817454294024E-3</v>
      </c>
      <c r="Y76" s="246">
        <f t="shared" si="56"/>
        <v>7.0501934400807678E-4</v>
      </c>
      <c r="Z76" s="246">
        <f t="shared" si="48"/>
        <v>0.51257518627851761</v>
      </c>
      <c r="AA76" s="247">
        <f t="shared" si="49"/>
        <v>6.2851351980905759E-2</v>
      </c>
      <c r="AB76" s="122"/>
      <c r="AC76" s="244">
        <f t="shared" si="57"/>
        <v>0.2199502005486749</v>
      </c>
      <c r="AD76" s="245">
        <f t="shared" si="58"/>
        <v>48.561150043950796</v>
      </c>
      <c r="AE76" s="245">
        <f t="shared" si="59"/>
        <v>330.1682480490569</v>
      </c>
      <c r="AF76" s="245">
        <f t="shared" si="60"/>
        <v>20.794102952795985</v>
      </c>
      <c r="AG76" s="245">
        <f t="shared" si="61"/>
        <v>6.2152491026769159</v>
      </c>
      <c r="AH76" s="245">
        <f t="shared" si="50"/>
        <v>405.95870034902924</v>
      </c>
      <c r="AI76" s="247">
        <f t="shared" si="51"/>
        <v>49.778166888250006</v>
      </c>
    </row>
    <row r="77" spans="1:35">
      <c r="A77" s="122"/>
      <c r="B77" s="241">
        <v>73</v>
      </c>
      <c r="C77" s="248">
        <f>'Other parameters'!$D$29</f>
        <v>3.7466800000000001E-2</v>
      </c>
      <c r="D77" s="242">
        <f>'Other parameters'!$G$29</f>
        <v>11.6</v>
      </c>
      <c r="E77" s="234">
        <v>0</v>
      </c>
      <c r="F77" s="248">
        <f t="shared" si="38"/>
        <v>7.9166486272764364E-4</v>
      </c>
      <c r="G77" s="248">
        <f t="shared" si="39"/>
        <v>8.0000000000000016E-2</v>
      </c>
      <c r="H77" s="249">
        <f t="shared" si="40"/>
        <v>0.1190473743404982</v>
      </c>
      <c r="I77" s="122"/>
      <c r="J77" s="244">
        <v>0</v>
      </c>
      <c r="K77" s="245">
        <v>0</v>
      </c>
      <c r="L77" s="245">
        <f t="shared" si="41"/>
        <v>0.1685199982377667</v>
      </c>
      <c r="M77" s="245">
        <f t="shared" si="42"/>
        <v>1.3348665341472504E-4</v>
      </c>
      <c r="N77" s="245">
        <f t="shared" si="43"/>
        <v>0.53097557605594381</v>
      </c>
      <c r="O77" s="245">
        <f t="shared" si="44"/>
        <v>2.156491030950488E-2</v>
      </c>
      <c r="P77" s="245">
        <f t="shared" si="45"/>
        <v>9.9979154918964953E-3</v>
      </c>
      <c r="Q77" s="245">
        <f t="shared" si="46"/>
        <v>0.26880811325147413</v>
      </c>
      <c r="R77" s="243">
        <f t="shared" ref="R77:R104" si="62">SUM(J77:Q77)</f>
        <v>1.0000000000000009</v>
      </c>
      <c r="S77" s="250"/>
      <c r="T77" s="244">
        <f t="shared" si="47"/>
        <v>4.1867496447690063E-2</v>
      </c>
      <c r="U77" s="246">
        <f t="shared" si="52"/>
        <v>0.4856629587932047</v>
      </c>
      <c r="V77" s="246">
        <f t="shared" si="53"/>
        <v>6.8096479084443307E-7</v>
      </c>
      <c r="W77" s="246">
        <f t="shared" si="54"/>
        <v>2.1769998618293696E-2</v>
      </c>
      <c r="X77" s="246">
        <f t="shared" si="55"/>
        <v>3.8601189454013731E-3</v>
      </c>
      <c r="Y77" s="246">
        <f t="shared" si="56"/>
        <v>6.998540844327547E-4</v>
      </c>
      <c r="Z77" s="246">
        <f t="shared" si="48"/>
        <v>0.51199361140612332</v>
      </c>
      <c r="AA77" s="247">
        <f t="shared" si="49"/>
        <v>6.0951495117008328E-2</v>
      </c>
      <c r="AB77" s="122"/>
      <c r="AC77" s="244">
        <f t="shared" si="57"/>
        <v>0.19889511358794032</v>
      </c>
      <c r="AD77" s="245">
        <f t="shared" si="58"/>
        <v>48.533759492476811</v>
      </c>
      <c r="AE77" s="245">
        <f t="shared" si="59"/>
        <v>327.66502798412296</v>
      </c>
      <c r="AF77" s="245">
        <f t="shared" si="60"/>
        <v>20.639775657227119</v>
      </c>
      <c r="AG77" s="245">
        <f t="shared" si="61"/>
        <v>6.1697136500493279</v>
      </c>
      <c r="AH77" s="245">
        <f t="shared" si="50"/>
        <v>403.20717189746415</v>
      </c>
      <c r="AI77" s="247">
        <f t="shared" si="51"/>
        <v>48.000755129651019</v>
      </c>
    </row>
    <row r="78" spans="1:35">
      <c r="A78" s="122"/>
      <c r="B78" s="241">
        <v>74</v>
      </c>
      <c r="C78" s="248">
        <f>'Other parameters'!$D$29</f>
        <v>3.7466800000000001E-2</v>
      </c>
      <c r="D78" s="242">
        <f>'Other parameters'!$G$29</f>
        <v>11.6</v>
      </c>
      <c r="E78" s="234">
        <v>0</v>
      </c>
      <c r="F78" s="248">
        <f t="shared" si="38"/>
        <v>7.1632799034027366E-4</v>
      </c>
      <c r="G78" s="248">
        <f t="shared" si="39"/>
        <v>8.0000000000000016E-2</v>
      </c>
      <c r="H78" s="249">
        <f t="shared" si="40"/>
        <v>0.11557997508786232</v>
      </c>
      <c r="I78" s="122"/>
      <c r="J78" s="244">
        <v>0</v>
      </c>
      <c r="K78" s="245">
        <v>0</v>
      </c>
      <c r="L78" s="245">
        <f t="shared" si="41"/>
        <v>0.16843398917598471</v>
      </c>
      <c r="M78" s="245">
        <f t="shared" si="42"/>
        <v>1.2071559166980588E-4</v>
      </c>
      <c r="N78" s="245">
        <f t="shared" si="43"/>
        <v>0.52694081470814724</v>
      </c>
      <c r="O78" s="245">
        <f t="shared" si="44"/>
        <v>2.1404175658777433E-2</v>
      </c>
      <c r="P78" s="245">
        <f t="shared" si="45"/>
        <v>9.9242562050442483E-3</v>
      </c>
      <c r="Q78" s="245">
        <f t="shared" si="46"/>
        <v>0.27317604866037726</v>
      </c>
      <c r="R78" s="243">
        <f t="shared" si="62"/>
        <v>1.0000000000000007</v>
      </c>
      <c r="S78" s="250"/>
      <c r="T78" s="244">
        <f t="shared" si="47"/>
        <v>4.1834735408903118E-2</v>
      </c>
      <c r="U78" s="246">
        <f t="shared" si="52"/>
        <v>0.48528293074327616</v>
      </c>
      <c r="V78" s="246">
        <f t="shared" si="53"/>
        <v>6.1581488134021531E-7</v>
      </c>
      <c r="W78" s="246">
        <f t="shared" si="54"/>
        <v>2.1604573403034039E-2</v>
      </c>
      <c r="X78" s="246">
        <f t="shared" si="55"/>
        <v>3.8313474429211604E-3</v>
      </c>
      <c r="Y78" s="246">
        <f t="shared" si="56"/>
        <v>6.9469793435309748E-4</v>
      </c>
      <c r="Z78" s="246">
        <f t="shared" si="48"/>
        <v>0.51141416533846573</v>
      </c>
      <c r="AA78" s="247">
        <f t="shared" si="49"/>
        <v>5.9109236489399766E-2</v>
      </c>
      <c r="AB78" s="122"/>
      <c r="AC78" s="244">
        <f t="shared" si="57"/>
        <v>0.17986623158801077</v>
      </c>
      <c r="AD78" s="245">
        <f t="shared" si="58"/>
        <v>48.508988882683596</v>
      </c>
      <c r="AE78" s="245">
        <f t="shared" si="59"/>
        <v>325.17517675639766</v>
      </c>
      <c r="AF78" s="245">
        <f t="shared" si="60"/>
        <v>20.48593652301588</v>
      </c>
      <c r="AG78" s="245">
        <f t="shared" si="61"/>
        <v>6.1242585041328059</v>
      </c>
      <c r="AH78" s="245">
        <f t="shared" si="50"/>
        <v>400.47422689781791</v>
      </c>
      <c r="AI78" s="247">
        <f t="shared" si="51"/>
        <v>46.286801168180716</v>
      </c>
    </row>
    <row r="79" spans="1:35">
      <c r="A79" s="122"/>
      <c r="B79" s="241">
        <v>75</v>
      </c>
      <c r="C79" s="248">
        <f>'Other parameters'!$D$30</f>
        <v>5.9392199999999992E-2</v>
      </c>
      <c r="D79" s="242">
        <f>'Other parameters'!$G$30</f>
        <v>8.6</v>
      </c>
      <c r="E79" s="234">
        <v>0</v>
      </c>
      <c r="F79" s="248">
        <f t="shared" si="38"/>
        <v>6.481603692463806E-4</v>
      </c>
      <c r="G79" s="248">
        <f t="shared" si="39"/>
        <v>8.0000000000000016E-2</v>
      </c>
      <c r="H79" s="249">
        <f t="shared" si="40"/>
        <v>0.11221356804646829</v>
      </c>
      <c r="I79" s="122"/>
      <c r="J79" s="244">
        <v>0</v>
      </c>
      <c r="K79" s="245">
        <v>0</v>
      </c>
      <c r="L79" s="245">
        <f t="shared" si="41"/>
        <v>0.16835620299320089</v>
      </c>
      <c r="M79" s="245">
        <f t="shared" si="42"/>
        <v>1.0917223661794712E-4</v>
      </c>
      <c r="N79" s="245">
        <f t="shared" si="43"/>
        <v>0.52292849831232469</v>
      </c>
      <c r="O79" s="245">
        <f t="shared" si="44"/>
        <v>2.1244020303861501E-2</v>
      </c>
      <c r="P79" s="245">
        <f t="shared" si="45"/>
        <v>9.8507704381953949E-3</v>
      </c>
      <c r="Q79" s="245">
        <f t="shared" si="46"/>
        <v>0.27751133571580022</v>
      </c>
      <c r="R79" s="243">
        <f t="shared" si="62"/>
        <v>1.0000000000000007</v>
      </c>
      <c r="S79" s="250"/>
      <c r="T79" s="244">
        <f t="shared" si="47"/>
        <v>6.3727487055422957E-2</v>
      </c>
      <c r="U79" s="246">
        <f t="shared" si="52"/>
        <v>0.54805638867663742</v>
      </c>
      <c r="V79" s="246">
        <f t="shared" si="53"/>
        <v>5.5692795776059609E-7</v>
      </c>
      <c r="W79" s="246">
        <f t="shared" si="54"/>
        <v>2.1440068430805315E-2</v>
      </c>
      <c r="X79" s="246">
        <f t="shared" si="55"/>
        <v>3.8026796343912086E-3</v>
      </c>
      <c r="Y79" s="246">
        <f t="shared" si="56"/>
        <v>6.8955393067367775E-4</v>
      </c>
      <c r="Z79" s="246">
        <f t="shared" si="48"/>
        <v>0.57398924760046544</v>
      </c>
      <c r="AA79" s="247">
        <f t="shared" si="49"/>
        <v>6.4409381493555962E-2</v>
      </c>
      <c r="AB79" s="122"/>
      <c r="AC79" s="244">
        <f t="shared" si="57"/>
        <v>0.16266663256074121</v>
      </c>
      <c r="AD79" s="245">
        <f t="shared" si="58"/>
        <v>48.486586462041856</v>
      </c>
      <c r="AE79" s="245">
        <f t="shared" si="59"/>
        <v>322.69917630853558</v>
      </c>
      <c r="AF79" s="245">
        <f t="shared" si="60"/>
        <v>20.332651832825842</v>
      </c>
      <c r="AG79" s="245">
        <f t="shared" si="61"/>
        <v>6.0789104374103786</v>
      </c>
      <c r="AH79" s="245">
        <f t="shared" si="50"/>
        <v>397.75999167337443</v>
      </c>
      <c r="AI79" s="247">
        <f t="shared" si="51"/>
        <v>44.634067891802864</v>
      </c>
    </row>
    <row r="80" spans="1:35">
      <c r="A80" s="122"/>
      <c r="B80" s="241">
        <v>76</v>
      </c>
      <c r="C80" s="248">
        <f>'Other parameters'!$D$30</f>
        <v>5.9392199999999992E-2</v>
      </c>
      <c r="D80" s="242">
        <f>'Other parameters'!$G$30</f>
        <v>8.6</v>
      </c>
      <c r="E80" s="234">
        <v>0</v>
      </c>
      <c r="F80" s="248">
        <f t="shared" si="38"/>
        <v>5.8647975498212943E-4</v>
      </c>
      <c r="G80" s="248">
        <f t="shared" si="39"/>
        <v>8.0000000000000016E-2</v>
      </c>
      <c r="H80" s="249">
        <f t="shared" si="40"/>
        <v>0.10894521169560026</v>
      </c>
      <c r="I80" s="122"/>
      <c r="J80" s="244">
        <v>0</v>
      </c>
      <c r="K80" s="245">
        <v>0</v>
      </c>
      <c r="L80" s="245">
        <f t="shared" si="41"/>
        <v>0.16828585027004039</v>
      </c>
      <c r="M80" s="245">
        <f t="shared" si="42"/>
        <v>9.8737504681174103E-5</v>
      </c>
      <c r="N80" s="245">
        <f t="shared" si="43"/>
        <v>0.51893930961833523</v>
      </c>
      <c r="O80" s="245">
        <f t="shared" si="44"/>
        <v>2.108450556728677E-2</v>
      </c>
      <c r="P80" s="245">
        <f t="shared" si="45"/>
        <v>9.7774966779632516E-3</v>
      </c>
      <c r="Q80" s="245">
        <f t="shared" si="46"/>
        <v>0.28181410036169391</v>
      </c>
      <c r="R80" s="243">
        <f t="shared" si="62"/>
        <v>1.0000000000000007</v>
      </c>
      <c r="S80" s="250"/>
      <c r="T80" s="244">
        <f t="shared" si="47"/>
        <v>6.3694964645893665E-2</v>
      </c>
      <c r="U80" s="246">
        <f t="shared" si="52"/>
        <v>0.54777669595468548</v>
      </c>
      <c r="V80" s="246">
        <f t="shared" si="53"/>
        <v>5.0369653072971566E-7</v>
      </c>
      <c r="W80" s="246">
        <f t="shared" si="54"/>
        <v>2.1276511694351744E-2</v>
      </c>
      <c r="X80" s="246">
        <f t="shared" si="55"/>
        <v>3.7741264965443317E-3</v>
      </c>
      <c r="Y80" s="246">
        <f t="shared" si="56"/>
        <v>6.8442476745742768E-4</v>
      </c>
      <c r="Z80" s="246">
        <f t="shared" si="48"/>
        <v>0.57351226260956967</v>
      </c>
      <c r="AA80" s="247">
        <f t="shared" si="49"/>
        <v>6.2481414860022254E-2</v>
      </c>
      <c r="AB80" s="122"/>
      <c r="AC80" s="244">
        <f t="shared" si="57"/>
        <v>0.14711888197494941</v>
      </c>
      <c r="AD80" s="245">
        <f t="shared" si="58"/>
        <v>48.466324877771633</v>
      </c>
      <c r="AE80" s="245">
        <f t="shared" si="59"/>
        <v>320.2374479654747</v>
      </c>
      <c r="AF80" s="245">
        <f t="shared" si="60"/>
        <v>20.179980278450167</v>
      </c>
      <c r="AG80" s="245">
        <f t="shared" si="61"/>
        <v>6.0336931999711227</v>
      </c>
      <c r="AH80" s="245">
        <f t="shared" si="50"/>
        <v>395.06456520364259</v>
      </c>
      <c r="AI80" s="247">
        <f t="shared" si="51"/>
        <v>43.040392689541115</v>
      </c>
    </row>
    <row r="81" spans="1:35">
      <c r="A81" s="122"/>
      <c r="B81" s="241">
        <v>77</v>
      </c>
      <c r="C81" s="248">
        <f>'Other parameters'!$D$30</f>
        <v>5.9392199999999992E-2</v>
      </c>
      <c r="D81" s="242">
        <f>'Other parameters'!$G$30</f>
        <v>8.6</v>
      </c>
      <c r="E81" s="234">
        <v>0</v>
      </c>
      <c r="F81" s="248">
        <f t="shared" si="38"/>
        <v>5.3066882722839189E-4</v>
      </c>
      <c r="G81" s="248">
        <f t="shared" si="39"/>
        <v>8.0000000000000016E-2</v>
      </c>
      <c r="H81" s="249">
        <f t="shared" si="40"/>
        <v>0.10577205018990318</v>
      </c>
      <c r="I81" s="122"/>
      <c r="J81" s="244">
        <v>0</v>
      </c>
      <c r="K81" s="245">
        <v>0</v>
      </c>
      <c r="L81" s="245">
        <f t="shared" si="41"/>
        <v>0.16822221796645556</v>
      </c>
      <c r="M81" s="245">
        <f t="shared" si="42"/>
        <v>8.9304054801935096E-5</v>
      </c>
      <c r="N81" s="245">
        <f t="shared" si="43"/>
        <v>0.51497384301169946</v>
      </c>
      <c r="O81" s="245">
        <f t="shared" si="44"/>
        <v>2.0925685678237077E-2</v>
      </c>
      <c r="P81" s="245">
        <f t="shared" si="45"/>
        <v>9.7044690358885112E-3</v>
      </c>
      <c r="Q81" s="245">
        <f t="shared" si="46"/>
        <v>0.28608448025291822</v>
      </c>
      <c r="R81" s="243">
        <f t="shared" si="62"/>
        <v>1.0000000000000007</v>
      </c>
      <c r="S81" s="250"/>
      <c r="T81" s="244">
        <f t="shared" si="47"/>
        <v>6.3662579891224327E-2</v>
      </c>
      <c r="U81" s="246">
        <f t="shared" si="52"/>
        <v>0.54749818706452924</v>
      </c>
      <c r="V81" s="246">
        <f t="shared" si="53"/>
        <v>4.5557301381151555E-7</v>
      </c>
      <c r="W81" s="246">
        <f t="shared" si="54"/>
        <v>2.1113927563479677E-2</v>
      </c>
      <c r="X81" s="246">
        <f t="shared" si="55"/>
        <v>3.7456977364044367E-3</v>
      </c>
      <c r="Y81" s="246">
        <f t="shared" si="56"/>
        <v>6.7931283251219585E-4</v>
      </c>
      <c r="Z81" s="246">
        <f t="shared" si="48"/>
        <v>0.57303758076993927</v>
      </c>
      <c r="AA81" s="247">
        <f t="shared" si="49"/>
        <v>6.0611359753898718E-2</v>
      </c>
      <c r="AB81" s="122"/>
      <c r="AC81" s="244">
        <f t="shared" si="57"/>
        <v>0.13306304165488328</v>
      </c>
      <c r="AD81" s="245">
        <f t="shared" si="58"/>
        <v>48.447998774339204</v>
      </c>
      <c r="AE81" s="245">
        <f t="shared" si="59"/>
        <v>317.79035852251974</v>
      </c>
      <c r="AF81" s="245">
        <f t="shared" si="60"/>
        <v>20.027973762640706</v>
      </c>
      <c r="AG81" s="245">
        <f t="shared" si="61"/>
        <v>5.9886278420468004</v>
      </c>
      <c r="AH81" s="245">
        <f t="shared" si="50"/>
        <v>392.38802194320135</v>
      </c>
      <c r="AI81" s="247">
        <f t="shared" si="51"/>
        <v>41.503685550893124</v>
      </c>
    </row>
    <row r="82" spans="1:35">
      <c r="A82" s="122"/>
      <c r="B82" s="241">
        <v>78</v>
      </c>
      <c r="C82" s="248">
        <f>'Other parameters'!$D$30</f>
        <v>5.9392199999999992E-2</v>
      </c>
      <c r="D82" s="242">
        <f>'Other parameters'!$G$30</f>
        <v>8.6</v>
      </c>
      <c r="E82" s="234">
        <v>0</v>
      </c>
      <c r="F82" s="248">
        <f t="shared" si="38"/>
        <v>4.80169011461509E-4</v>
      </c>
      <c r="G82" s="248">
        <f t="shared" si="39"/>
        <v>8.0000000000000016E-2</v>
      </c>
      <c r="H82" s="249">
        <f t="shared" si="40"/>
        <v>0.10269131086398368</v>
      </c>
      <c r="I82" s="122"/>
      <c r="J82" s="244">
        <v>0</v>
      </c>
      <c r="K82" s="245">
        <v>0</v>
      </c>
      <c r="L82" s="245">
        <f t="shared" si="41"/>
        <v>0.16816466192459725</v>
      </c>
      <c r="M82" s="245">
        <f t="shared" si="42"/>
        <v>8.077509610681547E-5</v>
      </c>
      <c r="N82" s="245">
        <f t="shared" si="43"/>
        <v>0.51103261337530614</v>
      </c>
      <c r="O82" s="245">
        <f t="shared" si="44"/>
        <v>2.0767608517730081E-2</v>
      </c>
      <c r="P82" s="245">
        <f t="shared" si="45"/>
        <v>9.6317177134731397E-3</v>
      </c>
      <c r="Q82" s="245">
        <f t="shared" si="46"/>
        <v>0.29032262337278725</v>
      </c>
      <c r="R82" s="243">
        <f t="shared" si="62"/>
        <v>1.0000000000000007</v>
      </c>
      <c r="S82" s="250"/>
      <c r="T82" s="244">
        <f t="shared" si="47"/>
        <v>6.3630343119869051E-2</v>
      </c>
      <c r="U82" s="246">
        <f t="shared" si="52"/>
        <v>0.54722095083087385</v>
      </c>
      <c r="V82" s="246">
        <f t="shared" si="53"/>
        <v>4.1206364096134361E-7</v>
      </c>
      <c r="W82" s="246">
        <f t="shared" si="54"/>
        <v>2.0952337148387554E-2</v>
      </c>
      <c r="X82" s="246">
        <f t="shared" si="55"/>
        <v>3.7174019246736844E-3</v>
      </c>
      <c r="Y82" s="246">
        <f t="shared" si="56"/>
        <v>6.7422023994311985E-4</v>
      </c>
      <c r="Z82" s="246">
        <f t="shared" si="48"/>
        <v>0.57256532220751921</v>
      </c>
      <c r="AA82" s="247">
        <f t="shared" si="49"/>
        <v>5.8797483492749339E-2</v>
      </c>
      <c r="AB82" s="122"/>
      <c r="AC82" s="244">
        <f t="shared" si="57"/>
        <v>0.12035489319915504</v>
      </c>
      <c r="AD82" s="245">
        <f t="shared" si="58"/>
        <v>48.431422634284012</v>
      </c>
      <c r="AE82" s="245">
        <f t="shared" si="59"/>
        <v>315.35822571390145</v>
      </c>
      <c r="AF82" s="245">
        <f t="shared" si="60"/>
        <v>19.87667811231946</v>
      </c>
      <c r="AG82" s="245">
        <f t="shared" si="61"/>
        <v>5.9437330009842748</v>
      </c>
      <c r="AH82" s="245">
        <f t="shared" si="50"/>
        <v>389.73041435468832</v>
      </c>
      <c r="AI82" s="247">
        <f t="shared" si="51"/>
        <v>40.021927133646464</v>
      </c>
    </row>
    <row r="83" spans="1:35">
      <c r="A83" s="122"/>
      <c r="B83" s="241">
        <v>79</v>
      </c>
      <c r="C83" s="248">
        <f>'Other parameters'!$D$30</f>
        <v>5.9392199999999992E-2</v>
      </c>
      <c r="D83" s="242">
        <f>'Other parameters'!$G$30</f>
        <v>8.6</v>
      </c>
      <c r="E83" s="234">
        <v>0</v>
      </c>
      <c r="F83" s="248">
        <f t="shared" si="38"/>
        <v>4.3447488855171106E-4</v>
      </c>
      <c r="G83" s="248">
        <f t="shared" si="39"/>
        <v>8.0000000000000016E-2</v>
      </c>
      <c r="H83" s="249">
        <f t="shared" si="40"/>
        <v>9.9700301809692873E-2</v>
      </c>
      <c r="I83" s="122"/>
      <c r="J83" s="244">
        <v>0</v>
      </c>
      <c r="K83" s="245">
        <v>0</v>
      </c>
      <c r="L83" s="245">
        <f t="shared" si="41"/>
        <v>0.16811260012683699</v>
      </c>
      <c r="M83" s="245">
        <f t="shared" si="42"/>
        <v>7.3063322748025559E-5</v>
      </c>
      <c r="N83" s="245">
        <f t="shared" si="43"/>
        <v>0.5071160640545167</v>
      </c>
      <c r="O83" s="245">
        <f t="shared" si="44"/>
        <v>2.0610316282133487E-2</v>
      </c>
      <c r="P83" s="245">
        <f t="shared" si="45"/>
        <v>9.5592694161898868E-3</v>
      </c>
      <c r="Q83" s="245">
        <f t="shared" si="46"/>
        <v>0.29452868679757566</v>
      </c>
      <c r="R83" s="243">
        <f t="shared" si="62"/>
        <v>1.0000000000000009</v>
      </c>
      <c r="S83" s="250"/>
      <c r="T83" s="244">
        <f t="shared" si="47"/>
        <v>6.3598263424788401E-2</v>
      </c>
      <c r="U83" s="246">
        <f t="shared" si="52"/>
        <v>0.54694506545318022</v>
      </c>
      <c r="V83" s="246">
        <f t="shared" si="53"/>
        <v>3.7272303275842087E-7</v>
      </c>
      <c r="W83" s="246">
        <f t="shared" si="54"/>
        <v>2.0791758626235186E-2</v>
      </c>
      <c r="X83" s="246">
        <f t="shared" si="55"/>
        <v>3.689246614501894E-3</v>
      </c>
      <c r="Y83" s="246">
        <f t="shared" si="56"/>
        <v>6.6914885913329212E-4</v>
      </c>
      <c r="Z83" s="246">
        <f t="shared" si="48"/>
        <v>0.57209559227608331</v>
      </c>
      <c r="AA83" s="247">
        <f t="shared" si="49"/>
        <v>5.7038103213920506E-2</v>
      </c>
      <c r="AB83" s="122"/>
      <c r="AC83" s="244">
        <f t="shared" si="57"/>
        <v>0.10886435089455808</v>
      </c>
      <c r="AD83" s="245">
        <f t="shared" si="58"/>
        <v>48.41642883652905</v>
      </c>
      <c r="AE83" s="245">
        <f t="shared" si="59"/>
        <v>312.94132312804226</v>
      </c>
      <c r="AF83" s="245">
        <f t="shared" si="60"/>
        <v>19.726133713629959</v>
      </c>
      <c r="AG83" s="245">
        <f t="shared" si="61"/>
        <v>5.8990251567307794</v>
      </c>
      <c r="AH83" s="245">
        <f t="shared" si="50"/>
        <v>387.09177518582658</v>
      </c>
      <c r="AI83" s="247">
        <f t="shared" si="51"/>
        <v>38.593166814076696</v>
      </c>
    </row>
    <row r="84" spans="1:35">
      <c r="A84" s="122"/>
      <c r="B84" s="241">
        <v>80</v>
      </c>
      <c r="C84" s="248">
        <f>'Other parameters'!$D$31</f>
        <v>9.5447599999999994E-2</v>
      </c>
      <c r="D84" s="242">
        <f>'Other parameters'!$G$31</f>
        <v>6.2</v>
      </c>
      <c r="E84" s="234">
        <v>0</v>
      </c>
      <c r="F84" s="248">
        <f t="shared" si="38"/>
        <v>3.9312913635859134E-4</v>
      </c>
      <c r="G84" s="248">
        <f t="shared" si="39"/>
        <v>8.0000000000000016E-2</v>
      </c>
      <c r="H84" s="249">
        <f t="shared" si="40"/>
        <v>9.679640952397367E-2</v>
      </c>
      <c r="I84" s="122"/>
      <c r="J84" s="244">
        <v>0</v>
      </c>
      <c r="K84" s="245">
        <v>0</v>
      </c>
      <c r="L84" s="245">
        <f t="shared" si="41"/>
        <v>0.1680655066294526</v>
      </c>
      <c r="M84" s="245">
        <f t="shared" si="42"/>
        <v>6.6089961298860633E-5</v>
      </c>
      <c r="N84" s="245">
        <f t="shared" si="43"/>
        <v>0.50322457402058951</v>
      </c>
      <c r="O84" s="245">
        <f t="shared" si="44"/>
        <v>2.0453846074565303E-2</v>
      </c>
      <c r="P84" s="245">
        <f t="shared" si="45"/>
        <v>9.4871477222935336E-3</v>
      </c>
      <c r="Q84" s="245">
        <f t="shared" si="46"/>
        <v>0.298702835591801</v>
      </c>
      <c r="R84" s="243">
        <f t="shared" si="62"/>
        <v>1.0000000000000009</v>
      </c>
      <c r="S84" s="250"/>
      <c r="T84" s="244">
        <f t="shared" si="47"/>
        <v>9.9621748794225348E-2</v>
      </c>
      <c r="U84" s="246">
        <f t="shared" si="52"/>
        <v>0.61765484252419722</v>
      </c>
      <c r="V84" s="246">
        <f t="shared" si="53"/>
        <v>3.3714933681774938E-7</v>
      </c>
      <c r="W84" s="246">
        <f t="shared" si="54"/>
        <v>2.0632207534844172E-2</v>
      </c>
      <c r="X84" s="246">
        <f t="shared" si="55"/>
        <v>3.6612384473471891E-3</v>
      </c>
      <c r="Y84" s="246">
        <f t="shared" si="56"/>
        <v>6.6410034056054747E-4</v>
      </c>
      <c r="Z84" s="246">
        <f t="shared" si="48"/>
        <v>0.64261272599628594</v>
      </c>
      <c r="AA84" s="247">
        <f t="shared" si="49"/>
        <v>6.2202604590853576E-2</v>
      </c>
      <c r="AB84" s="122"/>
      <c r="AC84" s="244">
        <f t="shared" si="57"/>
        <v>9.8474042335302339E-2</v>
      </c>
      <c r="AD84" s="245">
        <f t="shared" si="58"/>
        <v>48.402865909282347</v>
      </c>
      <c r="AE84" s="245">
        <f t="shared" si="59"/>
        <v>310.53988462810582</v>
      </c>
      <c r="AF84" s="245">
        <f t="shared" si="60"/>
        <v>19.576376077966451</v>
      </c>
      <c r="AG84" s="245">
        <f t="shared" si="61"/>
        <v>5.8545188594273396</v>
      </c>
      <c r="AH84" s="245">
        <f t="shared" si="50"/>
        <v>384.47211951711728</v>
      </c>
      <c r="AI84" s="247">
        <f t="shared" si="51"/>
        <v>37.215520731329036</v>
      </c>
    </row>
    <row r="85" spans="1:35">
      <c r="A85" s="122"/>
      <c r="B85" s="241">
        <v>81</v>
      </c>
      <c r="C85" s="248">
        <f>'Other parameters'!$D$31</f>
        <v>9.5447599999999994E-2</v>
      </c>
      <c r="D85" s="242">
        <f>'Other parameters'!$G$31</f>
        <v>6.2</v>
      </c>
      <c r="E85" s="234">
        <v>0</v>
      </c>
      <c r="F85" s="248">
        <f t="shared" si="38"/>
        <v>3.5571795269741458E-4</v>
      </c>
      <c r="G85" s="248">
        <f t="shared" si="39"/>
        <v>8.0000000000000016E-2</v>
      </c>
      <c r="H85" s="249">
        <f t="shared" si="40"/>
        <v>9.3977096625217166E-2</v>
      </c>
      <c r="I85" s="122"/>
      <c r="J85" s="244">
        <v>0</v>
      </c>
      <c r="K85" s="245">
        <v>0</v>
      </c>
      <c r="L85" s="245">
        <f t="shared" si="41"/>
        <v>0.16802290610145301</v>
      </c>
      <c r="M85" s="245">
        <f t="shared" si="42"/>
        <v>5.9783917937282636E-5</v>
      </c>
      <c r="N85" s="245">
        <f t="shared" si="43"/>
        <v>0.49935846431653763</v>
      </c>
      <c r="O85" s="245">
        <f t="shared" si="44"/>
        <v>2.029823043252996E-2</v>
      </c>
      <c r="P85" s="245">
        <f t="shared" si="45"/>
        <v>9.4153734115722809E-3</v>
      </c>
      <c r="Q85" s="245">
        <f t="shared" si="46"/>
        <v>0.30284524181997063</v>
      </c>
      <c r="R85" s="243">
        <f t="shared" si="62"/>
        <v>1.0000000000000009</v>
      </c>
      <c r="S85" s="250"/>
      <c r="T85" s="244">
        <f t="shared" si="47"/>
        <v>9.9590006228169659E-2</v>
      </c>
      <c r="U85" s="246">
        <f t="shared" si="52"/>
        <v>0.61745803861465187</v>
      </c>
      <c r="V85" s="246">
        <f t="shared" si="53"/>
        <v>3.0497987725813774E-7</v>
      </c>
      <c r="W85" s="246">
        <f t="shared" si="54"/>
        <v>2.0473697036978045E-2</v>
      </c>
      <c r="X85" s="246">
        <f t="shared" si="55"/>
        <v>3.6333832474228626E-3</v>
      </c>
      <c r="Y85" s="246">
        <f t="shared" si="56"/>
        <v>6.5907613881005978E-4</v>
      </c>
      <c r="Z85" s="246">
        <f t="shared" si="48"/>
        <v>0.64222450001774023</v>
      </c>
      <c r="AA85" s="247">
        <f t="shared" si="49"/>
        <v>6.035439389324896E-2</v>
      </c>
      <c r="AB85" s="122"/>
      <c r="AC85" s="244">
        <f t="shared" si="57"/>
        <v>8.9078037726551124E-2</v>
      </c>
      <c r="AD85" s="245">
        <f t="shared" si="58"/>
        <v>48.39059695721847</v>
      </c>
      <c r="AE85" s="245">
        <f t="shared" si="59"/>
        <v>308.15410832973538</v>
      </c>
      <c r="AF85" s="245">
        <f t="shared" si="60"/>
        <v>19.427436346974424</v>
      </c>
      <c r="AG85" s="245">
        <f t="shared" si="61"/>
        <v>5.810226932281255</v>
      </c>
      <c r="AH85" s="245">
        <f t="shared" si="50"/>
        <v>381.87144660393608</v>
      </c>
      <c r="AI85" s="247">
        <f t="shared" si="51"/>
        <v>35.88716983590956</v>
      </c>
    </row>
    <row r="86" spans="1:35">
      <c r="A86" s="122"/>
      <c r="B86" s="241">
        <v>82</v>
      </c>
      <c r="C86" s="248">
        <f>'Other parameters'!$D$31</f>
        <v>9.5447599999999994E-2</v>
      </c>
      <c r="D86" s="242">
        <f>'Other parameters'!$G$31</f>
        <v>6.2</v>
      </c>
      <c r="E86" s="234">
        <v>0</v>
      </c>
      <c r="F86" s="248">
        <f t="shared" si="38"/>
        <v>3.2186691386776605E-4</v>
      </c>
      <c r="G86" s="248">
        <f t="shared" si="39"/>
        <v>8.0000000000000016E-2</v>
      </c>
      <c r="H86" s="249">
        <f t="shared" si="40"/>
        <v>9.1239899636133173E-2</v>
      </c>
      <c r="I86" s="122"/>
      <c r="J86" s="244">
        <v>0</v>
      </c>
      <c r="K86" s="245">
        <v>0</v>
      </c>
      <c r="L86" s="245">
        <f t="shared" si="41"/>
        <v>0.16798436890587073</v>
      </c>
      <c r="M86" s="245">
        <f t="shared" si="42"/>
        <v>5.408101424596812E-5</v>
      </c>
      <c r="N86" s="245">
        <f t="shared" si="43"/>
        <v>0.49551800386007866</v>
      </c>
      <c r="O86" s="245">
        <f t="shared" si="44"/>
        <v>2.0143497799104765E-2</v>
      </c>
      <c r="P86" s="245">
        <f t="shared" si="45"/>
        <v>9.3439647585724529E-3</v>
      </c>
      <c r="Q86" s="245">
        <f t="shared" si="46"/>
        <v>0.30695608366212818</v>
      </c>
      <c r="R86" s="243">
        <f t="shared" si="62"/>
        <v>1.0000000000000007</v>
      </c>
      <c r="S86" s="250"/>
      <c r="T86" s="244">
        <f t="shared" si="47"/>
        <v>9.955844184215755E-2</v>
      </c>
      <c r="U86" s="246">
        <f t="shared" si="52"/>
        <v>0.61726233942137687</v>
      </c>
      <c r="V86" s="246">
        <f t="shared" si="53"/>
        <v>2.758872562355963E-7</v>
      </c>
      <c r="W86" s="246">
        <f t="shared" si="54"/>
        <v>2.0316238158263226E-2</v>
      </c>
      <c r="X86" s="246">
        <f t="shared" si="55"/>
        <v>3.6056861060397528E-3</v>
      </c>
      <c r="Y86" s="246">
        <f t="shared" si="56"/>
        <v>6.5407753310007177E-4</v>
      </c>
      <c r="Z86" s="246">
        <f t="shared" si="48"/>
        <v>0.64183861710603618</v>
      </c>
      <c r="AA86" s="247">
        <f t="shared" si="49"/>
        <v>5.8561291007349248E-2</v>
      </c>
      <c r="AB86" s="122"/>
      <c r="AC86" s="244">
        <f t="shared" si="57"/>
        <v>8.0580711226492505E-2</v>
      </c>
      <c r="AD86" s="245">
        <f t="shared" si="58"/>
        <v>48.379498244890769</v>
      </c>
      <c r="AE86" s="245">
        <f t="shared" si="59"/>
        <v>305.78416018205456</v>
      </c>
      <c r="AF86" s="245">
        <f t="shared" si="60"/>
        <v>19.279341743523172</v>
      </c>
      <c r="AG86" s="245">
        <f t="shared" si="61"/>
        <v>5.7661606525150608</v>
      </c>
      <c r="AH86" s="245">
        <f t="shared" si="50"/>
        <v>379.28974153421007</v>
      </c>
      <c r="AI86" s="247">
        <f t="shared" si="51"/>
        <v>34.60635795059622</v>
      </c>
    </row>
    <row r="87" spans="1:35">
      <c r="A87" s="122"/>
      <c r="B87" s="241">
        <v>83</v>
      </c>
      <c r="C87" s="248">
        <f>'Other parameters'!$D$31</f>
        <v>9.5447599999999994E-2</v>
      </c>
      <c r="D87" s="242">
        <f>'Other parameters'!$G$31</f>
        <v>6.2</v>
      </c>
      <c r="E87" s="234">
        <v>0</v>
      </c>
      <c r="F87" s="248">
        <f t="shared" si="38"/>
        <v>2.9123722729531215E-4</v>
      </c>
      <c r="G87" s="248">
        <f t="shared" si="39"/>
        <v>8.0000000000000016E-2</v>
      </c>
      <c r="H87" s="249">
        <f t="shared" si="40"/>
        <v>8.8582426831197242E-2</v>
      </c>
      <c r="I87" s="122"/>
      <c r="J87" s="244">
        <v>0</v>
      </c>
      <c r="K87" s="245">
        <v>0</v>
      </c>
      <c r="L87" s="245">
        <f t="shared" si="41"/>
        <v>0.16794950666774558</v>
      </c>
      <c r="M87" s="245">
        <f t="shared" si="42"/>
        <v>4.892330182909864E-5</v>
      </c>
      <c r="N87" s="245">
        <f t="shared" si="43"/>
        <v>0.49170341467005541</v>
      </c>
      <c r="O87" s="245">
        <f t="shared" si="44"/>
        <v>1.9989672944090844E-2</v>
      </c>
      <c r="P87" s="245">
        <f t="shared" si="45"/>
        <v>9.2729377942970329E-3</v>
      </c>
      <c r="Q87" s="245">
        <f t="shared" si="46"/>
        <v>0.3110355446219828</v>
      </c>
      <c r="R87" s="243">
        <f t="shared" si="62"/>
        <v>1.0000000000000009</v>
      </c>
      <c r="S87" s="250"/>
      <c r="T87" s="244">
        <f t="shared" si="47"/>
        <v>9.9527060959854613E-2</v>
      </c>
      <c r="U87" s="246">
        <f t="shared" si="52"/>
        <v>0.61706777795109857</v>
      </c>
      <c r="V87" s="246">
        <f t="shared" si="53"/>
        <v>2.495758575500868E-7</v>
      </c>
      <c r="W87" s="246">
        <f t="shared" si="54"/>
        <v>2.0159840001472272E-2</v>
      </c>
      <c r="X87" s="246">
        <f t="shared" si="55"/>
        <v>3.5781514569922608E-3</v>
      </c>
      <c r="Y87" s="246">
        <f t="shared" si="56"/>
        <v>6.4910564560079231E-4</v>
      </c>
      <c r="Z87" s="246">
        <f t="shared" si="48"/>
        <v>0.6414551246310215</v>
      </c>
      <c r="AA87" s="247">
        <f t="shared" si="49"/>
        <v>5.6821651643123972E-2</v>
      </c>
      <c r="AB87" s="122"/>
      <c r="AC87" s="244">
        <f t="shared" si="57"/>
        <v>7.2895719725356967E-2</v>
      </c>
      <c r="AD87" s="245">
        <f t="shared" si="58"/>
        <v>48.36945792031073</v>
      </c>
      <c r="AE87" s="245">
        <f t="shared" si="59"/>
        <v>303.43017719289122</v>
      </c>
      <c r="AF87" s="245">
        <f t="shared" si="60"/>
        <v>19.132115974789347</v>
      </c>
      <c r="AG87" s="245">
        <f t="shared" si="61"/>
        <v>5.7223299128606993</v>
      </c>
      <c r="AH87" s="245">
        <f t="shared" si="50"/>
        <v>376.72697672057734</v>
      </c>
      <c r="AI87" s="247">
        <f t="shared" si="51"/>
        <v>33.371389850688686</v>
      </c>
    </row>
    <row r="88" spans="1:35">
      <c r="A88" s="122"/>
      <c r="B88" s="241">
        <v>84</v>
      </c>
      <c r="C88" s="248">
        <f>'Other parameters'!$D$31</f>
        <v>9.5447599999999994E-2</v>
      </c>
      <c r="D88" s="242">
        <f>'Other parameters'!$G$31</f>
        <v>6.2</v>
      </c>
      <c r="E88" s="234">
        <v>0</v>
      </c>
      <c r="F88" s="248">
        <f t="shared" si="38"/>
        <v>2.6352234078184223E-4</v>
      </c>
      <c r="G88" s="248">
        <f t="shared" si="39"/>
        <v>8.0000000000000016E-2</v>
      </c>
      <c r="H88" s="249">
        <f t="shared" si="40"/>
        <v>8.6002356146793454E-2</v>
      </c>
      <c r="I88" s="122"/>
      <c r="J88" s="244">
        <v>0</v>
      </c>
      <c r="K88" s="245">
        <v>0</v>
      </c>
      <c r="L88" s="245">
        <f t="shared" si="41"/>
        <v>0.16791796827909092</v>
      </c>
      <c r="M88" s="245">
        <f t="shared" si="42"/>
        <v>4.4258447130239933E-5</v>
      </c>
      <c r="N88" s="245">
        <f t="shared" si="43"/>
        <v>0.48791487657543103</v>
      </c>
      <c r="O88" s="245">
        <f t="shared" si="44"/>
        <v>1.9836777340760229E-2</v>
      </c>
      <c r="P88" s="245">
        <f t="shared" si="45"/>
        <v>9.2023065399099747E-3</v>
      </c>
      <c r="Q88" s="245">
        <f t="shared" si="46"/>
        <v>0.31508381281767833</v>
      </c>
      <c r="R88" s="243">
        <f t="shared" si="62"/>
        <v>1.0000000000000007</v>
      </c>
      <c r="S88" s="250"/>
      <c r="T88" s="244">
        <f t="shared" si="47"/>
        <v>9.949586819569553E-2</v>
      </c>
      <c r="U88" s="246">
        <f t="shared" si="52"/>
        <v>0.61687438281331231</v>
      </c>
      <c r="V88" s="246">
        <f t="shared" si="53"/>
        <v>2.2577870837399114E-7</v>
      </c>
      <c r="W88" s="246">
        <f t="shared" si="54"/>
        <v>2.0004509939592675E-2</v>
      </c>
      <c r="X88" s="246">
        <f t="shared" si="55"/>
        <v>3.5507831439960807E-3</v>
      </c>
      <c r="Y88" s="246">
        <f t="shared" si="56"/>
        <v>6.4416145779369832E-4</v>
      </c>
      <c r="Z88" s="246">
        <f t="shared" si="48"/>
        <v>0.64107406313340309</v>
      </c>
      <c r="AA88" s="247">
        <f t="shared" si="49"/>
        <v>5.5133879894070884E-2</v>
      </c>
      <c r="AB88" s="122"/>
      <c r="AC88" s="244">
        <f t="shared" si="57"/>
        <v>6.5945086224057495E-2</v>
      </c>
      <c r="AD88" s="245">
        <f t="shared" si="58"/>
        <v>48.360374864378187</v>
      </c>
      <c r="AE88" s="245">
        <f t="shared" si="59"/>
        <v>301.09227033469853</v>
      </c>
      <c r="AF88" s="245">
        <f t="shared" si="60"/>
        <v>18.985779592841617</v>
      </c>
      <c r="AG88" s="245">
        <f t="shared" si="61"/>
        <v>5.6787433657784456</v>
      </c>
      <c r="AH88" s="245">
        <f t="shared" si="50"/>
        <v>374.18311324392084</v>
      </c>
      <c r="AI88" s="247">
        <f t="shared" si="51"/>
        <v>32.180629369319625</v>
      </c>
    </row>
    <row r="89" spans="1:35">
      <c r="A89" s="122"/>
      <c r="B89" s="241">
        <v>85</v>
      </c>
      <c r="C89" s="248">
        <f>'Other parameters'!$D$32</f>
        <v>0.12420580000000001</v>
      </c>
      <c r="D89" s="242">
        <f>'Other parameters'!$G$32</f>
        <v>4.5999999999999996</v>
      </c>
      <c r="E89" s="234">
        <v>0</v>
      </c>
      <c r="F89" s="248">
        <f t="shared" si="38"/>
        <v>2.3844487442783421E-4</v>
      </c>
      <c r="G89" s="248">
        <f t="shared" si="39"/>
        <v>8.0000000000000016E-2</v>
      </c>
      <c r="H89" s="249">
        <f t="shared" si="40"/>
        <v>8.3497433152226644E-2</v>
      </c>
      <c r="I89" s="122"/>
      <c r="J89" s="244">
        <v>0</v>
      </c>
      <c r="K89" s="245">
        <v>0</v>
      </c>
      <c r="L89" s="245">
        <f t="shared" si="41"/>
        <v>0.16788943629648431</v>
      </c>
      <c r="M89" s="245">
        <f t="shared" si="42"/>
        <v>4.0039178860484882E-5</v>
      </c>
      <c r="N89" s="245">
        <f t="shared" si="43"/>
        <v>0.48415253145955839</v>
      </c>
      <c r="O89" s="245">
        <f t="shared" si="44"/>
        <v>1.9684829503150557E-2</v>
      </c>
      <c r="P89" s="245">
        <f t="shared" si="45"/>
        <v>9.132083215566085E-3</v>
      </c>
      <c r="Q89" s="245">
        <f t="shared" si="46"/>
        <v>0.31910108034638091</v>
      </c>
      <c r="R89" s="243">
        <f t="shared" si="62"/>
        <v>1.0000000000000007</v>
      </c>
      <c r="S89" s="250"/>
      <c r="T89" s="244">
        <f t="shared" si="47"/>
        <v>0.12822306752870261</v>
      </c>
      <c r="U89" s="246">
        <f t="shared" si="52"/>
        <v>0.58982611063203194</v>
      </c>
      <c r="V89" s="246">
        <f t="shared" si="53"/>
        <v>2.0425466037869277E-7</v>
      </c>
      <c r="W89" s="246">
        <f t="shared" si="54"/>
        <v>1.9850253789841895E-2</v>
      </c>
      <c r="X89" s="246">
        <f t="shared" si="55"/>
        <v>3.5235844810639497E-3</v>
      </c>
      <c r="Y89" s="246">
        <f t="shared" si="56"/>
        <v>6.3924582508962605E-4</v>
      </c>
      <c r="Z89" s="246">
        <f t="shared" si="48"/>
        <v>0.6138393989826878</v>
      </c>
      <c r="AA89" s="247">
        <f t="shared" si="49"/>
        <v>5.1254014182759954E-2</v>
      </c>
      <c r="AB89" s="122"/>
      <c r="AC89" s="244">
        <f t="shared" si="57"/>
        <v>5.9658376502122475E-2</v>
      </c>
      <c r="AD89" s="245">
        <f t="shared" si="58"/>
        <v>48.352157653387479</v>
      </c>
      <c r="AE89" s="245">
        <f t="shared" si="59"/>
        <v>298.77052716369349</v>
      </c>
      <c r="AF89" s="245">
        <f t="shared" si="60"/>
        <v>18.840350317465397</v>
      </c>
      <c r="AG89" s="245">
        <f t="shared" si="61"/>
        <v>5.6354085523258313</v>
      </c>
      <c r="AH89" s="245">
        <f t="shared" si="50"/>
        <v>371.65810206337432</v>
      </c>
      <c r="AI89" s="247">
        <f t="shared" si="51"/>
        <v>31.032497532520026</v>
      </c>
    </row>
    <row r="90" spans="1:35">
      <c r="A90" s="122"/>
      <c r="B90" s="241">
        <v>86</v>
      </c>
      <c r="C90" s="248">
        <f>'Other parameters'!$D$32</f>
        <v>0.12420580000000001</v>
      </c>
      <c r="D90" s="242">
        <f>'Other parameters'!$G$32</f>
        <v>4.5999999999999996</v>
      </c>
      <c r="E90" s="234">
        <v>0</v>
      </c>
      <c r="F90" s="248">
        <f t="shared" si="38"/>
        <v>2.1575384452119021E-4</v>
      </c>
      <c r="G90" s="248">
        <f t="shared" si="39"/>
        <v>8.0000000000000016E-2</v>
      </c>
      <c r="H90" s="249">
        <f t="shared" si="40"/>
        <v>8.1065469079831712E-2</v>
      </c>
      <c r="I90" s="122"/>
      <c r="J90" s="244">
        <v>0</v>
      </c>
      <c r="K90" s="245">
        <v>0</v>
      </c>
      <c r="L90" s="245">
        <f t="shared" si="41"/>
        <v>0.16786362369165256</v>
      </c>
      <c r="M90" s="245">
        <f t="shared" si="42"/>
        <v>3.6222791335461948E-5</v>
      </c>
      <c r="N90" s="245">
        <f t="shared" si="43"/>
        <v>0.48041648708677104</v>
      </c>
      <c r="O90" s="245">
        <f t="shared" si="44"/>
        <v>1.9533845288266561E-2</v>
      </c>
      <c r="P90" s="245">
        <f t="shared" si="45"/>
        <v>9.0622784271236108E-3</v>
      </c>
      <c r="Q90" s="245">
        <f t="shared" si="46"/>
        <v>0.32308754271485146</v>
      </c>
      <c r="R90" s="243">
        <f t="shared" si="62"/>
        <v>1.0000000000000007</v>
      </c>
      <c r="S90" s="250"/>
      <c r="T90" s="244">
        <f t="shared" si="47"/>
        <v>0.12819226236847056</v>
      </c>
      <c r="U90" s="246">
        <f t="shared" si="52"/>
        <v>0.58968440689496449</v>
      </c>
      <c r="V90" s="246">
        <f t="shared" si="53"/>
        <v>1.8478585607295932E-7</v>
      </c>
      <c r="W90" s="246">
        <f t="shared" si="54"/>
        <v>1.9697075970557615E-2</v>
      </c>
      <c r="X90" s="246">
        <f t="shared" si="55"/>
        <v>3.4965583065997142E-3</v>
      </c>
      <c r="Y90" s="246">
        <f t="shared" si="56"/>
        <v>6.3435948989865282E-4</v>
      </c>
      <c r="Z90" s="246">
        <f t="shared" si="48"/>
        <v>0.61351258544787646</v>
      </c>
      <c r="AA90" s="247">
        <f t="shared" si="49"/>
        <v>4.973468552571244E-2</v>
      </c>
      <c r="AB90" s="122"/>
      <c r="AC90" s="244">
        <f t="shared" si="57"/>
        <v>5.3971959089838303E-2</v>
      </c>
      <c r="AD90" s="245">
        <f t="shared" si="58"/>
        <v>48.344723623195939</v>
      </c>
      <c r="AE90" s="245">
        <f t="shared" si="59"/>
        <v>296.46501418124643</v>
      </c>
      <c r="AF90" s="245">
        <f t="shared" si="60"/>
        <v>18.695843325399927</v>
      </c>
      <c r="AG90" s="245">
        <f t="shared" si="61"/>
        <v>5.5923320173779807</v>
      </c>
      <c r="AH90" s="245">
        <f t="shared" si="50"/>
        <v>369.15188510631015</v>
      </c>
      <c r="AI90" s="247">
        <f t="shared" si="51"/>
        <v>29.925470727847173</v>
      </c>
    </row>
    <row r="91" spans="1:35">
      <c r="A91" s="122"/>
      <c r="B91" s="241">
        <v>87</v>
      </c>
      <c r="C91" s="248">
        <f>'Other parameters'!$D$32</f>
        <v>0.12420580000000001</v>
      </c>
      <c r="D91" s="242">
        <f>'Other parameters'!$G$32</f>
        <v>4.5999999999999996</v>
      </c>
      <c r="E91" s="234">
        <v>0</v>
      </c>
      <c r="F91" s="248">
        <f t="shared" si="38"/>
        <v>1.952221516078855E-4</v>
      </c>
      <c r="G91" s="248">
        <f t="shared" si="39"/>
        <v>8.0000000000000016E-2</v>
      </c>
      <c r="H91" s="249">
        <f t="shared" si="40"/>
        <v>7.8704338912457969E-2</v>
      </c>
      <c r="I91" s="122"/>
      <c r="J91" s="244">
        <v>0</v>
      </c>
      <c r="K91" s="245">
        <v>0</v>
      </c>
      <c r="L91" s="245">
        <f t="shared" si="41"/>
        <v>0.16784027091960599</v>
      </c>
      <c r="M91" s="245">
        <f t="shared" si="42"/>
        <v>3.2770697793780839E-5</v>
      </c>
      <c r="N91" s="245">
        <f t="shared" si="43"/>
        <v>0.47670682055335067</v>
      </c>
      <c r="O91" s="245">
        <f t="shared" si="44"/>
        <v>1.93838381670314E-2</v>
      </c>
      <c r="P91" s="245">
        <f t="shared" si="45"/>
        <v>8.9929013331777139E-3</v>
      </c>
      <c r="Q91" s="245">
        <f t="shared" si="46"/>
        <v>0.32704339832904111</v>
      </c>
      <c r="R91" s="243">
        <f t="shared" si="62"/>
        <v>1.0000000000000007</v>
      </c>
      <c r="S91" s="250"/>
      <c r="T91" s="244">
        <f t="shared" si="47"/>
        <v>0.12816165561418968</v>
      </c>
      <c r="U91" s="246">
        <f t="shared" si="52"/>
        <v>0.58954361582527248</v>
      </c>
      <c r="V91" s="246">
        <f t="shared" si="53"/>
        <v>1.6717545011512308E-7</v>
      </c>
      <c r="W91" s="246">
        <f t="shared" si="54"/>
        <v>1.954497964268738E-2</v>
      </c>
      <c r="X91" s="246">
        <f t="shared" si="55"/>
        <v>3.4697070318986203E-3</v>
      </c>
      <c r="Y91" s="246">
        <f t="shared" si="56"/>
        <v>6.2950309332244006E-4</v>
      </c>
      <c r="Z91" s="246">
        <f t="shared" si="48"/>
        <v>0.61318797276863113</v>
      </c>
      <c r="AA91" s="247">
        <f t="shared" si="49"/>
        <v>4.8260554025825395E-2</v>
      </c>
      <c r="AB91" s="122"/>
      <c r="AC91" s="244">
        <f t="shared" si="57"/>
        <v>4.8828339712733454E-2</v>
      </c>
      <c r="AD91" s="245">
        <f t="shared" si="58"/>
        <v>48.337998024846527</v>
      </c>
      <c r="AE91" s="245">
        <f t="shared" si="59"/>
        <v>294.17577896347274</v>
      </c>
      <c r="AF91" s="245">
        <f t="shared" si="60"/>
        <v>18.552271509665754</v>
      </c>
      <c r="AG91" s="245">
        <f t="shared" si="61"/>
        <v>5.5495194127039671</v>
      </c>
      <c r="AH91" s="245">
        <f t="shared" si="50"/>
        <v>366.66439625040169</v>
      </c>
      <c r="AI91" s="247">
        <f t="shared" si="51"/>
        <v>28.858078909623398</v>
      </c>
    </row>
    <row r="92" spans="1:35">
      <c r="A92" s="122"/>
      <c r="B92" s="241">
        <v>88</v>
      </c>
      <c r="C92" s="248">
        <f>'Other parameters'!$D$32</f>
        <v>0.12420580000000001</v>
      </c>
      <c r="D92" s="242">
        <f>'Other parameters'!$G$32</f>
        <v>4.5999999999999996</v>
      </c>
      <c r="E92" s="234">
        <v>0</v>
      </c>
      <c r="F92" s="248">
        <f t="shared" si="38"/>
        <v>1.7664430760430384E-4</v>
      </c>
      <c r="G92" s="248">
        <f t="shared" si="39"/>
        <v>8.0000000000000016E-2</v>
      </c>
      <c r="H92" s="249">
        <f t="shared" si="40"/>
        <v>7.6411979526658208E-2</v>
      </c>
      <c r="I92" s="122"/>
      <c r="J92" s="244">
        <v>0</v>
      </c>
      <c r="K92" s="245">
        <v>0</v>
      </c>
      <c r="L92" s="245">
        <f t="shared" si="41"/>
        <v>0.16781914327258765</v>
      </c>
      <c r="M92" s="245">
        <f t="shared" si="42"/>
        <v>2.9648028444712573E-5</v>
      </c>
      <c r="N92" s="245">
        <f t="shared" si="43"/>
        <v>0.4730235814004991</v>
      </c>
      <c r="O92" s="245">
        <f t="shared" si="44"/>
        <v>1.9234819467380426E-2</v>
      </c>
      <c r="P92" s="245">
        <f t="shared" si="45"/>
        <v>8.9239597945721619E-3</v>
      </c>
      <c r="Q92" s="245">
        <f t="shared" si="46"/>
        <v>0.33096884803651661</v>
      </c>
      <c r="R92" s="243">
        <f t="shared" si="62"/>
        <v>1.0000000000000007</v>
      </c>
      <c r="S92" s="250"/>
      <c r="T92" s="244">
        <f t="shared" si="47"/>
        <v>0.12813124970747547</v>
      </c>
      <c r="U92" s="246">
        <f t="shared" si="52"/>
        <v>0.58940374865438716</v>
      </c>
      <c r="V92" s="246">
        <f t="shared" si="53"/>
        <v>1.5124555880562965E-7</v>
      </c>
      <c r="W92" s="246">
        <f t="shared" si="54"/>
        <v>1.9393966837420465E-2</v>
      </c>
      <c r="X92" s="246">
        <f t="shared" si="55"/>
        <v>3.443032684661096E-3</v>
      </c>
      <c r="Y92" s="246">
        <f t="shared" si="56"/>
        <v>6.2467718562005136E-4</v>
      </c>
      <c r="Z92" s="246">
        <f t="shared" si="48"/>
        <v>0.61286557660764762</v>
      </c>
      <c r="AA92" s="247">
        <f t="shared" si="49"/>
        <v>4.6830271892337148E-2</v>
      </c>
      <c r="AB92" s="122"/>
      <c r="AC92" s="244">
        <f t="shared" si="57"/>
        <v>4.4175562382621734E-2</v>
      </c>
      <c r="AD92" s="245">
        <f t="shared" si="58"/>
        <v>48.331913262505246</v>
      </c>
      <c r="AE92" s="245">
        <f t="shared" si="59"/>
        <v>291.90285208224799</v>
      </c>
      <c r="AF92" s="245">
        <f t="shared" si="60"/>
        <v>18.409645712229807</v>
      </c>
      <c r="AG92" s="245">
        <f t="shared" si="61"/>
        <v>5.506975589230481</v>
      </c>
      <c r="AH92" s="245">
        <f t="shared" si="50"/>
        <v>364.19556220859613</v>
      </c>
      <c r="AI92" s="247">
        <f t="shared" si="51"/>
        <v>27.828903843183024</v>
      </c>
    </row>
    <row r="93" spans="1:35">
      <c r="A93" s="122"/>
      <c r="B93" s="241">
        <v>89</v>
      </c>
      <c r="C93" s="248">
        <f>'Other parameters'!$D$32</f>
        <v>0.12420580000000001</v>
      </c>
      <c r="D93" s="242">
        <f>'Other parameters'!$G$32</f>
        <v>4.5999999999999996</v>
      </c>
      <c r="E93" s="234">
        <v>0</v>
      </c>
      <c r="F93" s="248">
        <f t="shared" ref="F93:F104" si="63">IF(B93&lt;rf2age,0,(pA2_2a*EXP(-0.1*(B93-$B$28))))</f>
        <v>1.5983437920342815E-4</v>
      </c>
      <c r="G93" s="248">
        <f t="shared" si="39"/>
        <v>8.0000000000000016E-2</v>
      </c>
      <c r="H93" s="249">
        <f t="shared" si="40"/>
        <v>7.4186387889959446E-2</v>
      </c>
      <c r="I93" s="122"/>
      <c r="J93" s="244">
        <v>0</v>
      </c>
      <c r="K93" s="245">
        <v>0</v>
      </c>
      <c r="L93" s="245">
        <f t="shared" si="41"/>
        <v>0.16780002849139986</v>
      </c>
      <c r="M93" s="245">
        <f t="shared" si="42"/>
        <v>2.6823268583425212E-5</v>
      </c>
      <c r="N93" s="245">
        <f t="shared" si="43"/>
        <v>0.46936679442301993</v>
      </c>
      <c r="O93" s="245">
        <f t="shared" si="44"/>
        <v>1.9086798592496429E-2</v>
      </c>
      <c r="P93" s="245">
        <f t="shared" si="45"/>
        <v>8.855460508299471E-3</v>
      </c>
      <c r="Q93" s="245">
        <f t="shared" si="46"/>
        <v>0.3348640947162016</v>
      </c>
      <c r="R93" s="243">
        <f t="shared" si="62"/>
        <v>1.0000000000000007</v>
      </c>
      <c r="S93" s="250"/>
      <c r="T93" s="244">
        <f t="shared" si="47"/>
        <v>0.128101046679685</v>
      </c>
      <c r="U93" s="246">
        <f t="shared" si="52"/>
        <v>0.5892648147265509</v>
      </c>
      <c r="V93" s="246">
        <f t="shared" si="53"/>
        <v>1.3683541397900755E-7</v>
      </c>
      <c r="W93" s="246">
        <f t="shared" si="54"/>
        <v>1.9244038571343818E-2</v>
      </c>
      <c r="X93" s="246">
        <f t="shared" si="55"/>
        <v>3.4165369480568608E-3</v>
      </c>
      <c r="Y93" s="246">
        <f t="shared" si="56"/>
        <v>6.1988223558096303E-4</v>
      </c>
      <c r="Z93" s="246">
        <f t="shared" si="48"/>
        <v>0.61254540931694657</v>
      </c>
      <c r="AA93" s="247">
        <f t="shared" si="49"/>
        <v>4.5442531335800979E-2</v>
      </c>
      <c r="AB93" s="122"/>
      <c r="AC93" s="244">
        <f t="shared" si="57"/>
        <v>3.9966670189303569E-2</v>
      </c>
      <c r="AD93" s="245">
        <f t="shared" si="58"/>
        <v>48.326408205523158</v>
      </c>
      <c r="AE93" s="245">
        <f t="shared" si="59"/>
        <v>289.64624883844562</v>
      </c>
      <c r="AF93" s="245">
        <f t="shared" si="60"/>
        <v>18.267974932878332</v>
      </c>
      <c r="AG93" s="245">
        <f t="shared" si="61"/>
        <v>5.4647046796716037</v>
      </c>
      <c r="AH93" s="245">
        <f t="shared" si="50"/>
        <v>361.74530332670804</v>
      </c>
      <c r="AI93" s="247">
        <f t="shared" si="51"/>
        <v>26.836577389966198</v>
      </c>
    </row>
    <row r="94" spans="1:35">
      <c r="A94" s="122"/>
      <c r="B94" s="241">
        <v>90</v>
      </c>
      <c r="C94" s="248">
        <f>'Other parameters'!$D$33</f>
        <v>0.15309420000000001</v>
      </c>
      <c r="D94" s="242">
        <f>'Other parameters'!$G$33</f>
        <v>3.3</v>
      </c>
      <c r="E94" s="234">
        <v>0</v>
      </c>
      <c r="F94" s="248">
        <f t="shared" si="63"/>
        <v>1.4462412699181034E-4</v>
      </c>
      <c r="G94" s="248">
        <f t="shared" si="39"/>
        <v>8.0000000000000016E-2</v>
      </c>
      <c r="H94" s="249">
        <f t="shared" si="40"/>
        <v>7.2025619310640235E-2</v>
      </c>
      <c r="I94" s="122"/>
      <c r="J94" s="244">
        <v>0</v>
      </c>
      <c r="K94" s="245">
        <v>0</v>
      </c>
      <c r="L94" s="245">
        <f t="shared" si="41"/>
        <v>0.16778273460860177</v>
      </c>
      <c r="M94" s="245">
        <f t="shared" si="42"/>
        <v>2.4267932629769606E-5</v>
      </c>
      <c r="N94" s="245">
        <f t="shared" si="43"/>
        <v>0.46573646220392484</v>
      </c>
      <c r="O94" s="245">
        <f t="shared" si="44"/>
        <v>1.8939783216841002E-2</v>
      </c>
      <c r="P94" s="245">
        <f t="shared" si="45"/>
        <v>8.7874091274819863E-3</v>
      </c>
      <c r="Q94" s="245">
        <f t="shared" si="46"/>
        <v>0.33872934291052131</v>
      </c>
      <c r="R94" s="243">
        <f t="shared" si="62"/>
        <v>1.0000000000000007</v>
      </c>
      <c r="S94" s="250"/>
      <c r="T94" s="244">
        <f t="shared" si="47"/>
        <v>0.15695944819431976</v>
      </c>
      <c r="U94" s="246">
        <f t="shared" si="52"/>
        <v>0.51796617904125519</v>
      </c>
      <c r="V94" s="246">
        <f t="shared" si="53"/>
        <v>1.2379970015515347E-7</v>
      </c>
      <c r="W94" s="246">
        <f t="shared" si="54"/>
        <v>1.9095194950360918E-2</v>
      </c>
      <c r="X94" s="246">
        <f t="shared" si="55"/>
        <v>3.3902211958145392E-3</v>
      </c>
      <c r="Y94" s="246">
        <f t="shared" si="56"/>
        <v>6.1511863892373911E-4</v>
      </c>
      <c r="Z94" s="246">
        <f t="shared" si="48"/>
        <v>0.54106683762605456</v>
      </c>
      <c r="AA94" s="247">
        <f t="shared" si="49"/>
        <v>3.8970674068466202E-2</v>
      </c>
      <c r="AB94" s="122"/>
      <c r="AC94" s="244">
        <f t="shared" si="57"/>
        <v>3.6159219618356712E-2</v>
      </c>
      <c r="AD94" s="245">
        <f t="shared" si="58"/>
        <v>48.321427567277311</v>
      </c>
      <c r="AE94" s="245">
        <f t="shared" si="59"/>
        <v>287.40597082604205</v>
      </c>
      <c r="AF94" s="245">
        <f t="shared" si="60"/>
        <v>18.127266516838525</v>
      </c>
      <c r="AG94" s="245">
        <f t="shared" si="61"/>
        <v>5.4227101725691336</v>
      </c>
      <c r="AH94" s="245">
        <f t="shared" si="50"/>
        <v>359.31353430234532</v>
      </c>
      <c r="AI94" s="247">
        <f t="shared" si="51"/>
        <v>25.879779834821395</v>
      </c>
    </row>
    <row r="95" spans="1:35">
      <c r="A95" s="122"/>
      <c r="B95" s="241">
        <v>91</v>
      </c>
      <c r="C95" s="248">
        <f>'Other parameters'!$D$33</f>
        <v>0.15309420000000001</v>
      </c>
      <c r="D95" s="242">
        <f>'Other parameters'!$G$33</f>
        <v>3.3</v>
      </c>
      <c r="E95" s="234">
        <v>0</v>
      </c>
      <c r="F95" s="248">
        <f t="shared" si="63"/>
        <v>1.3086132165297443E-4</v>
      </c>
      <c r="G95" s="248">
        <f t="shared" si="39"/>
        <v>8.0000000000000016E-2</v>
      </c>
      <c r="H95" s="249">
        <f t="shared" si="40"/>
        <v>6.9927785738485654E-2</v>
      </c>
      <c r="I95" s="122"/>
      <c r="J95" s="244">
        <v>0</v>
      </c>
      <c r="K95" s="245">
        <v>0</v>
      </c>
      <c r="L95" s="245">
        <f t="shared" si="41"/>
        <v>0.16776708800068407</v>
      </c>
      <c r="M95" s="245">
        <f t="shared" si="42"/>
        <v>2.1956270401431882E-5</v>
      </c>
      <c r="N95" s="245">
        <f t="shared" si="43"/>
        <v>0.4621325674020772</v>
      </c>
      <c r="O95" s="245">
        <f t="shared" si="44"/>
        <v>1.8793779462334879E-2</v>
      </c>
      <c r="P95" s="245">
        <f t="shared" si="45"/>
        <v>8.7198103689345701E-3</v>
      </c>
      <c r="Q95" s="245">
        <f t="shared" si="46"/>
        <v>0.34256479849556853</v>
      </c>
      <c r="R95" s="243">
        <f t="shared" si="62"/>
        <v>1.0000000000000007</v>
      </c>
      <c r="S95" s="250"/>
      <c r="T95" s="244">
        <f t="shared" si="47"/>
        <v>0.15692965558504723</v>
      </c>
      <c r="U95" s="246">
        <f t="shared" si="52"/>
        <v>0.51786786343065583</v>
      </c>
      <c r="V95" s="246">
        <f t="shared" si="53"/>
        <v>1.120070561300443E-7</v>
      </c>
      <c r="W95" s="246">
        <f t="shared" si="54"/>
        <v>1.8947435263485166E-2</v>
      </c>
      <c r="X95" s="246">
        <f t="shared" si="55"/>
        <v>3.3640865237579433E-3</v>
      </c>
      <c r="Y95" s="246">
        <f t="shared" si="56"/>
        <v>6.1038672582541993E-4</v>
      </c>
      <c r="Z95" s="246">
        <f t="shared" si="48"/>
        <v>0.54078988395078065</v>
      </c>
      <c r="AA95" s="247">
        <f t="shared" si="49"/>
        <v>3.7816239134450709E-2</v>
      </c>
      <c r="AB95" s="122"/>
      <c r="AC95" s="244">
        <f t="shared" si="57"/>
        <v>3.2714842898133506E-2</v>
      </c>
      <c r="AD95" s="245">
        <f t="shared" si="58"/>
        <v>48.316921344197013</v>
      </c>
      <c r="AE95" s="245">
        <f t="shared" si="59"/>
        <v>285.18200734382185</v>
      </c>
      <c r="AF95" s="245">
        <f t="shared" si="60"/>
        <v>17.987526323400711</v>
      </c>
      <c r="AG95" s="245">
        <f t="shared" si="61"/>
        <v>5.3809949786695235</v>
      </c>
      <c r="AH95" s="245">
        <f t="shared" si="50"/>
        <v>356.90016483298723</v>
      </c>
      <c r="AI95" s="247">
        <f t="shared" si="51"/>
        <v>24.957238256471342</v>
      </c>
    </row>
    <row r="96" spans="1:35">
      <c r="A96" s="122"/>
      <c r="B96" s="241">
        <v>92</v>
      </c>
      <c r="C96" s="248">
        <f>'Other parameters'!$D$33</f>
        <v>0.15309420000000001</v>
      </c>
      <c r="D96" s="242">
        <f>'Other parameters'!$G$33</f>
        <v>3.3</v>
      </c>
      <c r="E96" s="234">
        <v>0</v>
      </c>
      <c r="F96" s="248">
        <f t="shared" si="63"/>
        <v>1.1840822040525054E-4</v>
      </c>
      <c r="G96" s="248">
        <f t="shared" si="39"/>
        <v>8.0000000000000016E-2</v>
      </c>
      <c r="H96" s="249">
        <f t="shared" si="40"/>
        <v>6.7891054115034627E-2</v>
      </c>
      <c r="I96" s="122"/>
      <c r="J96" s="244">
        <v>0</v>
      </c>
      <c r="K96" s="245">
        <v>0</v>
      </c>
      <c r="L96" s="245">
        <f t="shared" si="41"/>
        <v>0.16775293162865573</v>
      </c>
      <c r="M96" s="245">
        <f t="shared" si="42"/>
        <v>1.9865002332732061E-5</v>
      </c>
      <c r="N96" s="245">
        <f t="shared" si="43"/>
        <v>0.45855507481721591</v>
      </c>
      <c r="O96" s="245">
        <f t="shared" si="44"/>
        <v>1.8648792056775314E-2</v>
      </c>
      <c r="P96" s="245">
        <f t="shared" si="45"/>
        <v>8.6526681096404639E-3</v>
      </c>
      <c r="Q96" s="245">
        <f t="shared" si="46"/>
        <v>0.3463706683853805</v>
      </c>
      <c r="R96" s="243">
        <f t="shared" si="62"/>
        <v>1.0000000000000007</v>
      </c>
      <c r="S96" s="250"/>
      <c r="T96" s="244">
        <f t="shared" si="47"/>
        <v>0.15690006988981198</v>
      </c>
      <c r="U96" s="246">
        <f t="shared" si="52"/>
        <v>0.5177702306363795</v>
      </c>
      <c r="V96" s="246">
        <f t="shared" si="53"/>
        <v>1.0133872422889617E-7</v>
      </c>
      <c r="W96" s="246">
        <f t="shared" si="54"/>
        <v>1.8800758067505852E-2</v>
      </c>
      <c r="X96" s="246">
        <f t="shared" si="55"/>
        <v>3.3381337781627812E-3</v>
      </c>
      <c r="Y96" s="246">
        <f t="shared" si="56"/>
        <v>6.0568676767483248E-4</v>
      </c>
      <c r="Z96" s="246">
        <f t="shared" si="48"/>
        <v>0.54051491058844714</v>
      </c>
      <c r="AA96" s="247">
        <f t="shared" si="49"/>
        <v>3.6696127044743371E-2</v>
      </c>
      <c r="AB96" s="122"/>
      <c r="AC96" s="244">
        <f t="shared" si="57"/>
        <v>2.9598853475770771E-2</v>
      </c>
      <c r="AD96" s="245">
        <f t="shared" si="58"/>
        <v>48.312844309052849</v>
      </c>
      <c r="AE96" s="245">
        <f t="shared" si="59"/>
        <v>282.97433666970397</v>
      </c>
      <c r="AF96" s="245">
        <f t="shared" si="60"/>
        <v>17.848758877539655</v>
      </c>
      <c r="AG96" s="245">
        <f t="shared" si="61"/>
        <v>5.3395614904591309</v>
      </c>
      <c r="AH96" s="245">
        <f t="shared" si="50"/>
        <v>354.50510020023137</v>
      </c>
      <c r="AI96" s="247">
        <f t="shared" si="51"/>
        <v>24.067724941749681</v>
      </c>
    </row>
    <row r="97" spans="1:35">
      <c r="A97" s="122"/>
      <c r="B97" s="241">
        <v>93</v>
      </c>
      <c r="C97" s="248">
        <f>'Other parameters'!$D$33</f>
        <v>0.15309420000000001</v>
      </c>
      <c r="D97" s="242">
        <f>'Other parameters'!$G$33</f>
        <v>3.3</v>
      </c>
      <c r="E97" s="234">
        <v>0</v>
      </c>
      <c r="F97" s="248">
        <f t="shared" si="63"/>
        <v>1.0714018842571976E-4</v>
      </c>
      <c r="G97" s="248">
        <f t="shared" si="39"/>
        <v>8.0000000000000016E-2</v>
      </c>
      <c r="H97" s="249">
        <f t="shared" si="40"/>
        <v>6.5913644771878277E-2</v>
      </c>
      <c r="I97" s="122"/>
      <c r="J97" s="244">
        <v>0</v>
      </c>
      <c r="K97" s="245">
        <v>0</v>
      </c>
      <c r="L97" s="245">
        <f t="shared" si="41"/>
        <v>0.16774012344855857</v>
      </c>
      <c r="M97" s="245">
        <f t="shared" si="42"/>
        <v>1.7973080703661058E-5</v>
      </c>
      <c r="N97" s="245">
        <f t="shared" si="43"/>
        <v>0.45500393325423594</v>
      </c>
      <c r="O97" s="245">
        <f t="shared" si="44"/>
        <v>1.8504824476345789E-2</v>
      </c>
      <c r="P97" s="245">
        <f t="shared" si="45"/>
        <v>8.585985473322677E-3</v>
      </c>
      <c r="Q97" s="245">
        <f t="shared" si="46"/>
        <v>0.35014716026683401</v>
      </c>
      <c r="R97" s="243">
        <f t="shared" si="62"/>
        <v>1.0000000000000007</v>
      </c>
      <c r="S97" s="250"/>
      <c r="T97" s="244">
        <f t="shared" si="47"/>
        <v>0.15687069188145353</v>
      </c>
      <c r="U97" s="246">
        <f t="shared" si="52"/>
        <v>0.51767328320879658</v>
      </c>
      <c r="V97" s="246">
        <f t="shared" si="53"/>
        <v>9.168733224716958E-8</v>
      </c>
      <c r="W97" s="246">
        <f t="shared" si="54"/>
        <v>1.8655161263423675E-2</v>
      </c>
      <c r="X97" s="246">
        <f t="shared" si="55"/>
        <v>3.3123635812658961E-3</v>
      </c>
      <c r="Y97" s="246">
        <f t="shared" si="56"/>
        <v>6.0101898313258742E-4</v>
      </c>
      <c r="Z97" s="246">
        <f t="shared" si="48"/>
        <v>0.540241918723951</v>
      </c>
      <c r="AA97" s="247">
        <f t="shared" si="49"/>
        <v>3.5609313921648442E-2</v>
      </c>
      <c r="AB97" s="122"/>
      <c r="AC97" s="244">
        <f t="shared" si="57"/>
        <v>2.6779890248454976E-2</v>
      </c>
      <c r="AD97" s="245">
        <f t="shared" si="58"/>
        <v>48.309155553184866</v>
      </c>
      <c r="AE97" s="245">
        <f t="shared" si="59"/>
        <v>280.78292721118902</v>
      </c>
      <c r="AF97" s="245">
        <f t="shared" si="60"/>
        <v>17.710967506310556</v>
      </c>
      <c r="AG97" s="245">
        <f t="shared" si="61"/>
        <v>5.2984116355874242</v>
      </c>
      <c r="AH97" s="245">
        <f t="shared" si="50"/>
        <v>352.12824179652029</v>
      </c>
      <c r="AI97" s="247">
        <f t="shared" si="51"/>
        <v>23.2100558439219</v>
      </c>
    </row>
    <row r="98" spans="1:35">
      <c r="A98" s="122"/>
      <c r="B98" s="241">
        <v>94</v>
      </c>
      <c r="C98" s="248">
        <f>'Other parameters'!$D$33</f>
        <v>0.15309420000000001</v>
      </c>
      <c r="D98" s="242">
        <f>'Other parameters'!$G$33</f>
        <v>3.3</v>
      </c>
      <c r="E98" s="234">
        <v>0</v>
      </c>
      <c r="F98" s="248">
        <f t="shared" si="63"/>
        <v>9.69444514630145E-5</v>
      </c>
      <c r="G98" s="248">
        <f t="shared" si="39"/>
        <v>8.0000000000000016E-2</v>
      </c>
      <c r="H98" s="249">
        <f t="shared" si="40"/>
        <v>6.3993829875609989E-2</v>
      </c>
      <c r="I98" s="122"/>
      <c r="J98" s="244">
        <v>0</v>
      </c>
      <c r="K98" s="245">
        <v>0</v>
      </c>
      <c r="L98" s="245">
        <f t="shared" si="41"/>
        <v>0.16772853497528545</v>
      </c>
      <c r="M98" s="245">
        <f t="shared" si="42"/>
        <v>1.6261474256058848E-5</v>
      </c>
      <c r="N98" s="245">
        <f t="shared" si="43"/>
        <v>0.45147907720639285</v>
      </c>
      <c r="O98" s="245">
        <f t="shared" si="44"/>
        <v>1.8361879073868548E-2</v>
      </c>
      <c r="P98" s="245">
        <f t="shared" si="45"/>
        <v>8.5197649081615572E-3</v>
      </c>
      <c r="Q98" s="245">
        <f t="shared" si="46"/>
        <v>0.35389448236203619</v>
      </c>
      <c r="R98" s="243">
        <f t="shared" si="62"/>
        <v>1.0000000000000007</v>
      </c>
      <c r="S98" s="250"/>
      <c r="T98" s="244">
        <f t="shared" si="47"/>
        <v>0.15684152209520219</v>
      </c>
      <c r="U98" s="246">
        <f t="shared" si="52"/>
        <v>0.51757702291416718</v>
      </c>
      <c r="V98" s="246">
        <f t="shared" si="53"/>
        <v>8.2955794698031725E-8</v>
      </c>
      <c r="W98" s="246">
        <f t="shared" si="54"/>
        <v>1.8510642165462107E-2</v>
      </c>
      <c r="X98" s="246">
        <f t="shared" si="55"/>
        <v>3.2867763542224699E-3</v>
      </c>
      <c r="Y98" s="246">
        <f t="shared" si="56"/>
        <v>5.9638354357130908E-4</v>
      </c>
      <c r="Z98" s="246">
        <f t="shared" si="48"/>
        <v>0.53997090793321767</v>
      </c>
      <c r="AA98" s="247">
        <f t="shared" si="49"/>
        <v>3.4554806420056997E-2</v>
      </c>
      <c r="AB98" s="122"/>
      <c r="AC98" s="244">
        <f t="shared" si="57"/>
        <v>2.4229596641527684E-2</v>
      </c>
      <c r="AD98" s="245">
        <f t="shared" si="58"/>
        <v>48.305818072882211</v>
      </c>
      <c r="AE98" s="245">
        <f t="shared" si="59"/>
        <v>278.60773854406506</v>
      </c>
      <c r="AF98" s="245">
        <f t="shared" si="60"/>
        <v>17.574154461599587</v>
      </c>
      <c r="AG98" s="245">
        <f t="shared" si="61"/>
        <v>5.2575469248264968</v>
      </c>
      <c r="AH98" s="245">
        <f t="shared" si="50"/>
        <v>349.76948760001483</v>
      </c>
      <c r="AI98" s="247">
        <f t="shared" si="51"/>
        <v>22.383089085154626</v>
      </c>
    </row>
    <row r="99" spans="1:35">
      <c r="A99" s="122"/>
      <c r="B99" s="241">
        <v>95</v>
      </c>
      <c r="C99" s="248">
        <f>'Other parameters'!$D$34</f>
        <v>0.17422679999999999</v>
      </c>
      <c r="D99" s="242">
        <f>'Other parameters'!$G$34</f>
        <v>2.5</v>
      </c>
      <c r="E99" s="234">
        <v>0</v>
      </c>
      <c r="F99" s="248">
        <f t="shared" si="63"/>
        <v>8.7718967154706395E-5</v>
      </c>
      <c r="G99" s="248">
        <f t="shared" si="39"/>
        <v>8.0000000000000016E-2</v>
      </c>
      <c r="H99" s="249">
        <f t="shared" si="40"/>
        <v>6.212993191806794E-2</v>
      </c>
      <c r="I99" s="122"/>
      <c r="J99" s="244">
        <v>0</v>
      </c>
      <c r="K99" s="245">
        <v>0</v>
      </c>
      <c r="L99" s="245">
        <f t="shared" si="41"/>
        <v>0.1677180499847416</v>
      </c>
      <c r="M99" s="245">
        <f t="shared" si="42"/>
        <v>1.4712973850404087E-5</v>
      </c>
      <c r="N99" s="245">
        <f t="shared" si="43"/>
        <v>0.44798042837512803</v>
      </c>
      <c r="O99" s="245">
        <f t="shared" si="44"/>
        <v>1.8219957194269887E-2</v>
      </c>
      <c r="P99" s="245">
        <f t="shared" si="45"/>
        <v>8.4540082565928657E-3</v>
      </c>
      <c r="Q99" s="245">
        <f t="shared" si="46"/>
        <v>0.35761284321541786</v>
      </c>
      <c r="R99" s="243">
        <f t="shared" si="62"/>
        <v>1.0000000000000007</v>
      </c>
      <c r="S99" s="250"/>
      <c r="T99" s="244">
        <f t="shared" si="47"/>
        <v>0.17794516085338166</v>
      </c>
      <c r="U99" s="246">
        <f t="shared" si="52"/>
        <v>0.44486290213345414</v>
      </c>
      <c r="V99" s="246">
        <f t="shared" si="53"/>
        <v>7.5056321395760031E-8</v>
      </c>
      <c r="W99" s="246">
        <f t="shared" si="54"/>
        <v>1.836719756338025E-2</v>
      </c>
      <c r="X99" s="246">
        <f t="shared" si="55"/>
        <v>3.2613723377743096E-3</v>
      </c>
      <c r="Y99" s="246">
        <f t="shared" si="56"/>
        <v>5.9178057796150068E-4</v>
      </c>
      <c r="Z99" s="246">
        <f t="shared" si="48"/>
        <v>0.46708332766889155</v>
      </c>
      <c r="AA99" s="247">
        <f t="shared" si="49"/>
        <v>2.901985534813285E-2</v>
      </c>
      <c r="AB99" s="122"/>
      <c r="AC99" s="244">
        <f t="shared" si="57"/>
        <v>2.1922331037102089E-2</v>
      </c>
      <c r="AD99" s="245">
        <f t="shared" si="58"/>
        <v>48.302798395605578</v>
      </c>
      <c r="AE99" s="245">
        <f t="shared" si="59"/>
        <v>276.44872235029152</v>
      </c>
      <c r="AF99" s="245">
        <f t="shared" si="60"/>
        <v>17.438321030635709</v>
      </c>
      <c r="AG99" s="245">
        <f t="shared" si="61"/>
        <v>5.2169684951434574</v>
      </c>
      <c r="AH99" s="245">
        <f t="shared" si="50"/>
        <v>347.42873260271341</v>
      </c>
      <c r="AI99" s="247">
        <f t="shared" si="51"/>
        <v>21.585723502987214</v>
      </c>
    </row>
    <row r="100" spans="1:35">
      <c r="A100" s="122"/>
      <c r="B100" s="241">
        <v>96</v>
      </c>
      <c r="C100" s="248">
        <f>'Other parameters'!$D$34</f>
        <v>0.17422679999999999</v>
      </c>
      <c r="D100" s="242">
        <f>'Other parameters'!$G$34</f>
        <v>2.5</v>
      </c>
      <c r="E100" s="234">
        <v>0</v>
      </c>
      <c r="F100" s="248">
        <f t="shared" si="63"/>
        <v>7.9371403753045696E-5</v>
      </c>
      <c r="G100" s="248">
        <f t="shared" si="39"/>
        <v>8.0000000000000016E-2</v>
      </c>
      <c r="H100" s="249">
        <f t="shared" si="40"/>
        <v>6.0320322250551395E-2</v>
      </c>
      <c r="I100" s="122"/>
      <c r="J100" s="244">
        <v>0</v>
      </c>
      <c r="K100" s="245">
        <v>0</v>
      </c>
      <c r="L100" s="245">
        <f t="shared" si="41"/>
        <v>0.16770856334088069</v>
      </c>
      <c r="M100" s="245">
        <f t="shared" si="42"/>
        <v>1.3312017062012424E-5</v>
      </c>
      <c r="N100" s="245">
        <f t="shared" si="43"/>
        <v>0.4445078970424417</v>
      </c>
      <c r="O100" s="245">
        <f t="shared" si="44"/>
        <v>1.8079059278568781E-2</v>
      </c>
      <c r="P100" s="245">
        <f t="shared" si="45"/>
        <v>8.3887168180178141E-3</v>
      </c>
      <c r="Q100" s="245">
        <f t="shared" si="46"/>
        <v>0.36130245150302964</v>
      </c>
      <c r="R100" s="243">
        <f t="shared" si="62"/>
        <v>1.0000000000000007</v>
      </c>
      <c r="S100" s="250"/>
      <c r="T100" s="244">
        <f t="shared" si="47"/>
        <v>0.17791640828761174</v>
      </c>
      <c r="U100" s="246">
        <f t="shared" si="52"/>
        <v>0.44479102071902932</v>
      </c>
      <c r="V100" s="246">
        <f t="shared" si="53"/>
        <v>6.7909522656074349E-8</v>
      </c>
      <c r="W100" s="246">
        <f t="shared" si="54"/>
        <v>1.8224823778740112E-2</v>
      </c>
      <c r="X100" s="246">
        <f t="shared" si="55"/>
        <v>3.2361516108638114E-3</v>
      </c>
      <c r="Y100" s="246">
        <f t="shared" si="56"/>
        <v>5.8721017726124703E-4</v>
      </c>
      <c r="Z100" s="246">
        <f t="shared" si="48"/>
        <v>0.46683927419541721</v>
      </c>
      <c r="AA100" s="247">
        <f t="shared" si="49"/>
        <v>2.8159895458681087E-2</v>
      </c>
      <c r="AB100" s="122"/>
      <c r="AC100" s="244">
        <f t="shared" si="57"/>
        <v>1.9834905422398512E-2</v>
      </c>
      <c r="AD100" s="245">
        <f t="shared" si="58"/>
        <v>48.300066242173642</v>
      </c>
      <c r="AE100" s="245">
        <f t="shared" si="59"/>
        <v>274.30582326489076</v>
      </c>
      <c r="AF100" s="245">
        <f t="shared" si="60"/>
        <v>17.303467635518182</v>
      </c>
      <c r="AG100" s="245">
        <f t="shared" si="61"/>
        <v>5.1766771483987934</v>
      </c>
      <c r="AH100" s="245">
        <f t="shared" si="50"/>
        <v>345.10586919640377</v>
      </c>
      <c r="AI100" s="247">
        <f t="shared" si="51"/>
        <v>20.816897240483712</v>
      </c>
    </row>
    <row r="101" spans="1:35">
      <c r="A101" s="122"/>
      <c r="B101" s="241">
        <v>97</v>
      </c>
      <c r="C101" s="248">
        <f>'Other parameters'!$D$34</f>
        <v>0.17422679999999999</v>
      </c>
      <c r="D101" s="242">
        <f>'Other parameters'!$G$34</f>
        <v>2.5</v>
      </c>
      <c r="E101" s="234">
        <v>0</v>
      </c>
      <c r="F101" s="248">
        <f t="shared" si="63"/>
        <v>7.1818216037795505E-5</v>
      </c>
      <c r="G101" s="248">
        <f t="shared" si="39"/>
        <v>8.0000000000000016E-2</v>
      </c>
      <c r="H101" s="249">
        <f t="shared" si="40"/>
        <v>5.8563419660729518E-2</v>
      </c>
      <c r="I101" s="122"/>
      <c r="J101" s="244">
        <v>0</v>
      </c>
      <c r="K101" s="245">
        <v>0</v>
      </c>
      <c r="L101" s="245">
        <f t="shared" si="41"/>
        <v>0.16769997993548341</v>
      </c>
      <c r="M101" s="245">
        <f t="shared" si="42"/>
        <v>1.2044529833403681E-5</v>
      </c>
      <c r="N101" s="245">
        <f t="shared" si="43"/>
        <v>0.44106138331015876</v>
      </c>
      <c r="O101" s="245">
        <f t="shared" si="44"/>
        <v>1.7939184957558522E-2</v>
      </c>
      <c r="P101" s="245">
        <f t="shared" si="45"/>
        <v>8.3238914051655798E-3</v>
      </c>
      <c r="Q101" s="245">
        <f t="shared" si="46"/>
        <v>0.36496351586180098</v>
      </c>
      <c r="R101" s="243">
        <f t="shared" si="62"/>
        <v>1.0000000000000007</v>
      </c>
      <c r="S101" s="250"/>
      <c r="T101" s="244">
        <f t="shared" si="47"/>
        <v>0.1778878643587713</v>
      </c>
      <c r="U101" s="246">
        <f t="shared" si="52"/>
        <v>0.44471966089692827</v>
      </c>
      <c r="V101" s="246">
        <f t="shared" si="53"/>
        <v>6.1443601506294952E-8</v>
      </c>
      <c r="W101" s="246">
        <f t="shared" si="54"/>
        <v>1.8083516715716511E-2</v>
      </c>
      <c r="X101" s="246">
        <f t="shared" si="55"/>
        <v>3.2111141074029756E-3</v>
      </c>
      <c r="Y101" s="246">
        <f t="shared" si="56"/>
        <v>5.8267239836159068E-4</v>
      </c>
      <c r="Z101" s="246">
        <f t="shared" si="48"/>
        <v>0.46659702556201083</v>
      </c>
      <c r="AA101" s="247">
        <f>Z101*H101</f>
        <v>2.7325517420436179E-2</v>
      </c>
      <c r="AB101" s="122"/>
      <c r="AC101" s="244">
        <f t="shared" si="57"/>
        <v>1.7946349451771485E-2</v>
      </c>
      <c r="AD101" s="245">
        <f t="shared" si="58"/>
        <v>48.297594221419224</v>
      </c>
      <c r="AE101" s="245">
        <f t="shared" si="59"/>
        <v>272.17897964069897</v>
      </c>
      <c r="AF101" s="245">
        <f t="shared" si="60"/>
        <v>17.169593922879262</v>
      </c>
      <c r="AG101" s="245">
        <f t="shared" si="61"/>
        <v>5.1366733861276792</v>
      </c>
      <c r="AH101" s="245">
        <f t="shared" si="50"/>
        <v>342.80078752057688</v>
      </c>
      <c r="AI101" s="247">
        <f>AH101*H101</f>
        <v>20.075586379596114</v>
      </c>
    </row>
    <row r="102" spans="1:35">
      <c r="A102" s="122"/>
      <c r="B102" s="241">
        <v>98</v>
      </c>
      <c r="C102" s="248">
        <f>'Other parameters'!$D$34</f>
        <v>0.17422679999999999</v>
      </c>
      <c r="D102" s="242">
        <f>'Other parameters'!$G$34</f>
        <v>2.5</v>
      </c>
      <c r="E102" s="234">
        <v>0</v>
      </c>
      <c r="F102" s="248">
        <f t="shared" si="63"/>
        <v>6.4983809167587655E-5</v>
      </c>
      <c r="G102" s="248">
        <f t="shared" si="39"/>
        <v>8.0000000000000016E-2</v>
      </c>
      <c r="H102" s="249">
        <f t="shared" si="40"/>
        <v>5.6857688990999529E-2</v>
      </c>
      <c r="I102" s="122"/>
      <c r="J102" s="244">
        <v>0</v>
      </c>
      <c r="K102" s="245">
        <v>0</v>
      </c>
      <c r="L102" s="245">
        <f t="shared" si="41"/>
        <v>0.16769221372974655</v>
      </c>
      <c r="M102" s="245">
        <f t="shared" si="42"/>
        <v>1.0897783493535733E-5</v>
      </c>
      <c r="N102" s="245">
        <f t="shared" si="43"/>
        <v>0.43764077821901082</v>
      </c>
      <c r="O102" s="245">
        <f t="shared" si="44"/>
        <v>1.7800333136226386E-2</v>
      </c>
      <c r="P102" s="245">
        <f t="shared" si="45"/>
        <v>8.2595323947682268E-3</v>
      </c>
      <c r="Q102" s="245">
        <f t="shared" si="46"/>
        <v>0.36859624473675512</v>
      </c>
      <c r="R102" s="243">
        <f t="shared" si="62"/>
        <v>1.0000000000000007</v>
      </c>
      <c r="S102" s="250"/>
      <c r="T102" s="244">
        <f t="shared" si="47"/>
        <v>0.17785952887495413</v>
      </c>
      <c r="U102" s="246">
        <f t="shared" si="52"/>
        <v>0.44464882218738533</v>
      </c>
      <c r="V102" s="246">
        <f t="shared" si="53"/>
        <v>5.5593624287571339E-8</v>
      </c>
      <c r="W102" s="246">
        <f t="shared" si="54"/>
        <v>1.7943271906979443E-2</v>
      </c>
      <c r="X102" s="246">
        <f t="shared" si="55"/>
        <v>3.1862596313845231E-3</v>
      </c>
      <c r="Y102" s="246">
        <f t="shared" si="56"/>
        <v>5.7816726763377591E-4</v>
      </c>
      <c r="Z102" s="246">
        <f t="shared" si="48"/>
        <v>0.46635657658700735</v>
      </c>
      <c r="AA102" s="247">
        <f>Z102*H102</f>
        <v>2.6515957190491317E-2</v>
      </c>
      <c r="AB102" s="122"/>
      <c r="AC102" s="244">
        <f t="shared" si="57"/>
        <v>1.6237697405368241E-2</v>
      </c>
      <c r="AD102" s="245">
        <f t="shared" si="58"/>
        <v>48.295357554167005</v>
      </c>
      <c r="AE102" s="245">
        <f t="shared" si="59"/>
        <v>270.06812423895161</v>
      </c>
      <c r="AF102" s="245">
        <f t="shared" si="60"/>
        <v>17.036698844682274</v>
      </c>
      <c r="AG102" s="245">
        <f t="shared" si="61"/>
        <v>5.0969574408114733</v>
      </c>
      <c r="AH102" s="245">
        <f t="shared" si="50"/>
        <v>340.51337577601777</v>
      </c>
      <c r="AI102" s="247">
        <f>AH102*H102</f>
        <v>19.360803617148171</v>
      </c>
    </row>
    <row r="103" spans="1:35">
      <c r="A103" s="122"/>
      <c r="B103" s="241">
        <v>99</v>
      </c>
      <c r="C103" s="248">
        <f>'Other parameters'!$D$34</f>
        <v>0.17422679999999999</v>
      </c>
      <c r="D103" s="242">
        <f>'Other parameters'!$G$34</f>
        <v>2.5</v>
      </c>
      <c r="E103" s="234">
        <v>0</v>
      </c>
      <c r="F103" s="248">
        <f t="shared" si="63"/>
        <v>5.8799782101341559E-5</v>
      </c>
      <c r="G103" s="248">
        <f t="shared" si="39"/>
        <v>8.0000000000000016E-2</v>
      </c>
      <c r="H103" s="249">
        <f t="shared" si="40"/>
        <v>5.5201639797086935E-2</v>
      </c>
      <c r="I103" s="122"/>
      <c r="J103" s="244">
        <v>0</v>
      </c>
      <c r="K103" s="245">
        <v>0</v>
      </c>
      <c r="L103" s="245">
        <f t="shared" si="41"/>
        <v>0.16768518688782746</v>
      </c>
      <c r="M103" s="245">
        <f t="shared" si="42"/>
        <v>9.8602656274006942E-6</v>
      </c>
      <c r="N103" s="245">
        <f t="shared" si="43"/>
        <v>0.43424596475918381</v>
      </c>
      <c r="O103" s="245">
        <f t="shared" si="44"/>
        <v>1.7662502069845779E-2</v>
      </c>
      <c r="P103" s="245">
        <f t="shared" si="45"/>
        <v>8.1956397731366218E-3</v>
      </c>
      <c r="Q103" s="245">
        <f t="shared" si="46"/>
        <v>0.3722008462443796</v>
      </c>
      <c r="R103" s="243">
        <f t="shared" si="62"/>
        <v>1.0000000000000007</v>
      </c>
      <c r="S103" s="250"/>
      <c r="T103" s="244">
        <f t="shared" si="47"/>
        <v>0.17783140150762444</v>
      </c>
      <c r="U103" s="246">
        <f t="shared" si="52"/>
        <v>0.44457850376906111</v>
      </c>
      <c r="V103" s="246">
        <f t="shared" si="53"/>
        <v>5.0300861912931767E-8</v>
      </c>
      <c r="W103" s="246">
        <f t="shared" si="54"/>
        <v>1.7804084555126536E-2</v>
      </c>
      <c r="X103" s="246">
        <f t="shared" si="55"/>
        <v>3.1615878705023941E-3</v>
      </c>
      <c r="Y103" s="246">
        <f t="shared" si="56"/>
        <v>5.7369478411956358E-4</v>
      </c>
      <c r="Z103" s="246">
        <f t="shared" si="48"/>
        <v>0.46611792127967155</v>
      </c>
      <c r="AA103" s="247">
        <f>Z103*H103</f>
        <v>2.5730473593447354E-2</v>
      </c>
      <c r="AB103" s="122"/>
      <c r="AC103" s="244">
        <f t="shared" si="57"/>
        <v>1.4691795784827034E-2</v>
      </c>
      <c r="AD103" s="245">
        <f t="shared" si="58"/>
        <v>48.293333823694311</v>
      </c>
      <c r="AE103" s="245">
        <f t="shared" si="59"/>
        <v>267.97318485289236</v>
      </c>
      <c r="AF103" s="245">
        <f t="shared" si="60"/>
        <v>16.904780731049396</v>
      </c>
      <c r="AG103" s="245">
        <f t="shared" si="61"/>
        <v>5.0575293040026095</v>
      </c>
      <c r="AH103" s="245">
        <f t="shared" si="50"/>
        <v>338.24352050742357</v>
      </c>
      <c r="AI103" s="247">
        <f>AH103*H103</f>
        <v>18.671596982749385</v>
      </c>
    </row>
    <row r="104" spans="1:35">
      <c r="A104" s="122"/>
      <c r="B104" s="235">
        <v>100</v>
      </c>
      <c r="C104" s="251">
        <f>'Other parameters'!$D$35</f>
        <v>1</v>
      </c>
      <c r="D104" s="252">
        <f>'Other parameters'!$G$35</f>
        <v>1.9</v>
      </c>
      <c r="E104" s="236">
        <v>0</v>
      </c>
      <c r="F104" s="251">
        <f t="shared" si="63"/>
        <v>5.320424301765489E-5</v>
      </c>
      <c r="G104" s="251">
        <f t="shared" si="39"/>
        <v>8.0000000000000016E-2</v>
      </c>
      <c r="H104" s="253">
        <f t="shared" si="40"/>
        <v>5.3593825045715457E-2</v>
      </c>
      <c r="I104" s="122"/>
      <c r="J104" s="254">
        <v>0</v>
      </c>
      <c r="K104" s="255">
        <v>0</v>
      </c>
      <c r="L104" s="255">
        <f t="shared" si="41"/>
        <v>0.16767882899345693</v>
      </c>
      <c r="M104" s="255">
        <f t="shared" si="42"/>
        <v>8.92156343364085E-6</v>
      </c>
      <c r="N104" s="255">
        <f t="shared" si="43"/>
        <v>0.43087681878283351</v>
      </c>
      <c r="O104" s="255">
        <f t="shared" si="44"/>
        <v>1.7525689432577221E-2</v>
      </c>
      <c r="P104" s="255">
        <f t="shared" si="45"/>
        <v>8.1322131771626571E-3</v>
      </c>
      <c r="Q104" s="255">
        <f t="shared" si="46"/>
        <v>0.37577752805053671</v>
      </c>
      <c r="R104" s="237">
        <f t="shared" si="62"/>
        <v>1.0000000000000007</v>
      </c>
      <c r="S104" s="250"/>
      <c r="T104" s="254">
        <v>1</v>
      </c>
      <c r="U104" s="255">
        <f t="shared" si="52"/>
        <v>1.9</v>
      </c>
      <c r="V104" s="255">
        <f t="shared" si="53"/>
        <v>4.5512194831340451E-8</v>
      </c>
      <c r="W104" s="255">
        <f t="shared" si="54"/>
        <v>1.7665949570096175E-2</v>
      </c>
      <c r="X104" s="255">
        <f t="shared" si="55"/>
        <v>3.1370984084313222E-3</v>
      </c>
      <c r="Y104" s="255">
        <f t="shared" si="56"/>
        <v>5.6925492240138601E-4</v>
      </c>
      <c r="Z104" s="255">
        <f t="shared" si="48"/>
        <v>1.9213723484131238</v>
      </c>
      <c r="AA104" s="256">
        <f>Z104*H104</f>
        <v>0.1029736934885284</v>
      </c>
      <c r="AB104" s="122"/>
      <c r="AC104" s="254">
        <f t="shared" si="57"/>
        <v>1.3293129516124866E-2</v>
      </c>
      <c r="AD104" s="255">
        <f t="shared" si="58"/>
        <v>48.291502750115598</v>
      </c>
      <c r="AE104" s="255">
        <f t="shared" si="59"/>
        <v>265.89408487088656</v>
      </c>
      <c r="AF104" s="255">
        <f t="shared" si="60"/>
        <v>16.77383735591966</v>
      </c>
      <c r="AG104" s="255">
        <f t="shared" si="61"/>
        <v>5.018388751627076</v>
      </c>
      <c r="AH104" s="255">
        <f t="shared" si="50"/>
        <v>335.99110685806505</v>
      </c>
      <c r="AI104" s="256">
        <f>AH104*H104</f>
        <v>18.007048597867424</v>
      </c>
    </row>
    <row r="105" spans="1:35">
      <c r="A105" s="122"/>
      <c r="B105" s="122"/>
      <c r="C105" s="122"/>
      <c r="D105" s="122"/>
      <c r="E105" s="122"/>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c r="AC105" s="234"/>
      <c r="AD105" s="234"/>
      <c r="AE105" s="234"/>
      <c r="AF105" s="234"/>
      <c r="AG105" s="234"/>
      <c r="AH105" s="234"/>
      <c r="AI105" s="234"/>
    </row>
    <row r="106" spans="1:35">
      <c r="A106" s="122"/>
      <c r="B106" s="122"/>
      <c r="C106" s="122"/>
      <c r="D106" s="122"/>
      <c r="E106" s="122"/>
      <c r="F106" s="122"/>
      <c r="G106" s="122"/>
      <c r="H106" s="122"/>
      <c r="I106" s="122"/>
      <c r="J106" s="122"/>
      <c r="K106" s="122"/>
      <c r="L106" s="122"/>
      <c r="M106" s="122"/>
      <c r="N106" s="122"/>
      <c r="O106" s="122"/>
      <c r="P106" s="122"/>
      <c r="Q106" s="122"/>
      <c r="R106" s="122"/>
      <c r="S106" s="122"/>
      <c r="T106" s="122"/>
      <c r="U106" s="122"/>
      <c r="V106" s="122"/>
      <c r="W106" s="122"/>
      <c r="X106" s="122"/>
      <c r="Y106" s="122"/>
      <c r="Z106" s="238" t="s">
        <v>57</v>
      </c>
      <c r="AA106" s="240" t="s">
        <v>58</v>
      </c>
      <c r="AB106" s="122"/>
      <c r="AC106" s="234"/>
      <c r="AD106" s="234"/>
      <c r="AE106" s="234"/>
      <c r="AF106" s="234"/>
      <c r="AG106" s="234"/>
      <c r="AH106" s="238" t="s">
        <v>61</v>
      </c>
      <c r="AI106" s="240" t="s">
        <v>62</v>
      </c>
    </row>
    <row r="107" spans="1:35">
      <c r="A107" s="122"/>
      <c r="B107" s="122"/>
      <c r="C107" s="122"/>
      <c r="D107" s="122"/>
      <c r="E107" s="122"/>
      <c r="F107" s="122"/>
      <c r="G107" s="122"/>
      <c r="H107" s="122"/>
      <c r="I107" s="122"/>
      <c r="J107" s="122"/>
      <c r="K107" s="122"/>
      <c r="L107" s="122"/>
      <c r="M107" s="122"/>
      <c r="N107" s="122"/>
      <c r="O107" s="122"/>
      <c r="P107" s="122"/>
      <c r="Q107" s="122"/>
      <c r="R107" s="122"/>
      <c r="S107" s="122"/>
      <c r="T107" s="122"/>
      <c r="U107" s="122"/>
      <c r="V107" s="122"/>
      <c r="W107" s="122"/>
      <c r="X107" s="122"/>
      <c r="Y107" s="122"/>
      <c r="Z107" s="254">
        <f>SUM(Z12:Z104)</f>
        <v>40.025894208469253</v>
      </c>
      <c r="AA107" s="256">
        <f>SUM(AA12:AA104)</f>
        <v>8.7911352806070742</v>
      </c>
      <c r="AB107" s="122"/>
      <c r="AC107" s="234"/>
      <c r="AD107" s="234"/>
      <c r="AE107" s="234"/>
      <c r="AF107" s="234"/>
      <c r="AG107" s="234"/>
      <c r="AH107" s="257">
        <f>SUM(AH12:AH104)</f>
        <v>40360.935993121799</v>
      </c>
      <c r="AI107" s="258">
        <f>SUM(AI12:AI104)</f>
        <v>11747.057775475327</v>
      </c>
    </row>
  </sheetData>
  <mergeCells count="4">
    <mergeCell ref="B2:H2"/>
    <mergeCell ref="J2:R2"/>
    <mergeCell ref="T2:AA2"/>
    <mergeCell ref="AC2:AI2"/>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I107"/>
  <sheetViews>
    <sheetView workbookViewId="0">
      <selection sqref="A1:XFD1048576"/>
    </sheetView>
  </sheetViews>
  <sheetFormatPr baseColWidth="10" defaultColWidth="11" defaultRowHeight="15" x14ac:dyDescent="0"/>
  <cols>
    <col min="1" max="1" width="11" style="35" customWidth="1"/>
    <col min="2" max="35" width="14.6640625" style="35" customWidth="1"/>
    <col min="36" max="16384" width="11" style="35"/>
  </cols>
  <sheetData>
    <row r="1" spans="1:35">
      <c r="A1" s="122"/>
      <c r="B1" s="122"/>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234"/>
      <c r="AD1" s="234"/>
      <c r="AE1" s="234"/>
      <c r="AF1" s="234"/>
      <c r="AG1" s="234"/>
      <c r="AH1" s="234"/>
      <c r="AI1" s="234"/>
    </row>
    <row r="2" spans="1:35">
      <c r="A2" s="122"/>
      <c r="B2" s="284" t="s">
        <v>152</v>
      </c>
      <c r="C2" s="285"/>
      <c r="D2" s="285"/>
      <c r="E2" s="285"/>
      <c r="F2" s="285"/>
      <c r="G2" s="285"/>
      <c r="H2" s="286"/>
      <c r="I2" s="122"/>
      <c r="J2" s="284" t="s">
        <v>153</v>
      </c>
      <c r="K2" s="285"/>
      <c r="L2" s="285"/>
      <c r="M2" s="285"/>
      <c r="N2" s="285"/>
      <c r="O2" s="285"/>
      <c r="P2" s="285"/>
      <c r="Q2" s="285"/>
      <c r="R2" s="286"/>
      <c r="S2" s="122"/>
      <c r="T2" s="284" t="s">
        <v>59</v>
      </c>
      <c r="U2" s="285"/>
      <c r="V2" s="285"/>
      <c r="W2" s="285"/>
      <c r="X2" s="285"/>
      <c r="Y2" s="285"/>
      <c r="Z2" s="285"/>
      <c r="AA2" s="287"/>
      <c r="AB2" s="122"/>
      <c r="AC2" s="284" t="s">
        <v>60</v>
      </c>
      <c r="AD2" s="285"/>
      <c r="AE2" s="285"/>
      <c r="AF2" s="285"/>
      <c r="AG2" s="285"/>
      <c r="AH2" s="285"/>
      <c r="AI2" s="286"/>
    </row>
    <row r="3" spans="1:35">
      <c r="A3" s="122"/>
      <c r="B3" s="235" t="s">
        <v>340</v>
      </c>
      <c r="C3" s="236" t="s">
        <v>339</v>
      </c>
      <c r="D3" s="236" t="s">
        <v>338</v>
      </c>
      <c r="E3" s="236" t="s">
        <v>341</v>
      </c>
      <c r="F3" s="236" t="s">
        <v>342</v>
      </c>
      <c r="G3" s="236" t="s">
        <v>343</v>
      </c>
      <c r="H3" s="237" t="s">
        <v>7</v>
      </c>
      <c r="I3" s="122"/>
      <c r="J3" s="235" t="s">
        <v>1</v>
      </c>
      <c r="K3" s="236" t="s">
        <v>344</v>
      </c>
      <c r="L3" s="236" t="s">
        <v>346</v>
      </c>
      <c r="M3" s="236" t="s">
        <v>345</v>
      </c>
      <c r="N3" s="236" t="s">
        <v>347</v>
      </c>
      <c r="O3" s="236" t="s">
        <v>348</v>
      </c>
      <c r="P3" s="236" t="s">
        <v>74</v>
      </c>
      <c r="Q3" s="236" t="s">
        <v>349</v>
      </c>
      <c r="R3" s="237" t="s">
        <v>53</v>
      </c>
      <c r="S3" s="122"/>
      <c r="T3" s="238" t="s">
        <v>304</v>
      </c>
      <c r="U3" s="239" t="s">
        <v>350</v>
      </c>
      <c r="V3" s="239" t="s">
        <v>155</v>
      </c>
      <c r="W3" s="239" t="s">
        <v>75</v>
      </c>
      <c r="X3" s="239" t="s">
        <v>76</v>
      </c>
      <c r="Y3" s="239" t="s">
        <v>351</v>
      </c>
      <c r="Z3" s="239" t="s">
        <v>352</v>
      </c>
      <c r="AA3" s="240" t="s">
        <v>353</v>
      </c>
      <c r="AB3" s="122"/>
      <c r="AC3" s="235" t="s">
        <v>2</v>
      </c>
      <c r="AD3" s="236" t="s">
        <v>78</v>
      </c>
      <c r="AE3" s="236" t="s">
        <v>3</v>
      </c>
      <c r="AF3" s="236" t="s">
        <v>4</v>
      </c>
      <c r="AG3" s="236" t="s">
        <v>77</v>
      </c>
      <c r="AH3" s="236" t="s">
        <v>5</v>
      </c>
      <c r="AI3" s="237" t="s">
        <v>6</v>
      </c>
    </row>
    <row r="4" spans="1:35">
      <c r="A4" s="122"/>
      <c r="B4" s="241">
        <v>0</v>
      </c>
      <c r="C4" s="242">
        <v>0</v>
      </c>
      <c r="D4" s="242">
        <v>0</v>
      </c>
      <c r="E4" s="234">
        <v>0</v>
      </c>
      <c r="F4" s="234">
        <v>0</v>
      </c>
      <c r="G4" s="234">
        <v>0</v>
      </c>
      <c r="H4" s="243">
        <v>0</v>
      </c>
      <c r="I4" s="122"/>
      <c r="J4" s="244">
        <v>0</v>
      </c>
      <c r="K4" s="245">
        <v>0</v>
      </c>
      <c r="L4" s="245">
        <v>1</v>
      </c>
      <c r="M4" s="245">
        <v>0</v>
      </c>
      <c r="N4" s="245">
        <v>0</v>
      </c>
      <c r="O4" s="245">
        <v>0</v>
      </c>
      <c r="P4" s="245">
        <v>0</v>
      </c>
      <c r="Q4" s="245">
        <v>0</v>
      </c>
      <c r="R4" s="243">
        <f>SUM(J4:Q4)</f>
        <v>1</v>
      </c>
      <c r="S4" s="122"/>
      <c r="T4" s="241"/>
      <c r="U4" s="246"/>
      <c r="V4" s="246"/>
      <c r="W4" s="246"/>
      <c r="X4" s="246"/>
      <c r="Y4" s="246"/>
      <c r="Z4" s="246"/>
      <c r="AA4" s="247"/>
      <c r="AB4" s="122"/>
      <c r="AC4" s="244"/>
      <c r="AD4" s="245"/>
      <c r="AE4" s="245"/>
      <c r="AF4" s="245"/>
      <c r="AG4" s="245"/>
      <c r="AH4" s="245"/>
      <c r="AI4" s="247"/>
    </row>
    <row r="5" spans="1:35">
      <c r="A5" s="122"/>
      <c r="B5" s="241">
        <v>1</v>
      </c>
      <c r="C5" s="248">
        <f>'Other parameters'!$D$15</f>
        <v>3.0620000000000001E-3</v>
      </c>
      <c r="D5" s="242">
        <f>'Other parameters'!$G$15</f>
        <v>68.400000000000006</v>
      </c>
      <c r="E5" s="248">
        <f t="shared" ref="E5:E19" si="0">IF(B5&lt;rf1age,0,pA1_2p)</f>
        <v>0</v>
      </c>
      <c r="F5" s="248">
        <f t="shared" ref="F5:F28" si="1">IF(B5&lt;rf2age,0,pA2_2p)</f>
        <v>0</v>
      </c>
      <c r="G5" s="248">
        <f t="shared" ref="G5:G36" si="2">IF(B5&lt;rhdage,0,pVS_2p)</f>
        <v>0</v>
      </c>
      <c r="H5" s="249">
        <f t="shared" ref="H5:H36" si="3">1/(1+disc)^($B5-1)</f>
        <v>1</v>
      </c>
      <c r="I5" s="122"/>
      <c r="J5" s="244">
        <v>0</v>
      </c>
      <c r="K5" s="245">
        <v>0</v>
      </c>
      <c r="L5" s="245">
        <f t="shared" ref="L5:L36" si="4">IF(B5&lt;rf2age,1,(K4*cpARF1_Remission)+(L4*(1-F5))+(M4*cpARF2_Remission))</f>
        <v>1</v>
      </c>
      <c r="M5" s="245">
        <f t="shared" ref="M5:M36" si="5">IF(B5&lt;rf2age,0,L4*F5)</f>
        <v>0</v>
      </c>
      <c r="N5" s="245">
        <f t="shared" ref="N5:N36" si="6">IF(B5&lt;rf2age,0,(K4*pARF1_RHDMild)+(M4*pARF2_RHDMild)+(N4*cpRHDMild_RHDMild)+(O4*G5))</f>
        <v>0</v>
      </c>
      <c r="O5" s="245">
        <f t="shared" ref="O5:O36" si="7">IF(B5&lt;rf2age,0,(N4*pRHDMild_RHDSevere)+(O4*(1-(G5+pRHDSevere_Death))))</f>
        <v>0</v>
      </c>
      <c r="P5" s="245">
        <f t="shared" ref="P5:P36" si="8">IF(B5&lt;rf2age,0,(N4*pRHDMild_Stroke)+(P4*(1-pStroke_Death)))</f>
        <v>0</v>
      </c>
      <c r="Q5" s="245">
        <f t="shared" ref="Q5:Q36" si="9">IF(B5&lt;rf2age,0,(K4*pARF1_Death)+(M4*pARF2_Death)+(O4*pRHDSevere_Death)+(P4*pStroke_Death)+Q4)</f>
        <v>0</v>
      </c>
      <c r="R5" s="243">
        <f t="shared" ref="R5:R11" si="10">SUM(J5:Q5)</f>
        <v>1</v>
      </c>
      <c r="S5" s="122"/>
      <c r="T5" s="244">
        <f t="shared" ref="T5:T68" si="11">((K4*pARF1_Death)+(M4*pARF2_Death)+(O4*pRHDSevere_Death)+(P4*pStroke_Death))+C5</f>
        <v>3.0620000000000001E-3</v>
      </c>
      <c r="U5" s="246">
        <f>$D5*T5*0.5</f>
        <v>0.10472040000000001</v>
      </c>
      <c r="V5" s="246">
        <f>($K5+$M5)*wAR*0.5</f>
        <v>0</v>
      </c>
      <c r="W5" s="246">
        <f>$N5*wRM*0.5</f>
        <v>0</v>
      </c>
      <c r="X5" s="246">
        <f>$O5*wRH*0.5</f>
        <v>0</v>
      </c>
      <c r="Y5" s="246">
        <f>$P5*wRS*0.5</f>
        <v>0</v>
      </c>
      <c r="Z5" s="246">
        <f t="shared" ref="Z5:Z68" si="12">SUM(U5:Y5)</f>
        <v>0.10472040000000001</v>
      </c>
      <c r="AA5" s="247">
        <f t="shared" ref="AA5:AA68" si="13">Z5*H5</f>
        <v>0.10472040000000001</v>
      </c>
      <c r="AB5" s="122"/>
      <c r="AC5" s="244">
        <f>($K5+$M5)*cARF*0.5</f>
        <v>0</v>
      </c>
      <c r="AD5" s="245">
        <f>$L5*cRFR*0.5</f>
        <v>144</v>
      </c>
      <c r="AE5" s="245">
        <f>$N5*cRM*0.5</f>
        <v>0</v>
      </c>
      <c r="AF5" s="245">
        <f>$O5*cRH*0.5</f>
        <v>0</v>
      </c>
      <c r="AG5" s="245">
        <f>$P5*cRS*0.5</f>
        <v>0</v>
      </c>
      <c r="AH5" s="245">
        <f t="shared" ref="AH5:AH68" si="14">SUM(AC5:AG5)</f>
        <v>144</v>
      </c>
      <c r="AI5" s="247">
        <f t="shared" ref="AI5:AI36" si="15">AH5*H5</f>
        <v>144</v>
      </c>
    </row>
    <row r="6" spans="1:35">
      <c r="A6" s="122"/>
      <c r="B6" s="241">
        <v>2</v>
      </c>
      <c r="C6" s="248">
        <f>'Other parameters'!$D$15</f>
        <v>3.0620000000000001E-3</v>
      </c>
      <c r="D6" s="242">
        <f>'Other parameters'!$G$15</f>
        <v>68.400000000000006</v>
      </c>
      <c r="E6" s="248">
        <f t="shared" si="0"/>
        <v>0</v>
      </c>
      <c r="F6" s="248">
        <f t="shared" si="1"/>
        <v>0</v>
      </c>
      <c r="G6" s="248">
        <f t="shared" si="2"/>
        <v>0</v>
      </c>
      <c r="H6" s="249">
        <f t="shared" si="3"/>
        <v>0.970873786407767</v>
      </c>
      <c r="I6" s="122"/>
      <c r="J6" s="244">
        <v>0</v>
      </c>
      <c r="K6" s="245">
        <v>0</v>
      </c>
      <c r="L6" s="245">
        <f t="shared" si="4"/>
        <v>1</v>
      </c>
      <c r="M6" s="245">
        <f t="shared" si="5"/>
        <v>0</v>
      </c>
      <c r="N6" s="245">
        <f t="shared" si="6"/>
        <v>0</v>
      </c>
      <c r="O6" s="245">
        <f t="shared" si="7"/>
        <v>0</v>
      </c>
      <c r="P6" s="245">
        <f t="shared" si="8"/>
        <v>0</v>
      </c>
      <c r="Q6" s="245">
        <f t="shared" si="9"/>
        <v>0</v>
      </c>
      <c r="R6" s="243">
        <f t="shared" si="10"/>
        <v>1</v>
      </c>
      <c r="S6" s="122"/>
      <c r="T6" s="244">
        <f t="shared" si="11"/>
        <v>3.0620000000000001E-3</v>
      </c>
      <c r="U6" s="246">
        <f t="shared" ref="U6:U69" si="16">$D6*T6</f>
        <v>0.20944080000000001</v>
      </c>
      <c r="V6" s="246">
        <f t="shared" ref="V6:V69" si="17">($K6+$M6)*wAR</f>
        <v>0</v>
      </c>
      <c r="W6" s="246">
        <f t="shared" ref="W6:W69" si="18">$N6*wRM</f>
        <v>0</v>
      </c>
      <c r="X6" s="246">
        <f t="shared" ref="X6:X69" si="19">$O6*wRH</f>
        <v>0</v>
      </c>
      <c r="Y6" s="246">
        <f t="shared" ref="Y6:Y69" si="20">$P6*wRS</f>
        <v>0</v>
      </c>
      <c r="Z6" s="246">
        <f t="shared" si="12"/>
        <v>0.20944080000000001</v>
      </c>
      <c r="AA6" s="247">
        <f t="shared" si="13"/>
        <v>0.20334058252427187</v>
      </c>
      <c r="AB6" s="122"/>
      <c r="AC6" s="244">
        <f t="shared" ref="AC6:AC69" si="21">($K6+$M6)*cARF</f>
        <v>0</v>
      </c>
      <c r="AD6" s="245">
        <f t="shared" ref="AD6:AD69" si="22">$L6*cRFR</f>
        <v>288</v>
      </c>
      <c r="AE6" s="245">
        <f t="shared" ref="AE6:AE69" si="23">$N6*cRM</f>
        <v>0</v>
      </c>
      <c r="AF6" s="245">
        <f t="shared" ref="AF6:AF69" si="24">$O6*cRH</f>
        <v>0</v>
      </c>
      <c r="AG6" s="245">
        <f t="shared" ref="AG6:AG69" si="25">$P6*cRS</f>
        <v>0</v>
      </c>
      <c r="AH6" s="245">
        <f t="shared" si="14"/>
        <v>288</v>
      </c>
      <c r="AI6" s="247">
        <f t="shared" si="15"/>
        <v>279.61165048543688</v>
      </c>
    </row>
    <row r="7" spans="1:35">
      <c r="A7" s="122"/>
      <c r="B7" s="241">
        <v>3</v>
      </c>
      <c r="C7" s="248">
        <f>'Other parameters'!$D$15</f>
        <v>3.0620000000000001E-3</v>
      </c>
      <c r="D7" s="242">
        <f>'Other parameters'!$G$15</f>
        <v>68.400000000000006</v>
      </c>
      <c r="E7" s="248">
        <f t="shared" si="0"/>
        <v>0</v>
      </c>
      <c r="F7" s="248">
        <f t="shared" si="1"/>
        <v>0</v>
      </c>
      <c r="G7" s="248">
        <f t="shared" si="2"/>
        <v>0</v>
      </c>
      <c r="H7" s="249">
        <f t="shared" si="3"/>
        <v>0.94259590913375435</v>
      </c>
      <c r="I7" s="122"/>
      <c r="J7" s="244">
        <v>0</v>
      </c>
      <c r="K7" s="245">
        <v>0</v>
      </c>
      <c r="L7" s="245">
        <f t="shared" si="4"/>
        <v>1</v>
      </c>
      <c r="M7" s="245">
        <f t="shared" si="5"/>
        <v>0</v>
      </c>
      <c r="N7" s="245">
        <f t="shared" si="6"/>
        <v>0</v>
      </c>
      <c r="O7" s="245">
        <f t="shared" si="7"/>
        <v>0</v>
      </c>
      <c r="P7" s="245">
        <f t="shared" si="8"/>
        <v>0</v>
      </c>
      <c r="Q7" s="245">
        <f t="shared" si="9"/>
        <v>0</v>
      </c>
      <c r="R7" s="243">
        <f t="shared" si="10"/>
        <v>1</v>
      </c>
      <c r="S7" s="122"/>
      <c r="T7" s="244">
        <f t="shared" si="11"/>
        <v>3.0620000000000001E-3</v>
      </c>
      <c r="U7" s="246">
        <f t="shared" si="16"/>
        <v>0.20944080000000001</v>
      </c>
      <c r="V7" s="246">
        <f t="shared" si="17"/>
        <v>0</v>
      </c>
      <c r="W7" s="246">
        <f t="shared" si="18"/>
        <v>0</v>
      </c>
      <c r="X7" s="246">
        <f t="shared" si="19"/>
        <v>0</v>
      </c>
      <c r="Y7" s="246">
        <f t="shared" si="20"/>
        <v>0</v>
      </c>
      <c r="Z7" s="246">
        <f t="shared" si="12"/>
        <v>0.20944080000000001</v>
      </c>
      <c r="AA7" s="247">
        <f t="shared" si="13"/>
        <v>0.19741804128570084</v>
      </c>
      <c r="AB7" s="122"/>
      <c r="AC7" s="244">
        <f t="shared" si="21"/>
        <v>0</v>
      </c>
      <c r="AD7" s="245">
        <f t="shared" si="22"/>
        <v>288</v>
      </c>
      <c r="AE7" s="245">
        <f t="shared" si="23"/>
        <v>0</v>
      </c>
      <c r="AF7" s="245">
        <f t="shared" si="24"/>
        <v>0</v>
      </c>
      <c r="AG7" s="245">
        <f t="shared" si="25"/>
        <v>0</v>
      </c>
      <c r="AH7" s="245">
        <f t="shared" si="14"/>
        <v>288</v>
      </c>
      <c r="AI7" s="247">
        <f t="shared" si="15"/>
        <v>271.46762183052124</v>
      </c>
    </row>
    <row r="8" spans="1:35">
      <c r="A8" s="122"/>
      <c r="B8" s="241">
        <v>4</v>
      </c>
      <c r="C8" s="248">
        <f>'Other parameters'!$D$15</f>
        <v>3.0620000000000001E-3</v>
      </c>
      <c r="D8" s="242">
        <f>'Other parameters'!$G$15</f>
        <v>68.400000000000006</v>
      </c>
      <c r="E8" s="248">
        <f t="shared" si="0"/>
        <v>0</v>
      </c>
      <c r="F8" s="248">
        <f t="shared" si="1"/>
        <v>0</v>
      </c>
      <c r="G8" s="248">
        <f t="shared" si="2"/>
        <v>0</v>
      </c>
      <c r="H8" s="249">
        <f t="shared" si="3"/>
        <v>0.91514165935315961</v>
      </c>
      <c r="I8" s="122"/>
      <c r="J8" s="244">
        <v>0</v>
      </c>
      <c r="K8" s="245">
        <v>0</v>
      </c>
      <c r="L8" s="245">
        <f t="shared" si="4"/>
        <v>1</v>
      </c>
      <c r="M8" s="245">
        <f t="shared" si="5"/>
        <v>0</v>
      </c>
      <c r="N8" s="245">
        <f t="shared" si="6"/>
        <v>0</v>
      </c>
      <c r="O8" s="245">
        <f t="shared" si="7"/>
        <v>0</v>
      </c>
      <c r="P8" s="245">
        <f t="shared" si="8"/>
        <v>0</v>
      </c>
      <c r="Q8" s="245">
        <f t="shared" si="9"/>
        <v>0</v>
      </c>
      <c r="R8" s="243">
        <f t="shared" si="10"/>
        <v>1</v>
      </c>
      <c r="S8" s="122"/>
      <c r="T8" s="244">
        <f t="shared" si="11"/>
        <v>3.0620000000000001E-3</v>
      </c>
      <c r="U8" s="246">
        <f t="shared" si="16"/>
        <v>0.20944080000000001</v>
      </c>
      <c r="V8" s="246">
        <f t="shared" si="17"/>
        <v>0</v>
      </c>
      <c r="W8" s="246">
        <f t="shared" si="18"/>
        <v>0</v>
      </c>
      <c r="X8" s="246">
        <f t="shared" si="19"/>
        <v>0</v>
      </c>
      <c r="Y8" s="246">
        <f t="shared" si="20"/>
        <v>0</v>
      </c>
      <c r="Z8" s="246">
        <f t="shared" si="12"/>
        <v>0.20944080000000001</v>
      </c>
      <c r="AA8" s="247">
        <f t="shared" si="13"/>
        <v>0.19166800124825323</v>
      </c>
      <c r="AB8" s="122"/>
      <c r="AC8" s="244">
        <f t="shared" si="21"/>
        <v>0</v>
      </c>
      <c r="AD8" s="245">
        <f t="shared" si="22"/>
        <v>288</v>
      </c>
      <c r="AE8" s="245">
        <f t="shared" si="23"/>
        <v>0</v>
      </c>
      <c r="AF8" s="245">
        <f t="shared" si="24"/>
        <v>0</v>
      </c>
      <c r="AG8" s="245">
        <f t="shared" si="25"/>
        <v>0</v>
      </c>
      <c r="AH8" s="245">
        <f t="shared" si="14"/>
        <v>288</v>
      </c>
      <c r="AI8" s="247">
        <f t="shared" si="15"/>
        <v>263.56079789370995</v>
      </c>
    </row>
    <row r="9" spans="1:35">
      <c r="A9" s="122"/>
      <c r="B9" s="241">
        <v>5</v>
      </c>
      <c r="C9" s="248">
        <f>'Other parameters'!$D$16</f>
        <v>2.2790000000000002E-3</v>
      </c>
      <c r="D9" s="242">
        <f>'Other parameters'!$G$16</f>
        <v>65.5</v>
      </c>
      <c r="E9" s="248">
        <f t="shared" si="0"/>
        <v>0</v>
      </c>
      <c r="F9" s="248">
        <f t="shared" si="1"/>
        <v>0</v>
      </c>
      <c r="G9" s="248">
        <f t="shared" si="2"/>
        <v>0</v>
      </c>
      <c r="H9" s="249">
        <f t="shared" si="3"/>
        <v>0.888487047915689</v>
      </c>
      <c r="I9" s="122"/>
      <c r="J9" s="244">
        <v>0</v>
      </c>
      <c r="K9" s="245">
        <v>0</v>
      </c>
      <c r="L9" s="245">
        <f t="shared" si="4"/>
        <v>1</v>
      </c>
      <c r="M9" s="245">
        <f t="shared" si="5"/>
        <v>0</v>
      </c>
      <c r="N9" s="245">
        <f t="shared" si="6"/>
        <v>0</v>
      </c>
      <c r="O9" s="245">
        <f t="shared" si="7"/>
        <v>0</v>
      </c>
      <c r="P9" s="245">
        <f t="shared" si="8"/>
        <v>0</v>
      </c>
      <c r="Q9" s="245">
        <f t="shared" si="9"/>
        <v>0</v>
      </c>
      <c r="R9" s="243">
        <f t="shared" si="10"/>
        <v>1</v>
      </c>
      <c r="S9" s="122"/>
      <c r="T9" s="244">
        <f t="shared" si="11"/>
        <v>2.2790000000000002E-3</v>
      </c>
      <c r="U9" s="246">
        <f t="shared" si="16"/>
        <v>0.1492745</v>
      </c>
      <c r="V9" s="246">
        <f t="shared" si="17"/>
        <v>0</v>
      </c>
      <c r="W9" s="246">
        <f t="shared" si="18"/>
        <v>0</v>
      </c>
      <c r="X9" s="246">
        <f t="shared" si="19"/>
        <v>0</v>
      </c>
      <c r="Y9" s="246">
        <f t="shared" si="20"/>
        <v>0</v>
      </c>
      <c r="Z9" s="246">
        <f t="shared" si="12"/>
        <v>0.1492745</v>
      </c>
      <c r="AA9" s="247">
        <f t="shared" si="13"/>
        <v>0.13262845983409052</v>
      </c>
      <c r="AB9" s="122"/>
      <c r="AC9" s="244">
        <f t="shared" si="21"/>
        <v>0</v>
      </c>
      <c r="AD9" s="245">
        <f t="shared" si="22"/>
        <v>288</v>
      </c>
      <c r="AE9" s="245">
        <f t="shared" si="23"/>
        <v>0</v>
      </c>
      <c r="AF9" s="245">
        <f t="shared" si="24"/>
        <v>0</v>
      </c>
      <c r="AG9" s="245">
        <f t="shared" si="25"/>
        <v>0</v>
      </c>
      <c r="AH9" s="245">
        <f t="shared" si="14"/>
        <v>288</v>
      </c>
      <c r="AI9" s="247">
        <f t="shared" si="15"/>
        <v>255.88426979971842</v>
      </c>
    </row>
    <row r="10" spans="1:35">
      <c r="A10" s="122"/>
      <c r="B10" s="241">
        <v>6</v>
      </c>
      <c r="C10" s="248">
        <f>'Other parameters'!$D$16</f>
        <v>2.2790000000000002E-3</v>
      </c>
      <c r="D10" s="242">
        <f>'Other parameters'!$G$16</f>
        <v>65.5</v>
      </c>
      <c r="E10" s="248">
        <f t="shared" si="0"/>
        <v>0</v>
      </c>
      <c r="F10" s="248">
        <f t="shared" si="1"/>
        <v>0</v>
      </c>
      <c r="G10" s="248">
        <f t="shared" si="2"/>
        <v>0</v>
      </c>
      <c r="H10" s="249">
        <f t="shared" si="3"/>
        <v>0.86260878438416411</v>
      </c>
      <c r="I10" s="122"/>
      <c r="J10" s="244">
        <v>0</v>
      </c>
      <c r="K10" s="245">
        <v>0</v>
      </c>
      <c r="L10" s="245">
        <f t="shared" si="4"/>
        <v>1</v>
      </c>
      <c r="M10" s="245">
        <f t="shared" si="5"/>
        <v>0</v>
      </c>
      <c r="N10" s="245">
        <f t="shared" si="6"/>
        <v>0</v>
      </c>
      <c r="O10" s="245">
        <f t="shared" si="7"/>
        <v>0</v>
      </c>
      <c r="P10" s="245">
        <f t="shared" si="8"/>
        <v>0</v>
      </c>
      <c r="Q10" s="245">
        <f t="shared" si="9"/>
        <v>0</v>
      </c>
      <c r="R10" s="243">
        <f t="shared" si="10"/>
        <v>1</v>
      </c>
      <c r="S10" s="122"/>
      <c r="T10" s="244">
        <f t="shared" si="11"/>
        <v>2.2790000000000002E-3</v>
      </c>
      <c r="U10" s="246">
        <f t="shared" si="16"/>
        <v>0.1492745</v>
      </c>
      <c r="V10" s="246">
        <f t="shared" si="17"/>
        <v>0</v>
      </c>
      <c r="W10" s="246">
        <f t="shared" si="18"/>
        <v>0</v>
      </c>
      <c r="X10" s="246">
        <f t="shared" si="19"/>
        <v>0</v>
      </c>
      <c r="Y10" s="246">
        <f t="shared" si="20"/>
        <v>0</v>
      </c>
      <c r="Z10" s="246">
        <f t="shared" si="12"/>
        <v>0.1492745</v>
      </c>
      <c r="AA10" s="247">
        <f t="shared" si="13"/>
        <v>0.12876549498455392</v>
      </c>
      <c r="AB10" s="122"/>
      <c r="AC10" s="244">
        <f t="shared" si="21"/>
        <v>0</v>
      </c>
      <c r="AD10" s="245">
        <f t="shared" si="22"/>
        <v>288</v>
      </c>
      <c r="AE10" s="245">
        <f t="shared" si="23"/>
        <v>0</v>
      </c>
      <c r="AF10" s="245">
        <f t="shared" si="24"/>
        <v>0</v>
      </c>
      <c r="AG10" s="245">
        <f t="shared" si="25"/>
        <v>0</v>
      </c>
      <c r="AH10" s="245">
        <f t="shared" si="14"/>
        <v>288</v>
      </c>
      <c r="AI10" s="247">
        <f t="shared" si="15"/>
        <v>248.43132990263928</v>
      </c>
    </row>
    <row r="11" spans="1:35">
      <c r="A11" s="122"/>
      <c r="B11" s="241">
        <v>7</v>
      </c>
      <c r="C11" s="248">
        <f>'Other parameters'!$D$16</f>
        <v>2.2790000000000002E-3</v>
      </c>
      <c r="D11" s="242">
        <f>'Other parameters'!$G$16</f>
        <v>65.5</v>
      </c>
      <c r="E11" s="248">
        <f t="shared" si="0"/>
        <v>0</v>
      </c>
      <c r="F11" s="248">
        <f t="shared" si="1"/>
        <v>0</v>
      </c>
      <c r="G11" s="248">
        <f t="shared" si="2"/>
        <v>0</v>
      </c>
      <c r="H11" s="249">
        <f t="shared" si="3"/>
        <v>0.83748425668365445</v>
      </c>
      <c r="I11" s="122"/>
      <c r="J11" s="244">
        <v>0</v>
      </c>
      <c r="K11" s="245">
        <v>0</v>
      </c>
      <c r="L11" s="245">
        <f t="shared" si="4"/>
        <v>1</v>
      </c>
      <c r="M11" s="245">
        <f t="shared" si="5"/>
        <v>0</v>
      </c>
      <c r="N11" s="245">
        <f t="shared" si="6"/>
        <v>0</v>
      </c>
      <c r="O11" s="245">
        <f t="shared" si="7"/>
        <v>0</v>
      </c>
      <c r="P11" s="245">
        <f t="shared" si="8"/>
        <v>0</v>
      </c>
      <c r="Q11" s="245">
        <f t="shared" si="9"/>
        <v>0</v>
      </c>
      <c r="R11" s="243">
        <f t="shared" si="10"/>
        <v>1</v>
      </c>
      <c r="S11" s="122"/>
      <c r="T11" s="244">
        <f t="shared" si="11"/>
        <v>2.2790000000000002E-3</v>
      </c>
      <c r="U11" s="246">
        <f t="shared" si="16"/>
        <v>0.1492745</v>
      </c>
      <c r="V11" s="246">
        <f t="shared" si="17"/>
        <v>0</v>
      </c>
      <c r="W11" s="246">
        <f t="shared" si="18"/>
        <v>0</v>
      </c>
      <c r="X11" s="246">
        <f t="shared" si="19"/>
        <v>0</v>
      </c>
      <c r="Y11" s="246">
        <f t="shared" si="20"/>
        <v>0</v>
      </c>
      <c r="Z11" s="246">
        <f t="shared" si="12"/>
        <v>0.1492745</v>
      </c>
      <c r="AA11" s="247">
        <f t="shared" si="13"/>
        <v>0.12501504367432417</v>
      </c>
      <c r="AB11" s="122"/>
      <c r="AC11" s="244">
        <f t="shared" si="21"/>
        <v>0</v>
      </c>
      <c r="AD11" s="245">
        <f t="shared" si="22"/>
        <v>288</v>
      </c>
      <c r="AE11" s="245">
        <f t="shared" si="23"/>
        <v>0</v>
      </c>
      <c r="AF11" s="245">
        <f t="shared" si="24"/>
        <v>0</v>
      </c>
      <c r="AG11" s="245">
        <f t="shared" si="25"/>
        <v>0</v>
      </c>
      <c r="AH11" s="245">
        <f t="shared" si="14"/>
        <v>288</v>
      </c>
      <c r="AI11" s="247">
        <f t="shared" si="15"/>
        <v>241.19546592489249</v>
      </c>
    </row>
    <row r="12" spans="1:35">
      <c r="A12" s="122"/>
      <c r="B12" s="241">
        <v>8</v>
      </c>
      <c r="C12" s="248">
        <f>'Other parameters'!$D$16</f>
        <v>2.2790000000000002E-3</v>
      </c>
      <c r="D12" s="242">
        <f>'Other parameters'!$G$16</f>
        <v>65.5</v>
      </c>
      <c r="E12" s="248">
        <f t="shared" si="0"/>
        <v>4.194E-4</v>
      </c>
      <c r="F12" s="248">
        <f t="shared" si="1"/>
        <v>0</v>
      </c>
      <c r="G12" s="248">
        <f t="shared" si="2"/>
        <v>0</v>
      </c>
      <c r="H12" s="249">
        <f t="shared" si="3"/>
        <v>0.81309151134335378</v>
      </c>
      <c r="I12" s="122"/>
      <c r="J12" s="244">
        <v>0</v>
      </c>
      <c r="K12" s="245">
        <v>0</v>
      </c>
      <c r="L12" s="245">
        <f t="shared" si="4"/>
        <v>1</v>
      </c>
      <c r="M12" s="245">
        <f t="shared" si="5"/>
        <v>0</v>
      </c>
      <c r="N12" s="245">
        <f t="shared" si="6"/>
        <v>0</v>
      </c>
      <c r="O12" s="245">
        <f t="shared" si="7"/>
        <v>0</v>
      </c>
      <c r="P12" s="245">
        <f t="shared" si="8"/>
        <v>0</v>
      </c>
      <c r="Q12" s="245">
        <f t="shared" si="9"/>
        <v>0</v>
      </c>
      <c r="R12" s="243">
        <f>SUM(J12:Q12)</f>
        <v>1</v>
      </c>
      <c r="S12" s="122"/>
      <c r="T12" s="244">
        <f t="shared" si="11"/>
        <v>2.2790000000000002E-3</v>
      </c>
      <c r="U12" s="246">
        <f t="shared" si="16"/>
        <v>0.1492745</v>
      </c>
      <c r="V12" s="246">
        <f t="shared" si="17"/>
        <v>0</v>
      </c>
      <c r="W12" s="246">
        <f t="shared" si="18"/>
        <v>0</v>
      </c>
      <c r="X12" s="246">
        <f t="shared" si="19"/>
        <v>0</v>
      </c>
      <c r="Y12" s="246">
        <f t="shared" si="20"/>
        <v>0</v>
      </c>
      <c r="Z12" s="246">
        <f t="shared" si="12"/>
        <v>0.1492745</v>
      </c>
      <c r="AA12" s="247">
        <f t="shared" si="13"/>
        <v>0.12137382881002347</v>
      </c>
      <c r="AB12" s="122"/>
      <c r="AC12" s="244">
        <f t="shared" si="21"/>
        <v>0</v>
      </c>
      <c r="AD12" s="245">
        <f t="shared" si="22"/>
        <v>288</v>
      </c>
      <c r="AE12" s="245">
        <f t="shared" si="23"/>
        <v>0</v>
      </c>
      <c r="AF12" s="245">
        <f t="shared" si="24"/>
        <v>0</v>
      </c>
      <c r="AG12" s="245">
        <f t="shared" si="25"/>
        <v>0</v>
      </c>
      <c r="AH12" s="245">
        <f t="shared" si="14"/>
        <v>288</v>
      </c>
      <c r="AI12" s="247">
        <f t="shared" si="15"/>
        <v>234.17035526688588</v>
      </c>
    </row>
    <row r="13" spans="1:35">
      <c r="A13" s="122"/>
      <c r="B13" s="241">
        <v>9</v>
      </c>
      <c r="C13" s="248">
        <f>'Other parameters'!$D$16</f>
        <v>2.2790000000000002E-3</v>
      </c>
      <c r="D13" s="242">
        <f>'Other parameters'!$G$16</f>
        <v>65.5</v>
      </c>
      <c r="E13" s="248">
        <f t="shared" si="0"/>
        <v>4.194E-4</v>
      </c>
      <c r="F13" s="248">
        <f t="shared" si="1"/>
        <v>0</v>
      </c>
      <c r="G13" s="248">
        <f t="shared" si="2"/>
        <v>0</v>
      </c>
      <c r="H13" s="249">
        <f t="shared" si="3"/>
        <v>0.78940923431393573</v>
      </c>
      <c r="I13" s="122"/>
      <c r="J13" s="244">
        <v>0</v>
      </c>
      <c r="K13" s="245">
        <v>0</v>
      </c>
      <c r="L13" s="245">
        <f t="shared" si="4"/>
        <v>1</v>
      </c>
      <c r="M13" s="245">
        <f t="shared" si="5"/>
        <v>0</v>
      </c>
      <c r="N13" s="245">
        <f t="shared" si="6"/>
        <v>0</v>
      </c>
      <c r="O13" s="245">
        <f t="shared" si="7"/>
        <v>0</v>
      </c>
      <c r="P13" s="245">
        <f t="shared" si="8"/>
        <v>0</v>
      </c>
      <c r="Q13" s="245">
        <f t="shared" si="9"/>
        <v>0</v>
      </c>
      <c r="R13" s="243">
        <f t="shared" ref="R13:R76" si="26">SUM(J13:Q13)</f>
        <v>1</v>
      </c>
      <c r="S13" s="122"/>
      <c r="T13" s="244">
        <f t="shared" si="11"/>
        <v>2.2790000000000002E-3</v>
      </c>
      <c r="U13" s="246">
        <f t="shared" si="16"/>
        <v>0.1492745</v>
      </c>
      <c r="V13" s="246">
        <f t="shared" si="17"/>
        <v>0</v>
      </c>
      <c r="W13" s="246">
        <f t="shared" si="18"/>
        <v>0</v>
      </c>
      <c r="X13" s="246">
        <f t="shared" si="19"/>
        <v>0</v>
      </c>
      <c r="Y13" s="246">
        <f t="shared" si="20"/>
        <v>0</v>
      </c>
      <c r="Z13" s="246">
        <f t="shared" si="12"/>
        <v>0.1492745</v>
      </c>
      <c r="AA13" s="247">
        <f t="shared" si="13"/>
        <v>0.1178386687475956</v>
      </c>
      <c r="AB13" s="122"/>
      <c r="AC13" s="244">
        <f t="shared" si="21"/>
        <v>0</v>
      </c>
      <c r="AD13" s="245">
        <f t="shared" si="22"/>
        <v>288</v>
      </c>
      <c r="AE13" s="245">
        <f t="shared" si="23"/>
        <v>0</v>
      </c>
      <c r="AF13" s="245">
        <f t="shared" si="24"/>
        <v>0</v>
      </c>
      <c r="AG13" s="245">
        <f t="shared" si="25"/>
        <v>0</v>
      </c>
      <c r="AH13" s="245">
        <f t="shared" si="14"/>
        <v>288</v>
      </c>
      <c r="AI13" s="247">
        <f t="shared" si="15"/>
        <v>227.34985948241348</v>
      </c>
    </row>
    <row r="14" spans="1:35">
      <c r="A14" s="122"/>
      <c r="B14" s="241">
        <v>10</v>
      </c>
      <c r="C14" s="248">
        <f>'Other parameters'!$D$17</f>
        <v>1.7776000000000001E-3</v>
      </c>
      <c r="D14" s="242">
        <f>'Other parameters'!$G$17</f>
        <v>61.2</v>
      </c>
      <c r="E14" s="248">
        <f t="shared" si="0"/>
        <v>4.194E-4</v>
      </c>
      <c r="F14" s="248">
        <f t="shared" si="1"/>
        <v>0</v>
      </c>
      <c r="G14" s="248">
        <f t="shared" si="2"/>
        <v>0</v>
      </c>
      <c r="H14" s="249">
        <f t="shared" si="3"/>
        <v>0.76641673234362695</v>
      </c>
      <c r="I14" s="122"/>
      <c r="J14" s="244">
        <v>0</v>
      </c>
      <c r="K14" s="245">
        <v>0</v>
      </c>
      <c r="L14" s="245">
        <f t="shared" si="4"/>
        <v>1</v>
      </c>
      <c r="M14" s="245">
        <f t="shared" si="5"/>
        <v>0</v>
      </c>
      <c r="N14" s="245">
        <f t="shared" si="6"/>
        <v>0</v>
      </c>
      <c r="O14" s="245">
        <f t="shared" si="7"/>
        <v>0</v>
      </c>
      <c r="P14" s="245">
        <f t="shared" si="8"/>
        <v>0</v>
      </c>
      <c r="Q14" s="245">
        <f t="shared" si="9"/>
        <v>0</v>
      </c>
      <c r="R14" s="243">
        <f t="shared" si="26"/>
        <v>1</v>
      </c>
      <c r="S14" s="122"/>
      <c r="T14" s="244">
        <f t="shared" si="11"/>
        <v>1.7776000000000001E-3</v>
      </c>
      <c r="U14" s="246">
        <f t="shared" si="16"/>
        <v>0.10878912</v>
      </c>
      <c r="V14" s="246">
        <f t="shared" si="17"/>
        <v>0</v>
      </c>
      <c r="W14" s="246">
        <f t="shared" si="18"/>
        <v>0</v>
      </c>
      <c r="X14" s="246">
        <f t="shared" si="19"/>
        <v>0</v>
      </c>
      <c r="Y14" s="246">
        <f t="shared" si="20"/>
        <v>0</v>
      </c>
      <c r="Z14" s="246">
        <f t="shared" si="12"/>
        <v>0.10878912</v>
      </c>
      <c r="AA14" s="247">
        <f t="shared" si="13"/>
        <v>8.3377801864938719E-2</v>
      </c>
      <c r="AB14" s="122"/>
      <c r="AC14" s="244">
        <f t="shared" si="21"/>
        <v>0</v>
      </c>
      <c r="AD14" s="245">
        <f t="shared" si="22"/>
        <v>288</v>
      </c>
      <c r="AE14" s="245">
        <f t="shared" si="23"/>
        <v>0</v>
      </c>
      <c r="AF14" s="245">
        <f t="shared" si="24"/>
        <v>0</v>
      </c>
      <c r="AG14" s="245">
        <f t="shared" si="25"/>
        <v>0</v>
      </c>
      <c r="AH14" s="245">
        <f t="shared" si="14"/>
        <v>288</v>
      </c>
      <c r="AI14" s="247">
        <f t="shared" si="15"/>
        <v>220.72801891496457</v>
      </c>
    </row>
    <row r="15" spans="1:35">
      <c r="A15" s="122"/>
      <c r="B15" s="241">
        <v>11</v>
      </c>
      <c r="C15" s="248">
        <f>'Other parameters'!$D$17</f>
        <v>1.7776000000000001E-3</v>
      </c>
      <c r="D15" s="242">
        <f>'Other parameters'!$G$17</f>
        <v>61.2</v>
      </c>
      <c r="E15" s="248">
        <f t="shared" si="0"/>
        <v>4.194E-4</v>
      </c>
      <c r="F15" s="248">
        <f t="shared" si="1"/>
        <v>0</v>
      </c>
      <c r="G15" s="248">
        <f t="shared" si="2"/>
        <v>0</v>
      </c>
      <c r="H15" s="249">
        <f t="shared" si="3"/>
        <v>0.74409391489672516</v>
      </c>
      <c r="I15" s="122"/>
      <c r="J15" s="244">
        <v>0</v>
      </c>
      <c r="K15" s="245">
        <v>0</v>
      </c>
      <c r="L15" s="245">
        <f t="shared" si="4"/>
        <v>1</v>
      </c>
      <c r="M15" s="245">
        <f t="shared" si="5"/>
        <v>0</v>
      </c>
      <c r="N15" s="245">
        <f t="shared" si="6"/>
        <v>0</v>
      </c>
      <c r="O15" s="245">
        <f t="shared" si="7"/>
        <v>0</v>
      </c>
      <c r="P15" s="245">
        <f t="shared" si="8"/>
        <v>0</v>
      </c>
      <c r="Q15" s="245">
        <f t="shared" si="9"/>
        <v>0</v>
      </c>
      <c r="R15" s="243">
        <f t="shared" si="26"/>
        <v>1</v>
      </c>
      <c r="S15" s="122"/>
      <c r="T15" s="244">
        <f t="shared" si="11"/>
        <v>1.7776000000000001E-3</v>
      </c>
      <c r="U15" s="246">
        <f t="shared" si="16"/>
        <v>0.10878912</v>
      </c>
      <c r="V15" s="246">
        <f t="shared" si="17"/>
        <v>0</v>
      </c>
      <c r="W15" s="246">
        <f t="shared" si="18"/>
        <v>0</v>
      </c>
      <c r="X15" s="246">
        <f t="shared" si="19"/>
        <v>0</v>
      </c>
      <c r="Y15" s="246">
        <f t="shared" si="20"/>
        <v>0</v>
      </c>
      <c r="Z15" s="246">
        <f t="shared" si="12"/>
        <v>0.10878912</v>
      </c>
      <c r="AA15" s="247">
        <f t="shared" si="13"/>
        <v>8.0949322198969623E-2</v>
      </c>
      <c r="AB15" s="122"/>
      <c r="AC15" s="244">
        <f t="shared" si="21"/>
        <v>0</v>
      </c>
      <c r="AD15" s="245">
        <f t="shared" si="22"/>
        <v>288</v>
      </c>
      <c r="AE15" s="245">
        <f t="shared" si="23"/>
        <v>0</v>
      </c>
      <c r="AF15" s="245">
        <f t="shared" si="24"/>
        <v>0</v>
      </c>
      <c r="AG15" s="245">
        <f t="shared" si="25"/>
        <v>0</v>
      </c>
      <c r="AH15" s="245">
        <f t="shared" si="14"/>
        <v>288</v>
      </c>
      <c r="AI15" s="247">
        <f t="shared" si="15"/>
        <v>214.29904749025684</v>
      </c>
    </row>
    <row r="16" spans="1:35">
      <c r="A16" s="122"/>
      <c r="B16" s="241">
        <v>12</v>
      </c>
      <c r="C16" s="248">
        <f>'Other parameters'!$D$17</f>
        <v>1.7776000000000001E-3</v>
      </c>
      <c r="D16" s="242">
        <f>'Other parameters'!$G$17</f>
        <v>61.2</v>
      </c>
      <c r="E16" s="248">
        <f t="shared" si="0"/>
        <v>4.194E-4</v>
      </c>
      <c r="F16" s="248">
        <f t="shared" si="1"/>
        <v>5.5781249999999991E-2</v>
      </c>
      <c r="G16" s="248">
        <f t="shared" si="2"/>
        <v>0</v>
      </c>
      <c r="H16" s="249">
        <f t="shared" si="3"/>
        <v>0.72242127659876232</v>
      </c>
      <c r="I16" s="122"/>
      <c r="J16" s="244">
        <v>0</v>
      </c>
      <c r="K16" s="245">
        <v>0</v>
      </c>
      <c r="L16" s="245">
        <f t="shared" si="4"/>
        <v>0.94421875</v>
      </c>
      <c r="M16" s="245">
        <f t="shared" si="5"/>
        <v>5.5781249999999991E-2</v>
      </c>
      <c r="N16" s="245">
        <f t="shared" si="6"/>
        <v>0</v>
      </c>
      <c r="O16" s="245">
        <f t="shared" si="7"/>
        <v>0</v>
      </c>
      <c r="P16" s="245">
        <f t="shared" si="8"/>
        <v>0</v>
      </c>
      <c r="Q16" s="245">
        <f t="shared" si="9"/>
        <v>0</v>
      </c>
      <c r="R16" s="243">
        <f t="shared" si="26"/>
        <v>1</v>
      </c>
      <c r="S16" s="122"/>
      <c r="T16" s="244">
        <f t="shared" si="11"/>
        <v>1.7776000000000001E-3</v>
      </c>
      <c r="U16" s="246">
        <f t="shared" si="16"/>
        <v>0.10878912</v>
      </c>
      <c r="V16" s="246">
        <f t="shared" si="17"/>
        <v>2.8456078767123287E-4</v>
      </c>
      <c r="W16" s="246">
        <f t="shared" si="18"/>
        <v>0</v>
      </c>
      <c r="X16" s="246">
        <f t="shared" si="19"/>
        <v>0</v>
      </c>
      <c r="Y16" s="246">
        <f t="shared" si="20"/>
        <v>0</v>
      </c>
      <c r="Z16" s="246">
        <f t="shared" si="12"/>
        <v>0.10907368078767124</v>
      </c>
      <c r="AA16" s="247">
        <f t="shared" si="13"/>
        <v>7.8797147717955346E-2</v>
      </c>
      <c r="AB16" s="122"/>
      <c r="AC16" s="244">
        <f t="shared" si="21"/>
        <v>83.114062499999989</v>
      </c>
      <c r="AD16" s="245">
        <f t="shared" si="22"/>
        <v>271.935</v>
      </c>
      <c r="AE16" s="245">
        <f t="shared" si="23"/>
        <v>0</v>
      </c>
      <c r="AF16" s="245">
        <f t="shared" si="24"/>
        <v>0</v>
      </c>
      <c r="AG16" s="245">
        <f t="shared" si="25"/>
        <v>0</v>
      </c>
      <c r="AH16" s="245">
        <f t="shared" si="14"/>
        <v>355.04906249999999</v>
      </c>
      <c r="AI16" s="247">
        <f t="shared" si="15"/>
        <v>256.49499698644377</v>
      </c>
    </row>
    <row r="17" spans="1:35">
      <c r="A17" s="122"/>
      <c r="B17" s="241">
        <v>13</v>
      </c>
      <c r="C17" s="248">
        <f>'Other parameters'!$D$17</f>
        <v>1.7776000000000001E-3</v>
      </c>
      <c r="D17" s="242">
        <f>'Other parameters'!$G$17</f>
        <v>61.2</v>
      </c>
      <c r="E17" s="248">
        <f t="shared" si="0"/>
        <v>4.194E-4</v>
      </c>
      <c r="F17" s="248">
        <f t="shared" si="1"/>
        <v>5.5781249999999991E-2</v>
      </c>
      <c r="G17" s="248">
        <f t="shared" si="2"/>
        <v>0</v>
      </c>
      <c r="H17" s="249">
        <f t="shared" si="3"/>
        <v>0.70137988019297326</v>
      </c>
      <c r="I17" s="122"/>
      <c r="J17" s="244">
        <v>0</v>
      </c>
      <c r="K17" s="245">
        <v>0</v>
      </c>
      <c r="L17" s="245">
        <f t="shared" si="4"/>
        <v>0.90605217285156248</v>
      </c>
      <c r="M17" s="245">
        <f t="shared" si="5"/>
        <v>5.266970214843749E-2</v>
      </c>
      <c r="N17" s="245">
        <f t="shared" si="6"/>
        <v>4.0162499999999997E-2</v>
      </c>
      <c r="O17" s="245">
        <f t="shared" si="7"/>
        <v>0</v>
      </c>
      <c r="P17" s="245">
        <f t="shared" si="8"/>
        <v>0</v>
      </c>
      <c r="Q17" s="245">
        <f t="shared" si="9"/>
        <v>1.1156249999999999E-3</v>
      </c>
      <c r="R17" s="243">
        <f t="shared" si="26"/>
        <v>0.99999999999999989</v>
      </c>
      <c r="S17" s="122"/>
      <c r="T17" s="244">
        <f t="shared" si="11"/>
        <v>2.8932250000000001E-3</v>
      </c>
      <c r="U17" s="246">
        <f t="shared" si="16"/>
        <v>0.17706537000000003</v>
      </c>
      <c r="V17" s="246">
        <f t="shared" si="17"/>
        <v>2.6868763123394688E-4</v>
      </c>
      <c r="W17" s="246">
        <f t="shared" si="18"/>
        <v>1.6466624999999999E-3</v>
      </c>
      <c r="X17" s="246">
        <f t="shared" si="19"/>
        <v>0</v>
      </c>
      <c r="Y17" s="246">
        <f t="shared" si="20"/>
        <v>0</v>
      </c>
      <c r="Z17" s="246">
        <f t="shared" si="12"/>
        <v>0.17898072013123398</v>
      </c>
      <c r="AA17" s="247">
        <f t="shared" si="13"/>
        <v>0.12553347604249696</v>
      </c>
      <c r="AB17" s="122"/>
      <c r="AC17" s="244">
        <f t="shared" si="21"/>
        <v>78.477856201171861</v>
      </c>
      <c r="AD17" s="245">
        <f t="shared" si="22"/>
        <v>260.94302578125001</v>
      </c>
      <c r="AE17" s="245">
        <f t="shared" si="23"/>
        <v>24.784278749999999</v>
      </c>
      <c r="AF17" s="245">
        <f t="shared" si="24"/>
        <v>0</v>
      </c>
      <c r="AG17" s="245">
        <f t="shared" si="25"/>
        <v>0</v>
      </c>
      <c r="AH17" s="245">
        <f t="shared" si="14"/>
        <v>364.20516073242186</v>
      </c>
      <c r="AI17" s="247">
        <f t="shared" si="15"/>
        <v>255.44617200016862</v>
      </c>
    </row>
    <row r="18" spans="1:35">
      <c r="A18" s="122"/>
      <c r="B18" s="241">
        <v>14</v>
      </c>
      <c r="C18" s="248">
        <f>'Other parameters'!$D$17</f>
        <v>1.7776000000000001E-3</v>
      </c>
      <c r="D18" s="242">
        <f>'Other parameters'!$G$17</f>
        <v>61.2</v>
      </c>
      <c r="E18" s="248">
        <f t="shared" si="0"/>
        <v>4.194E-4</v>
      </c>
      <c r="F18" s="248">
        <f t="shared" si="1"/>
        <v>5.5781249999999991E-2</v>
      </c>
      <c r="G18" s="248">
        <f t="shared" si="2"/>
        <v>0</v>
      </c>
      <c r="H18" s="249">
        <f t="shared" si="3"/>
        <v>0.68095133999317792</v>
      </c>
      <c r="I18" s="122"/>
      <c r="J18" s="244">
        <v>0</v>
      </c>
      <c r="K18" s="245">
        <v>0</v>
      </c>
      <c r="L18" s="245">
        <f t="shared" si="4"/>
        <v>0.86920557264327991</v>
      </c>
      <c r="M18" s="245">
        <f t="shared" si="5"/>
        <v>5.0540722766876212E-2</v>
      </c>
      <c r="N18" s="245">
        <f t="shared" si="6"/>
        <v>7.7641738255854353E-2</v>
      </c>
      <c r="O18" s="245">
        <f t="shared" si="7"/>
        <v>3.2222789129712781E-4</v>
      </c>
      <c r="P18" s="245">
        <f t="shared" si="8"/>
        <v>1.2071939972352524E-4</v>
      </c>
      <c r="Q18" s="245">
        <f t="shared" si="9"/>
        <v>2.1690190429687495E-3</v>
      </c>
      <c r="R18" s="243">
        <f t="shared" si="26"/>
        <v>0.99999999999999978</v>
      </c>
      <c r="S18" s="122"/>
      <c r="T18" s="244">
        <f t="shared" si="11"/>
        <v>2.83099404296875E-3</v>
      </c>
      <c r="U18" s="246">
        <f t="shared" si="16"/>
        <v>0.17325683542968751</v>
      </c>
      <c r="V18" s="246">
        <f t="shared" si="17"/>
        <v>2.5782691997787264E-4</v>
      </c>
      <c r="W18" s="246">
        <f t="shared" si="18"/>
        <v>3.1833112684900287E-3</v>
      </c>
      <c r="X18" s="246">
        <f t="shared" si="19"/>
        <v>5.7678792542185876E-5</v>
      </c>
      <c r="Y18" s="246">
        <f t="shared" si="20"/>
        <v>8.4503579806467673E-6</v>
      </c>
      <c r="Z18" s="246">
        <f t="shared" si="12"/>
        <v>0.17676410276867821</v>
      </c>
      <c r="AA18" s="247">
        <f t="shared" si="13"/>
        <v>0.12036775264302324</v>
      </c>
      <c r="AB18" s="122"/>
      <c r="AC18" s="244">
        <f t="shared" si="21"/>
        <v>75.30567692264556</v>
      </c>
      <c r="AD18" s="245">
        <f t="shared" si="22"/>
        <v>250.3312049212646</v>
      </c>
      <c r="AE18" s="245">
        <f t="shared" si="23"/>
        <v>47.912716677687726</v>
      </c>
      <c r="AF18" s="245">
        <f t="shared" si="24"/>
        <v>0.30840431476048102</v>
      </c>
      <c r="AG18" s="245">
        <f t="shared" si="25"/>
        <v>7.4495941569387436E-2</v>
      </c>
      <c r="AH18" s="245">
        <f t="shared" si="14"/>
        <v>373.93249877792778</v>
      </c>
      <c r="AI18" s="247">
        <f t="shared" si="15"/>
        <v>254.62983610982729</v>
      </c>
    </row>
    <row r="19" spans="1:35">
      <c r="A19" s="122"/>
      <c r="B19" s="241">
        <v>15</v>
      </c>
      <c r="C19" s="248">
        <f>'Other parameters'!$D$18</f>
        <v>1.9608E-3</v>
      </c>
      <c r="D19" s="242">
        <f>'Other parameters'!$G$18</f>
        <v>56.7</v>
      </c>
      <c r="E19" s="248">
        <f t="shared" si="0"/>
        <v>4.194E-4</v>
      </c>
      <c r="F19" s="248">
        <f t="shared" si="1"/>
        <v>5.5781249999999991E-2</v>
      </c>
      <c r="G19" s="248">
        <f t="shared" si="2"/>
        <v>0</v>
      </c>
      <c r="H19" s="249">
        <f t="shared" si="3"/>
        <v>0.66111780581861923</v>
      </c>
      <c r="I19" s="122"/>
      <c r="J19" s="244">
        <v>0</v>
      </c>
      <c r="K19" s="245">
        <v>0</v>
      </c>
      <c r="L19" s="245">
        <f t="shared" si="4"/>
        <v>0.83386078721365975</v>
      </c>
      <c r="M19" s="245">
        <f t="shared" si="5"/>
        <v>4.8485373349007953E-2</v>
      </c>
      <c r="N19" s="245">
        <f t="shared" si="6"/>
        <v>0.11317475743093544</v>
      </c>
      <c r="O19" s="245">
        <f t="shared" si="7"/>
        <v>9.0487710099024644E-4</v>
      </c>
      <c r="P19" s="245">
        <f t="shared" si="8"/>
        <v>3.3393278093422321E-4</v>
      </c>
      <c r="Q19" s="245">
        <f t="shared" si="9"/>
        <v>3.2402721244722435E-3</v>
      </c>
      <c r="R19" s="243">
        <f t="shared" si="26"/>
        <v>0.99999999999999978</v>
      </c>
      <c r="S19" s="250"/>
      <c r="T19" s="244">
        <f t="shared" si="11"/>
        <v>3.0320530815034939E-3</v>
      </c>
      <c r="U19" s="246">
        <f t="shared" si="16"/>
        <v>0.17191740972124811</v>
      </c>
      <c r="V19" s="246">
        <f t="shared" si="17"/>
        <v>2.4734182239959676E-4</v>
      </c>
      <c r="W19" s="246">
        <f t="shared" si="18"/>
        <v>4.6401650546683531E-3</v>
      </c>
      <c r="X19" s="246">
        <f t="shared" si="19"/>
        <v>1.6197300107725411E-4</v>
      </c>
      <c r="Y19" s="246">
        <f t="shared" si="20"/>
        <v>2.3375294665395625E-5</v>
      </c>
      <c r="Z19" s="246">
        <f t="shared" si="12"/>
        <v>0.17699026489405872</v>
      </c>
      <c r="AA19" s="247">
        <f t="shared" si="13"/>
        <v>0.1170114155780163</v>
      </c>
      <c r="AB19" s="122"/>
      <c r="AC19" s="244">
        <f t="shared" si="21"/>
        <v>72.243206290021845</v>
      </c>
      <c r="AD19" s="245">
        <f t="shared" si="22"/>
        <v>240.15190671753402</v>
      </c>
      <c r="AE19" s="245">
        <f t="shared" si="23"/>
        <v>69.840142810630269</v>
      </c>
      <c r="AF19" s="245">
        <f t="shared" si="24"/>
        <v>0.86605787335776485</v>
      </c>
      <c r="AG19" s="245">
        <f t="shared" si="25"/>
        <v>0.20606991911450914</v>
      </c>
      <c r="AH19" s="245">
        <f t="shared" si="14"/>
        <v>383.30738361065841</v>
      </c>
      <c r="AI19" s="247">
        <f t="shared" si="15"/>
        <v>253.41133640675426</v>
      </c>
    </row>
    <row r="20" spans="1:35">
      <c r="A20" s="122"/>
      <c r="B20" s="241">
        <v>16</v>
      </c>
      <c r="C20" s="248">
        <f>'Other parameters'!$D$18</f>
        <v>1.9608E-3</v>
      </c>
      <c r="D20" s="242">
        <f>'Other parameters'!$G$18</f>
        <v>56.7</v>
      </c>
      <c r="E20" s="248">
        <f t="shared" ref="E20:E39" si="27">IF(B20&lt;rf1age,0,(pA1_2p*EXP(-0.1*(B20-$B$19))))</f>
        <v>3.7948881312428143E-4</v>
      </c>
      <c r="F20" s="248">
        <f t="shared" si="1"/>
        <v>5.5781249999999991E-2</v>
      </c>
      <c r="G20" s="248">
        <f t="shared" si="2"/>
        <v>0</v>
      </c>
      <c r="H20" s="249">
        <f t="shared" si="3"/>
        <v>0.64186194739671765</v>
      </c>
      <c r="I20" s="122"/>
      <c r="J20" s="244">
        <v>0</v>
      </c>
      <c r="K20" s="245">
        <v>0</v>
      </c>
      <c r="L20" s="245">
        <f t="shared" si="4"/>
        <v>0.79995318724763986</v>
      </c>
      <c r="M20" s="245">
        <f t="shared" si="5"/>
        <v>4.651379703676195E-2</v>
      </c>
      <c r="N20" s="245">
        <f t="shared" si="6"/>
        <v>0.14683603571085602</v>
      </c>
      <c r="O20" s="245">
        <f t="shared" si="7"/>
        <v>1.6997802473075617E-3</v>
      </c>
      <c r="P20" s="245">
        <f t="shared" si="8"/>
        <v>6.1834375394225036E-4</v>
      </c>
      <c r="Q20" s="245">
        <f t="shared" si="9"/>
        <v>4.3788560034921983E-3</v>
      </c>
      <c r="R20" s="243">
        <f t="shared" si="26"/>
        <v>0.99999999999999978</v>
      </c>
      <c r="S20" s="250"/>
      <c r="T20" s="244">
        <f t="shared" si="11"/>
        <v>3.0993838790199552E-3</v>
      </c>
      <c r="U20" s="246">
        <f t="shared" si="16"/>
        <v>0.17573506594043148</v>
      </c>
      <c r="V20" s="246">
        <f t="shared" si="17"/>
        <v>2.3728408241767331E-4</v>
      </c>
      <c r="W20" s="246">
        <f t="shared" si="18"/>
        <v>6.0202774641450966E-3</v>
      </c>
      <c r="X20" s="246">
        <f t="shared" si="19"/>
        <v>3.0426066426805353E-4</v>
      </c>
      <c r="Y20" s="246">
        <f t="shared" si="20"/>
        <v>4.3284062775957529E-5</v>
      </c>
      <c r="Z20" s="246">
        <f t="shared" si="12"/>
        <v>0.18234017221403825</v>
      </c>
      <c r="AA20" s="247">
        <f t="shared" si="13"/>
        <v>0.11703721802595546</v>
      </c>
      <c r="AB20" s="122"/>
      <c r="AC20" s="244">
        <f t="shared" si="21"/>
        <v>69.3055575847753</v>
      </c>
      <c r="AD20" s="245">
        <f t="shared" si="22"/>
        <v>230.38651792732028</v>
      </c>
      <c r="AE20" s="245">
        <f t="shared" si="23"/>
        <v>90.612517637169248</v>
      </c>
      <c r="AF20" s="245">
        <f t="shared" si="24"/>
        <v>1.6268596746980672</v>
      </c>
      <c r="AG20" s="245">
        <f t="shared" si="25"/>
        <v>0.38157993055776274</v>
      </c>
      <c r="AH20" s="245">
        <f t="shared" si="14"/>
        <v>392.31303275452069</v>
      </c>
      <c r="AI20" s="247">
        <f t="shared" si="15"/>
        <v>251.81080719292893</v>
      </c>
    </row>
    <row r="21" spans="1:35">
      <c r="A21" s="122"/>
      <c r="B21" s="241">
        <v>17</v>
      </c>
      <c r="C21" s="248">
        <f>'Other parameters'!$D$18</f>
        <v>1.9608E-3</v>
      </c>
      <c r="D21" s="242">
        <f>'Other parameters'!$G$18</f>
        <v>56.7</v>
      </c>
      <c r="E21" s="248">
        <f t="shared" si="27"/>
        <v>3.4337567784090557E-4</v>
      </c>
      <c r="F21" s="248">
        <f t="shared" si="1"/>
        <v>5.5781249999999991E-2</v>
      </c>
      <c r="G21" s="248">
        <f t="shared" si="2"/>
        <v>0</v>
      </c>
      <c r="H21" s="249">
        <f t="shared" si="3"/>
        <v>0.62316693922011435</v>
      </c>
      <c r="I21" s="122"/>
      <c r="J21" s="244">
        <v>0</v>
      </c>
      <c r="K21" s="245">
        <v>0</v>
      </c>
      <c r="L21" s="245">
        <f t="shared" si="4"/>
        <v>0.76742438575104055</v>
      </c>
      <c r="M21" s="245">
        <f t="shared" si="5"/>
        <v>4.4622388726157404E-2</v>
      </c>
      <c r="N21" s="245">
        <f t="shared" si="6"/>
        <v>0.17870653293263528</v>
      </c>
      <c r="O21" s="245">
        <f t="shared" si="7"/>
        <v>2.6653884173848145E-3</v>
      </c>
      <c r="P21" s="245">
        <f t="shared" si="8"/>
        <v>9.5643629073253523E-4</v>
      </c>
      <c r="Q21" s="245">
        <f t="shared" si="9"/>
        <v>5.6248678820492379E-3</v>
      </c>
      <c r="R21" s="243">
        <f t="shared" si="26"/>
        <v>0.99999999999999978</v>
      </c>
      <c r="S21" s="250"/>
      <c r="T21" s="244">
        <f t="shared" si="11"/>
        <v>3.20681187855704E-3</v>
      </c>
      <c r="U21" s="246">
        <f t="shared" si="16"/>
        <v>0.18182623351418417</v>
      </c>
      <c r="V21" s="246">
        <f t="shared" si="17"/>
        <v>2.2763530906330163E-4</v>
      </c>
      <c r="W21" s="246">
        <f t="shared" si="18"/>
        <v>7.3269678502380468E-3</v>
      </c>
      <c r="X21" s="246">
        <f t="shared" si="19"/>
        <v>4.771045267118818E-4</v>
      </c>
      <c r="Y21" s="246">
        <f t="shared" si="20"/>
        <v>6.6950540351277477E-5</v>
      </c>
      <c r="Z21" s="246">
        <f t="shared" si="12"/>
        <v>0.18992489174054866</v>
      </c>
      <c r="AA21" s="247">
        <f t="shared" si="13"/>
        <v>0.11835491346766928</v>
      </c>
      <c r="AB21" s="122"/>
      <c r="AC21" s="244">
        <f t="shared" si="21"/>
        <v>66.487359201974527</v>
      </c>
      <c r="AD21" s="245">
        <f t="shared" si="22"/>
        <v>221.01822309629966</v>
      </c>
      <c r="AE21" s="245">
        <f t="shared" si="23"/>
        <v>110.27980147272923</v>
      </c>
      <c r="AF21" s="245">
        <f t="shared" si="24"/>
        <v>2.5510432542790062</v>
      </c>
      <c r="AG21" s="245">
        <f t="shared" si="25"/>
        <v>0.59021683501104749</v>
      </c>
      <c r="AH21" s="245">
        <f t="shared" si="14"/>
        <v>400.9266438602935</v>
      </c>
      <c r="AI21" s="247">
        <f t="shared" si="15"/>
        <v>249.84422950621195</v>
      </c>
    </row>
    <row r="22" spans="1:35">
      <c r="A22" s="122"/>
      <c r="B22" s="241">
        <v>18</v>
      </c>
      <c r="C22" s="248">
        <f>'Other parameters'!$D$18</f>
        <v>1.9608E-3</v>
      </c>
      <c r="D22" s="242">
        <f>'Other parameters'!$G$18</f>
        <v>56.7</v>
      </c>
      <c r="E22" s="248">
        <f t="shared" si="27"/>
        <v>3.1069916175391246E-4</v>
      </c>
      <c r="F22" s="248">
        <f t="shared" si="1"/>
        <v>5.5781249999999991E-2</v>
      </c>
      <c r="G22" s="248">
        <f t="shared" si="2"/>
        <v>0</v>
      </c>
      <c r="H22" s="249">
        <f t="shared" si="3"/>
        <v>0.60501644584477121</v>
      </c>
      <c r="I22" s="122"/>
      <c r="J22" s="244">
        <v>0</v>
      </c>
      <c r="K22" s="245">
        <v>0</v>
      </c>
      <c r="L22" s="245">
        <f t="shared" si="4"/>
        <v>0.73621831530216619</v>
      </c>
      <c r="M22" s="245">
        <f t="shared" si="5"/>
        <v>4.2807891517675223E-2</v>
      </c>
      <c r="N22" s="245">
        <f t="shared" si="6"/>
        <v>0.20886372036230449</v>
      </c>
      <c r="O22" s="245">
        <f t="shared" si="7"/>
        <v>3.7659958616114335E-3</v>
      </c>
      <c r="P22" s="245">
        <f t="shared" si="8"/>
        <v>1.3338628869445997E-3</v>
      </c>
      <c r="Q22" s="245">
        <f t="shared" si="9"/>
        <v>7.0102140692978217E-3</v>
      </c>
      <c r="R22" s="243">
        <f t="shared" si="26"/>
        <v>0.99999999999999978</v>
      </c>
      <c r="S22" s="250"/>
      <c r="T22" s="244">
        <f t="shared" si="11"/>
        <v>3.3461461872485833E-3</v>
      </c>
      <c r="U22" s="246">
        <f t="shared" si="16"/>
        <v>0.18972648881699469</v>
      </c>
      <c r="V22" s="246">
        <f t="shared" si="17"/>
        <v>2.1837888768742815E-4</v>
      </c>
      <c r="W22" s="246">
        <f t="shared" si="18"/>
        <v>8.5634125348544848E-3</v>
      </c>
      <c r="X22" s="246">
        <f t="shared" si="19"/>
        <v>6.741132592284466E-4</v>
      </c>
      <c r="Y22" s="246">
        <f t="shared" si="20"/>
        <v>9.3370402086121989E-5</v>
      </c>
      <c r="Z22" s="246">
        <f t="shared" si="12"/>
        <v>0.19927576390085117</v>
      </c>
      <c r="AA22" s="247">
        <f t="shared" si="13"/>
        <v>0.12056511441829473</v>
      </c>
      <c r="AB22" s="122"/>
      <c r="AC22" s="244">
        <f t="shared" si="21"/>
        <v>63.783758361336083</v>
      </c>
      <c r="AD22" s="245">
        <f t="shared" si="22"/>
        <v>212.03087480702385</v>
      </c>
      <c r="AE22" s="245">
        <f t="shared" si="23"/>
        <v>128.88980183557811</v>
      </c>
      <c r="AF22" s="245">
        <f t="shared" si="24"/>
        <v>3.6044346391483031</v>
      </c>
      <c r="AG22" s="245">
        <f t="shared" si="25"/>
        <v>0.82312678753351254</v>
      </c>
      <c r="AH22" s="245">
        <f t="shared" si="14"/>
        <v>409.13199643061984</v>
      </c>
      <c r="AI22" s="247">
        <f t="shared" si="15"/>
        <v>247.53158636182923</v>
      </c>
    </row>
    <row r="23" spans="1:35">
      <c r="A23" s="122"/>
      <c r="B23" s="241">
        <v>19</v>
      </c>
      <c r="C23" s="248">
        <f>'Other parameters'!$D$18</f>
        <v>1.9608E-3</v>
      </c>
      <c r="D23" s="242">
        <f>'Other parameters'!$G$18</f>
        <v>56.7</v>
      </c>
      <c r="E23" s="248">
        <f t="shared" si="27"/>
        <v>2.8113222730734712E-4</v>
      </c>
      <c r="F23" s="248">
        <f t="shared" si="1"/>
        <v>5.5781249999999991E-2</v>
      </c>
      <c r="G23" s="248">
        <f t="shared" si="2"/>
        <v>0</v>
      </c>
      <c r="H23" s="249">
        <f t="shared" si="3"/>
        <v>0.5873946076162827</v>
      </c>
      <c r="I23" s="122"/>
      <c r="J23" s="244">
        <v>0</v>
      </c>
      <c r="K23" s="245">
        <v>0</v>
      </c>
      <c r="L23" s="245">
        <f t="shared" si="4"/>
        <v>0.70628118919631278</v>
      </c>
      <c r="M23" s="245">
        <f t="shared" si="5"/>
        <v>4.1067177900448948E-2</v>
      </c>
      <c r="N23" s="245">
        <f t="shared" si="6"/>
        <v>0.23738186987714138</v>
      </c>
      <c r="O23" s="245">
        <f t="shared" si="7"/>
        <v>4.9709816090579874E-3</v>
      </c>
      <c r="P23" s="245">
        <f t="shared" si="8"/>
        <v>1.7389049325661433E-3</v>
      </c>
      <c r="Q23" s="245">
        <f t="shared" si="9"/>
        <v>8.559876484472503E-3</v>
      </c>
      <c r="R23" s="243">
        <f t="shared" si="26"/>
        <v>0.99999999999999978</v>
      </c>
      <c r="S23" s="250"/>
      <c r="T23" s="244">
        <f t="shared" si="11"/>
        <v>3.5104624151746817E-3</v>
      </c>
      <c r="U23" s="246">
        <f t="shared" si="16"/>
        <v>0.19904321894040447</v>
      </c>
      <c r="V23" s="246">
        <f t="shared" si="17"/>
        <v>2.0949886370037247E-4</v>
      </c>
      <c r="W23" s="246">
        <f t="shared" si="18"/>
        <v>9.7326566649627976E-3</v>
      </c>
      <c r="X23" s="246">
        <f t="shared" si="19"/>
        <v>8.8980570802137972E-4</v>
      </c>
      <c r="Y23" s="246">
        <f t="shared" si="20"/>
        <v>1.2172334527963004E-4</v>
      </c>
      <c r="Z23" s="246">
        <f t="shared" si="12"/>
        <v>0.20999690352236863</v>
      </c>
      <c r="AA23" s="247">
        <f t="shared" si="13"/>
        <v>0.12335104874515609</v>
      </c>
      <c r="AB23" s="122"/>
      <c r="AC23" s="244">
        <f t="shared" si="21"/>
        <v>61.190095071668935</v>
      </c>
      <c r="AD23" s="245">
        <f t="shared" si="22"/>
        <v>203.40898248853807</v>
      </c>
      <c r="AE23" s="245">
        <f t="shared" si="23"/>
        <v>146.48835190118396</v>
      </c>
      <c r="AF23" s="245">
        <f t="shared" si="24"/>
        <v>4.7577264980293998</v>
      </c>
      <c r="AG23" s="245">
        <f t="shared" si="25"/>
        <v>1.073078233886567</v>
      </c>
      <c r="AH23" s="245">
        <f t="shared" si="14"/>
        <v>416.91823419330689</v>
      </c>
      <c r="AI23" s="247">
        <f t="shared" si="15"/>
        <v>244.89552258205094</v>
      </c>
    </row>
    <row r="24" spans="1:35">
      <c r="A24" s="122"/>
      <c r="B24" s="241">
        <v>20</v>
      </c>
      <c r="C24" s="248">
        <f>'Other parameters'!$D$19</f>
        <v>2.3103999999999998E-3</v>
      </c>
      <c r="D24" s="242">
        <f>'Other parameters'!$G$19</f>
        <v>52.3</v>
      </c>
      <c r="E24" s="248">
        <f t="shared" si="27"/>
        <v>2.5437895868347845E-4</v>
      </c>
      <c r="F24" s="248">
        <f t="shared" si="1"/>
        <v>5.5781249999999991E-2</v>
      </c>
      <c r="G24" s="248">
        <f t="shared" si="2"/>
        <v>0</v>
      </c>
      <c r="H24" s="249">
        <f t="shared" si="3"/>
        <v>0.57028602681192497</v>
      </c>
      <c r="I24" s="122"/>
      <c r="J24" s="244">
        <v>0</v>
      </c>
      <c r="K24" s="245">
        <v>0</v>
      </c>
      <c r="L24" s="245">
        <f t="shared" si="4"/>
        <v>0.67756140786557262</v>
      </c>
      <c r="M24" s="245">
        <f t="shared" si="5"/>
        <v>3.9397247584856812E-2</v>
      </c>
      <c r="N24" s="245">
        <f t="shared" si="6"/>
        <v>0.26433218241116652</v>
      </c>
      <c r="O24" s="245">
        <f t="shared" si="7"/>
        <v>6.2541482011141732E-3</v>
      </c>
      <c r="P24" s="245">
        <f t="shared" si="8"/>
        <v>2.1620240699372515E-3</v>
      </c>
      <c r="Q24" s="245">
        <f t="shared" si="9"/>
        <v>1.0292989867352276E-2</v>
      </c>
      <c r="R24" s="243">
        <f t="shared" si="26"/>
        <v>0.99999999999999967</v>
      </c>
      <c r="S24" s="250"/>
      <c r="T24" s="244">
        <f t="shared" si="11"/>
        <v>4.0435133828797733E-3</v>
      </c>
      <c r="U24" s="246">
        <f t="shared" si="16"/>
        <v>0.21147574992461213</v>
      </c>
      <c r="V24" s="246">
        <f t="shared" si="17"/>
        <v>2.009799315150778E-4</v>
      </c>
      <c r="W24" s="246">
        <f t="shared" si="18"/>
        <v>1.0837619478857828E-2</v>
      </c>
      <c r="X24" s="246">
        <f t="shared" si="19"/>
        <v>1.1194925279994371E-3</v>
      </c>
      <c r="Y24" s="246">
        <f t="shared" si="20"/>
        <v>1.5134168489560763E-4</v>
      </c>
      <c r="Z24" s="246">
        <f t="shared" si="12"/>
        <v>0.2237851835478801</v>
      </c>
      <c r="AA24" s="247">
        <f t="shared" si="13"/>
        <v>0.1276215631848979</v>
      </c>
      <c r="AB24" s="122"/>
      <c r="AC24" s="244">
        <f t="shared" si="21"/>
        <v>58.70189890143665</v>
      </c>
      <c r="AD24" s="245">
        <f t="shared" si="22"/>
        <v>195.1376854652849</v>
      </c>
      <c r="AE24" s="245">
        <f t="shared" si="23"/>
        <v>163.11938976593086</v>
      </c>
      <c r="AF24" s="245">
        <f t="shared" si="24"/>
        <v>5.9858452432863754</v>
      </c>
      <c r="AG24" s="245">
        <f t="shared" si="25"/>
        <v>1.334185053558278</v>
      </c>
      <c r="AH24" s="245">
        <f t="shared" si="14"/>
        <v>424.27900442949704</v>
      </c>
      <c r="AI24" s="247">
        <f t="shared" si="15"/>
        <v>241.96038769581699</v>
      </c>
    </row>
    <row r="25" spans="1:35">
      <c r="A25" s="122"/>
      <c r="B25" s="241">
        <v>21</v>
      </c>
      <c r="C25" s="248">
        <f>'Other parameters'!$D$19</f>
        <v>2.3103999999999998E-3</v>
      </c>
      <c r="D25" s="242">
        <f>'Other parameters'!$G$19</f>
        <v>52.3</v>
      </c>
      <c r="E25" s="248">
        <f t="shared" si="27"/>
        <v>2.3017160017783467E-4</v>
      </c>
      <c r="F25" s="248">
        <f t="shared" si="1"/>
        <v>5.5781249999999991E-2</v>
      </c>
      <c r="G25" s="248">
        <f t="shared" si="2"/>
        <v>0</v>
      </c>
      <c r="H25" s="249">
        <f t="shared" si="3"/>
        <v>0.55367575418633497</v>
      </c>
      <c r="I25" s="122"/>
      <c r="J25" s="244">
        <v>0</v>
      </c>
      <c r="K25" s="245">
        <v>0</v>
      </c>
      <c r="L25" s="245">
        <f t="shared" si="4"/>
        <v>0.65000946995513398</v>
      </c>
      <c r="M25" s="245">
        <f t="shared" si="5"/>
        <v>3.7795222282501463E-2</v>
      </c>
      <c r="N25" s="245">
        <f t="shared" si="6"/>
        <v>0.28978291342349649</v>
      </c>
      <c r="O25" s="245">
        <f t="shared" si="7"/>
        <v>7.5931441139535615E-3</v>
      </c>
      <c r="P25" s="245">
        <f t="shared" si="8"/>
        <v>2.5954888610460383E-3</v>
      </c>
      <c r="Q25" s="245">
        <f t="shared" si="9"/>
        <v>1.2223761363868204E-2</v>
      </c>
      <c r="R25" s="243">
        <f t="shared" si="26"/>
        <v>0.99999999999999956</v>
      </c>
      <c r="S25" s="250"/>
      <c r="T25" s="244">
        <f t="shared" si="11"/>
        <v>4.2411714965159292E-3</v>
      </c>
      <c r="U25" s="246">
        <f t="shared" si="16"/>
        <v>0.22181326926778308</v>
      </c>
      <c r="V25" s="246">
        <f t="shared" si="17"/>
        <v>1.928074079178568E-4</v>
      </c>
      <c r="W25" s="246">
        <f t="shared" si="18"/>
        <v>1.1881099450363357E-2</v>
      </c>
      <c r="X25" s="246">
        <f t="shared" si="19"/>
        <v>1.3591727963976875E-3</v>
      </c>
      <c r="Y25" s="246">
        <f t="shared" si="20"/>
        <v>1.8168422027322269E-4</v>
      </c>
      <c r="Z25" s="246">
        <f t="shared" si="12"/>
        <v>0.23542803314273522</v>
      </c>
      <c r="AA25" s="247">
        <f t="shared" si="13"/>
        <v>0.13035079380690939</v>
      </c>
      <c r="AB25" s="122"/>
      <c r="AC25" s="244">
        <f t="shared" si="21"/>
        <v>56.314881200927182</v>
      </c>
      <c r="AD25" s="245">
        <f t="shared" si="22"/>
        <v>187.20272734707859</v>
      </c>
      <c r="AE25" s="245">
        <f t="shared" si="23"/>
        <v>178.82503587363968</v>
      </c>
      <c r="AF25" s="245">
        <f t="shared" si="24"/>
        <v>7.2673982314649539</v>
      </c>
      <c r="AG25" s="245">
        <f t="shared" si="25"/>
        <v>1.6016761761515104</v>
      </c>
      <c r="AH25" s="245">
        <f t="shared" si="14"/>
        <v>431.21171882926188</v>
      </c>
      <c r="AI25" s="247">
        <f t="shared" si="15"/>
        <v>238.7514736367774</v>
      </c>
    </row>
    <row r="26" spans="1:35">
      <c r="A26" s="122"/>
      <c r="B26" s="241">
        <v>22</v>
      </c>
      <c r="C26" s="248">
        <f>'Other parameters'!$D$19</f>
        <v>2.3103999999999998E-3</v>
      </c>
      <c r="D26" s="242">
        <f>'Other parameters'!$G$19</f>
        <v>52.3</v>
      </c>
      <c r="E26" s="248">
        <f t="shared" si="27"/>
        <v>2.0826787641011713E-4</v>
      </c>
      <c r="F26" s="248">
        <f t="shared" si="1"/>
        <v>5.5781249999999991E-2</v>
      </c>
      <c r="G26" s="248">
        <f t="shared" si="2"/>
        <v>0</v>
      </c>
      <c r="H26" s="249">
        <f t="shared" si="3"/>
        <v>0.5375492759090631</v>
      </c>
      <c r="I26" s="122"/>
      <c r="J26" s="244">
        <v>0</v>
      </c>
      <c r="K26" s="245">
        <v>0</v>
      </c>
      <c r="L26" s="245">
        <f t="shared" si="4"/>
        <v>0.62357788700264949</v>
      </c>
      <c r="M26" s="245">
        <f t="shared" si="5"/>
        <v>3.6258340745934814E-2</v>
      </c>
      <c r="N26" s="245">
        <f t="shared" si="6"/>
        <v>0.31379949322450701</v>
      </c>
      <c r="O26" s="245">
        <f t="shared" si="7"/>
        <v>8.968959384835825E-3</v>
      </c>
      <c r="P26" s="245">
        <f t="shared" si="8"/>
        <v>3.033064178515434E-3</v>
      </c>
      <c r="Q26" s="245">
        <f t="shared" si="9"/>
        <v>1.4362255463557117E-2</v>
      </c>
      <c r="R26" s="243">
        <f t="shared" si="26"/>
        <v>0.99999999999999956</v>
      </c>
      <c r="S26" s="250"/>
      <c r="T26" s="244">
        <f t="shared" si="11"/>
        <v>4.4488940996889126E-3</v>
      </c>
      <c r="U26" s="246">
        <f t="shared" si="16"/>
        <v>0.23267716141373013</v>
      </c>
      <c r="V26" s="246">
        <f t="shared" si="17"/>
        <v>1.8496720676419351E-4</v>
      </c>
      <c r="W26" s="246">
        <f t="shared" si="18"/>
        <v>1.2865779222204788E-2</v>
      </c>
      <c r="X26" s="246">
        <f t="shared" si="19"/>
        <v>1.6054437298856127E-3</v>
      </c>
      <c r="Y26" s="246">
        <f t="shared" si="20"/>
        <v>2.1231449249608039E-4</v>
      </c>
      <c r="Z26" s="246">
        <f t="shared" si="12"/>
        <v>0.2475456660650808</v>
      </c>
      <c r="AA26" s="247">
        <f t="shared" si="13"/>
        <v>0.13306799354771093</v>
      </c>
      <c r="AB26" s="122"/>
      <c r="AC26" s="244">
        <f t="shared" si="21"/>
        <v>54.024927711442871</v>
      </c>
      <c r="AD26" s="245">
        <f t="shared" si="22"/>
        <v>179.59043145676304</v>
      </c>
      <c r="AE26" s="245">
        <f t="shared" si="23"/>
        <v>193.64566726884328</v>
      </c>
      <c r="AF26" s="245">
        <f t="shared" si="24"/>
        <v>8.5841910272263675</v>
      </c>
      <c r="AG26" s="245">
        <f t="shared" si="25"/>
        <v>1.8717039045618744</v>
      </c>
      <c r="AH26" s="245">
        <f t="shared" si="14"/>
        <v>437.7169213688374</v>
      </c>
      <c r="AI26" s="247">
        <f t="shared" si="15"/>
        <v>235.29441413496286</v>
      </c>
    </row>
    <row r="27" spans="1:35">
      <c r="A27" s="122"/>
      <c r="B27" s="241">
        <v>23</v>
      </c>
      <c r="C27" s="248">
        <f>'Other parameters'!$D$19</f>
        <v>2.3103999999999998E-3</v>
      </c>
      <c r="D27" s="242">
        <f>'Other parameters'!$G$19</f>
        <v>52.3</v>
      </c>
      <c r="E27" s="248">
        <f t="shared" si="27"/>
        <v>1.8844856755076273E-4</v>
      </c>
      <c r="F27" s="248">
        <f t="shared" si="1"/>
        <v>5.5781249999999991E-2</v>
      </c>
      <c r="G27" s="248">
        <f t="shared" si="2"/>
        <v>0</v>
      </c>
      <c r="H27" s="249">
        <f t="shared" si="3"/>
        <v>0.52189250088258554</v>
      </c>
      <c r="I27" s="122"/>
      <c r="J27" s="244">
        <v>0</v>
      </c>
      <c r="K27" s="245">
        <v>0</v>
      </c>
      <c r="L27" s="245">
        <f t="shared" si="4"/>
        <v>0.59822110158722608</v>
      </c>
      <c r="M27" s="245">
        <f t="shared" si="5"/>
        <v>3.4783954009366534E-2</v>
      </c>
      <c r="N27" s="245">
        <f t="shared" si="6"/>
        <v>0.33644464240353589</v>
      </c>
      <c r="O27" s="245">
        <f t="shared" si="7"/>
        <v>1.0365485250510438E-2</v>
      </c>
      <c r="P27" s="245">
        <f t="shared" si="8"/>
        <v>3.4697528299684399E-3</v>
      </c>
      <c r="Q27" s="245">
        <f t="shared" si="9"/>
        <v>1.671506391939237E-2</v>
      </c>
      <c r="R27" s="243">
        <f t="shared" si="26"/>
        <v>0.99999999999999967</v>
      </c>
      <c r="S27" s="250"/>
      <c r="T27" s="244">
        <f t="shared" si="11"/>
        <v>4.6632084558352518E-3</v>
      </c>
      <c r="U27" s="246">
        <f t="shared" si="16"/>
        <v>0.24388580224018366</v>
      </c>
      <c r="V27" s="246">
        <f t="shared" si="17"/>
        <v>1.7744581469983698E-4</v>
      </c>
      <c r="W27" s="246">
        <f t="shared" si="18"/>
        <v>1.3794230338544973E-2</v>
      </c>
      <c r="X27" s="246">
        <f t="shared" si="19"/>
        <v>1.8554218598413684E-3</v>
      </c>
      <c r="Y27" s="246">
        <f t="shared" si="20"/>
        <v>2.4288269809779082E-4</v>
      </c>
      <c r="Z27" s="246">
        <f t="shared" si="12"/>
        <v>0.25995578295136768</v>
      </c>
      <c r="AA27" s="247">
        <f t="shared" si="13"/>
        <v>0.13566897368337988</v>
      </c>
      <c r="AB27" s="122"/>
      <c r="AC27" s="244">
        <f t="shared" si="21"/>
        <v>51.828091473956135</v>
      </c>
      <c r="AD27" s="245">
        <f t="shared" si="22"/>
        <v>172.28767725712112</v>
      </c>
      <c r="AE27" s="245">
        <f t="shared" si="23"/>
        <v>207.61998882722202</v>
      </c>
      <c r="AF27" s="245">
        <f t="shared" si="24"/>
        <v>9.9208059332635408</v>
      </c>
      <c r="AG27" s="245">
        <f t="shared" si="25"/>
        <v>2.1411844713735242</v>
      </c>
      <c r="AH27" s="245">
        <f t="shared" si="14"/>
        <v>443.79774796293634</v>
      </c>
      <c r="AI27" s="247">
        <f t="shared" si="15"/>
        <v>231.61471657043623</v>
      </c>
    </row>
    <row r="28" spans="1:35">
      <c r="A28" s="122"/>
      <c r="B28" s="241">
        <v>24</v>
      </c>
      <c r="C28" s="248">
        <f>'Other parameters'!$D$19</f>
        <v>2.3103999999999998E-3</v>
      </c>
      <c r="D28" s="242">
        <f>'Other parameters'!$G$19</f>
        <v>52.3</v>
      </c>
      <c r="E28" s="248">
        <f t="shared" si="27"/>
        <v>1.7051531529520728E-4</v>
      </c>
      <c r="F28" s="248">
        <f t="shared" si="1"/>
        <v>5.5781249999999991E-2</v>
      </c>
      <c r="G28" s="248">
        <f t="shared" si="2"/>
        <v>8.0000000000000016E-2</v>
      </c>
      <c r="H28" s="249">
        <f t="shared" si="3"/>
        <v>0.50669174842969467</v>
      </c>
      <c r="I28" s="122"/>
      <c r="J28" s="244">
        <v>0</v>
      </c>
      <c r="K28" s="245">
        <v>0</v>
      </c>
      <c r="L28" s="245">
        <f t="shared" si="4"/>
        <v>0.57389540880674894</v>
      </c>
      <c r="M28" s="245">
        <f t="shared" si="5"/>
        <v>3.3369520822912446E-2</v>
      </c>
      <c r="N28" s="245">
        <f t="shared" si="6"/>
        <v>0.35860772137689867</v>
      </c>
      <c r="O28" s="245">
        <f t="shared" si="7"/>
        <v>1.0939890936867471E-2</v>
      </c>
      <c r="P28" s="245">
        <f t="shared" si="8"/>
        <v>3.9015806780739737E-3</v>
      </c>
      <c r="Q28" s="245">
        <f t="shared" si="9"/>
        <v>1.9285877378498236E-2</v>
      </c>
      <c r="R28" s="243">
        <f t="shared" si="26"/>
        <v>0.99999999999999967</v>
      </c>
      <c r="S28" s="250"/>
      <c r="T28" s="244">
        <f t="shared" si="11"/>
        <v>4.881213459105865E-3</v>
      </c>
      <c r="U28" s="246">
        <f t="shared" si="16"/>
        <v>0.25528746391123674</v>
      </c>
      <c r="V28" s="246">
        <f t="shared" si="17"/>
        <v>1.7023026786921366E-4</v>
      </c>
      <c r="W28" s="246">
        <f t="shared" si="18"/>
        <v>1.4702916576452845E-2</v>
      </c>
      <c r="X28" s="246">
        <f t="shared" si="19"/>
        <v>1.9582404776992773E-3</v>
      </c>
      <c r="Y28" s="246">
        <f t="shared" si="20"/>
        <v>2.7311064746517817E-4</v>
      </c>
      <c r="Z28" s="246">
        <f t="shared" si="12"/>
        <v>0.27239196188072323</v>
      </c>
      <c r="AA28" s="247">
        <f t="shared" si="13"/>
        <v>0.13801875942353839</v>
      </c>
      <c r="AB28" s="122"/>
      <c r="AC28" s="244">
        <f t="shared" si="21"/>
        <v>49.720586026139543</v>
      </c>
      <c r="AD28" s="245">
        <f t="shared" si="22"/>
        <v>165.28187773634369</v>
      </c>
      <c r="AE28" s="245">
        <f t="shared" si="23"/>
        <v>221.29682486168417</v>
      </c>
      <c r="AF28" s="245">
        <f t="shared" si="24"/>
        <v>10.470569615675858</v>
      </c>
      <c r="AG28" s="245">
        <f t="shared" si="25"/>
        <v>2.4076654364394492</v>
      </c>
      <c r="AH28" s="245">
        <f t="shared" si="14"/>
        <v>449.1775236762827</v>
      </c>
      <c r="AI28" s="247">
        <f t="shared" si="15"/>
        <v>227.59454482685626</v>
      </c>
    </row>
    <row r="29" spans="1:35">
      <c r="A29" s="122"/>
      <c r="B29" s="241">
        <v>25</v>
      </c>
      <c r="C29" s="248">
        <f>'Other parameters'!$D$20</f>
        <v>2.8233999999999998E-3</v>
      </c>
      <c r="D29" s="242">
        <f>'Other parameters'!$G$20</f>
        <v>47.9</v>
      </c>
      <c r="E29" s="248">
        <f t="shared" si="27"/>
        <v>1.5428863762730291E-4</v>
      </c>
      <c r="F29" s="248">
        <f t="shared" ref="F29:F60" si="28">IF(B29&lt;rf2age,0,(pA2_2p*EXP(-0.1*(B29-$B$28))))</f>
        <v>5.0472962224818362E-2</v>
      </c>
      <c r="G29" s="248">
        <f t="shared" si="2"/>
        <v>8.0000000000000016E-2</v>
      </c>
      <c r="H29" s="249">
        <f t="shared" si="3"/>
        <v>0.49193373633950943</v>
      </c>
      <c r="I29" s="122"/>
      <c r="J29" s="244">
        <v>0</v>
      </c>
      <c r="K29" s="245">
        <v>0</v>
      </c>
      <c r="L29" s="245">
        <f t="shared" si="4"/>
        <v>0.55360528293100641</v>
      </c>
      <c r="M29" s="245">
        <f t="shared" si="5"/>
        <v>2.896620128969973E-2</v>
      </c>
      <c r="N29" s="245">
        <f t="shared" si="6"/>
        <v>0.37955392702877111</v>
      </c>
      <c r="O29" s="245">
        <f t="shared" si="7"/>
        <v>1.1574360132335839E-2</v>
      </c>
      <c r="P29" s="245">
        <f t="shared" si="8"/>
        <v>4.3279104828833114E-3</v>
      </c>
      <c r="Q29" s="245">
        <f t="shared" si="9"/>
        <v>2.1972318135303273E-2</v>
      </c>
      <c r="R29" s="243">
        <f t="shared" si="26"/>
        <v>0.99999999999999967</v>
      </c>
      <c r="S29" s="250"/>
      <c r="T29" s="244">
        <f t="shared" si="11"/>
        <v>5.5098407568050364E-3</v>
      </c>
      <c r="U29" s="246">
        <f t="shared" si="16"/>
        <v>0.26392137225096124</v>
      </c>
      <c r="V29" s="246">
        <f t="shared" si="17"/>
        <v>1.4776730630526274E-4</v>
      </c>
      <c r="W29" s="246">
        <f t="shared" si="18"/>
        <v>1.5561711008179616E-2</v>
      </c>
      <c r="X29" s="246">
        <f t="shared" si="19"/>
        <v>2.0718104636881151E-3</v>
      </c>
      <c r="Y29" s="246">
        <f t="shared" si="20"/>
        <v>3.0295373380183181E-4</v>
      </c>
      <c r="Z29" s="246">
        <f t="shared" si="12"/>
        <v>0.28200561476293606</v>
      </c>
      <c r="AA29" s="247">
        <f t="shared" si="13"/>
        <v>0.13872807573905147</v>
      </c>
      <c r="AB29" s="122"/>
      <c r="AC29" s="244">
        <f t="shared" si="21"/>
        <v>43.159639921652598</v>
      </c>
      <c r="AD29" s="245">
        <f t="shared" si="22"/>
        <v>159.43832148412986</v>
      </c>
      <c r="AE29" s="245">
        <f t="shared" si="23"/>
        <v>234.22272836945467</v>
      </c>
      <c r="AF29" s="245">
        <f t="shared" si="24"/>
        <v>11.077820082658631</v>
      </c>
      <c r="AG29" s="245">
        <f t="shared" si="25"/>
        <v>2.6707535589872915</v>
      </c>
      <c r="AH29" s="245">
        <f t="shared" si="14"/>
        <v>450.56926341688308</v>
      </c>
      <c r="AI29" s="247">
        <f t="shared" si="15"/>
        <v>221.65022123240794</v>
      </c>
    </row>
    <row r="30" spans="1:35">
      <c r="A30" s="122"/>
      <c r="B30" s="241">
        <v>26</v>
      </c>
      <c r="C30" s="248">
        <f>'Other parameters'!$D$20</f>
        <v>2.8233999999999998E-3</v>
      </c>
      <c r="D30" s="242">
        <f>'Other parameters'!$G$20</f>
        <v>47.9</v>
      </c>
      <c r="E30" s="248">
        <f t="shared" si="27"/>
        <v>1.3960613250297457E-4</v>
      </c>
      <c r="F30" s="248">
        <f t="shared" si="28"/>
        <v>4.5669824820131169E-2</v>
      </c>
      <c r="G30" s="248">
        <f t="shared" si="2"/>
        <v>8.0000000000000016E-2</v>
      </c>
      <c r="H30" s="249">
        <f t="shared" si="3"/>
        <v>0.47760556926165965</v>
      </c>
      <c r="I30" s="122"/>
      <c r="J30" s="244">
        <v>0</v>
      </c>
      <c r="K30" s="245">
        <v>0</v>
      </c>
      <c r="L30" s="245">
        <f t="shared" si="4"/>
        <v>0.53585343897537019</v>
      </c>
      <c r="M30" s="245">
        <f t="shared" si="5"/>
        <v>2.5283056290958214E-2</v>
      </c>
      <c r="N30" s="245">
        <f t="shared" si="6"/>
        <v>0.39714948701696406</v>
      </c>
      <c r="O30" s="245">
        <f t="shared" si="7"/>
        <v>1.2246816717034563E-2</v>
      </c>
      <c r="P30" s="245">
        <f t="shared" si="8"/>
        <v>4.7460027713919998E-3</v>
      </c>
      <c r="Q30" s="245">
        <f t="shared" si="9"/>
        <v>2.4721198228280762E-2</v>
      </c>
      <c r="R30" s="243">
        <f t="shared" si="26"/>
        <v>0.99999999999999978</v>
      </c>
      <c r="S30" s="250"/>
      <c r="T30" s="244">
        <f t="shared" si="11"/>
        <v>5.5722800929774875E-3</v>
      </c>
      <c r="U30" s="246">
        <f t="shared" si="16"/>
        <v>0.26691221645362162</v>
      </c>
      <c r="V30" s="246">
        <f t="shared" si="17"/>
        <v>1.2897822140757315E-4</v>
      </c>
      <c r="W30" s="246">
        <f t="shared" si="18"/>
        <v>1.6283128967695529E-2</v>
      </c>
      <c r="X30" s="246">
        <f t="shared" si="19"/>
        <v>2.1921801923491867E-3</v>
      </c>
      <c r="Y30" s="246">
        <f t="shared" si="20"/>
        <v>3.3222019399744001E-4</v>
      </c>
      <c r="Z30" s="246">
        <f t="shared" si="12"/>
        <v>0.2858487240290713</v>
      </c>
      <c r="AA30" s="247">
        <f t="shared" si="13"/>
        <v>0.13652294256262365</v>
      </c>
      <c r="AB30" s="122"/>
      <c r="AC30" s="244">
        <f t="shared" si="21"/>
        <v>37.671753873527742</v>
      </c>
      <c r="AD30" s="245">
        <f t="shared" si="22"/>
        <v>154.32579042490661</v>
      </c>
      <c r="AE30" s="245">
        <f t="shared" si="23"/>
        <v>245.08094843816852</v>
      </c>
      <c r="AF30" s="245">
        <f t="shared" si="24"/>
        <v>11.721428279873781</v>
      </c>
      <c r="AG30" s="245">
        <f t="shared" si="25"/>
        <v>2.9287583102260033</v>
      </c>
      <c r="AH30" s="245">
        <f t="shared" si="14"/>
        <v>451.72867932670266</v>
      </c>
      <c r="AI30" s="247">
        <f t="shared" si="15"/>
        <v>215.74813304164752</v>
      </c>
    </row>
    <row r="31" spans="1:35">
      <c r="A31" s="122"/>
      <c r="B31" s="241">
        <v>27</v>
      </c>
      <c r="C31" s="248">
        <f>'Other parameters'!$D$20</f>
        <v>2.8233999999999998E-3</v>
      </c>
      <c r="D31" s="242">
        <f>'Other parameters'!$G$20</f>
        <v>47.9</v>
      </c>
      <c r="E31" s="248">
        <f t="shared" si="27"/>
        <v>1.2632085247597753E-4</v>
      </c>
      <c r="F31" s="248">
        <f t="shared" si="28"/>
        <v>4.1323766372402065E-2</v>
      </c>
      <c r="G31" s="248">
        <f t="shared" si="2"/>
        <v>8.0000000000000016E-2</v>
      </c>
      <c r="H31" s="249">
        <f t="shared" si="3"/>
        <v>0.46369472743850448</v>
      </c>
      <c r="I31" s="122"/>
      <c r="J31" s="244">
        <v>0</v>
      </c>
      <c r="K31" s="245">
        <v>0</v>
      </c>
      <c r="L31" s="245">
        <f t="shared" si="4"/>
        <v>0.52028355128895287</v>
      </c>
      <c r="M31" s="245">
        <f t="shared" si="5"/>
        <v>2.2143482322066404E-2</v>
      </c>
      <c r="N31" s="245">
        <f t="shared" si="6"/>
        <v>0.41195291985787452</v>
      </c>
      <c r="O31" s="245">
        <f t="shared" si="7"/>
        <v>1.292259069947198E-2</v>
      </c>
      <c r="P31" s="245">
        <f t="shared" si="8"/>
        <v>5.1471619250822997E-3</v>
      </c>
      <c r="Q31" s="245">
        <f t="shared" si="9"/>
        <v>2.7550293906551712E-2</v>
      </c>
      <c r="R31" s="243">
        <f t="shared" si="26"/>
        <v>0.99999999999999978</v>
      </c>
      <c r="S31" s="250"/>
      <c r="T31" s="244">
        <f t="shared" si="11"/>
        <v>5.6524956782709485E-3</v>
      </c>
      <c r="U31" s="246">
        <f t="shared" si="16"/>
        <v>0.27075454298917845</v>
      </c>
      <c r="V31" s="246">
        <f t="shared" si="17"/>
        <v>1.1296209337996616E-4</v>
      </c>
      <c r="W31" s="246">
        <f t="shared" si="18"/>
        <v>1.6890069714172857E-2</v>
      </c>
      <c r="X31" s="246">
        <f t="shared" si="19"/>
        <v>2.3131437352054843E-3</v>
      </c>
      <c r="Y31" s="246">
        <f t="shared" si="20"/>
        <v>3.6030133475576103E-4</v>
      </c>
      <c r="Z31" s="246">
        <f t="shared" si="12"/>
        <v>0.29043101986669251</v>
      </c>
      <c r="AA31" s="247">
        <f t="shared" si="13"/>
        <v>0.13467133259677286</v>
      </c>
      <c r="AB31" s="122"/>
      <c r="AC31" s="244">
        <f t="shared" si="21"/>
        <v>32.993788659878945</v>
      </c>
      <c r="AD31" s="245">
        <f t="shared" si="22"/>
        <v>149.84166277121844</v>
      </c>
      <c r="AE31" s="245">
        <f t="shared" si="23"/>
        <v>254.21614684429437</v>
      </c>
      <c r="AF31" s="245">
        <f t="shared" si="24"/>
        <v>12.368211558464631</v>
      </c>
      <c r="AG31" s="245">
        <f t="shared" si="25"/>
        <v>3.1763136239682872</v>
      </c>
      <c r="AH31" s="245">
        <f t="shared" si="14"/>
        <v>452.59612345782466</v>
      </c>
      <c r="AI31" s="247">
        <f t="shared" si="15"/>
        <v>209.86643610649972</v>
      </c>
    </row>
    <row r="32" spans="1:35">
      <c r="A32" s="122"/>
      <c r="B32" s="241">
        <v>28</v>
      </c>
      <c r="C32" s="248">
        <f>'Other parameters'!$D$20</f>
        <v>2.8233999999999998E-3</v>
      </c>
      <c r="D32" s="242">
        <f>'Other parameters'!$G$20</f>
        <v>47.9</v>
      </c>
      <c r="E32" s="248">
        <f t="shared" si="27"/>
        <v>1.1429983399846488E-4</v>
      </c>
      <c r="F32" s="248">
        <f t="shared" si="28"/>
        <v>3.7391290067925499E-2</v>
      </c>
      <c r="G32" s="248">
        <f t="shared" si="2"/>
        <v>8.0000000000000016E-2</v>
      </c>
      <c r="H32" s="249">
        <f t="shared" si="3"/>
        <v>0.45018905576553836</v>
      </c>
      <c r="I32" s="122"/>
      <c r="J32" s="244">
        <v>0</v>
      </c>
      <c r="K32" s="245">
        <v>0</v>
      </c>
      <c r="L32" s="245">
        <f t="shared" si="4"/>
        <v>0.50658678350887454</v>
      </c>
      <c r="M32" s="245">
        <f t="shared" si="5"/>
        <v>1.9454073183815632E-2</v>
      </c>
      <c r="N32" s="245">
        <f t="shared" si="6"/>
        <v>0.42438665611297577</v>
      </c>
      <c r="O32" s="245">
        <f t="shared" si="7"/>
        <v>1.3578600488233915E-2</v>
      </c>
      <c r="P32" s="245">
        <f t="shared" si="8"/>
        <v>5.5258232741841832E-3</v>
      </c>
      <c r="Q32" s="245">
        <f t="shared" si="9"/>
        <v>3.0468063431915781E-2</v>
      </c>
      <c r="R32" s="243">
        <f t="shared" si="26"/>
        <v>0.99999999999999978</v>
      </c>
      <c r="S32" s="250"/>
      <c r="T32" s="244">
        <f t="shared" si="11"/>
        <v>5.741169525364069E-3</v>
      </c>
      <c r="U32" s="246">
        <f t="shared" si="16"/>
        <v>0.27500202026493892</v>
      </c>
      <c r="V32" s="246">
        <f t="shared" si="17"/>
        <v>9.9242422652780026E-5</v>
      </c>
      <c r="W32" s="246">
        <f t="shared" si="18"/>
        <v>1.7399852900632007E-2</v>
      </c>
      <c r="X32" s="246">
        <f t="shared" si="19"/>
        <v>2.4305694873938705E-3</v>
      </c>
      <c r="Y32" s="246">
        <f t="shared" si="20"/>
        <v>3.8680762919289285E-4</v>
      </c>
      <c r="Z32" s="246">
        <f t="shared" si="12"/>
        <v>0.29531849270481053</v>
      </c>
      <c r="AA32" s="247">
        <f t="shared" si="13"/>
        <v>0.13294915338088067</v>
      </c>
      <c r="AB32" s="122"/>
      <c r="AC32" s="244">
        <f t="shared" si="21"/>
        <v>28.986569043885289</v>
      </c>
      <c r="AD32" s="245">
        <f t="shared" si="22"/>
        <v>145.89699365055586</v>
      </c>
      <c r="AE32" s="245">
        <f t="shared" si="23"/>
        <v>261.88900548731738</v>
      </c>
      <c r="AF32" s="245">
        <f t="shared" si="24"/>
        <v>12.996078527288681</v>
      </c>
      <c r="AG32" s="245">
        <f t="shared" si="25"/>
        <v>3.4099855424990597</v>
      </c>
      <c r="AH32" s="245">
        <f t="shared" si="14"/>
        <v>453.17863225154622</v>
      </c>
      <c r="AI32" s="247">
        <f t="shared" si="15"/>
        <v>204.01606054644174</v>
      </c>
    </row>
    <row r="33" spans="1:35">
      <c r="A33" s="122"/>
      <c r="B33" s="241">
        <v>29</v>
      </c>
      <c r="C33" s="248">
        <f>'Other parameters'!$D$20</f>
        <v>2.8233999999999998E-3</v>
      </c>
      <c r="D33" s="242">
        <f>'Other parameters'!$G$20</f>
        <v>47.9</v>
      </c>
      <c r="E33" s="248">
        <f t="shared" si="27"/>
        <v>1.0342276667710974E-4</v>
      </c>
      <c r="F33" s="248">
        <f t="shared" si="28"/>
        <v>3.3833038362095329E-2</v>
      </c>
      <c r="G33" s="248">
        <f t="shared" si="2"/>
        <v>8.0000000000000016E-2</v>
      </c>
      <c r="H33" s="249">
        <f t="shared" si="3"/>
        <v>0.4370767531704256</v>
      </c>
      <c r="I33" s="122"/>
      <c r="J33" s="244">
        <v>0</v>
      </c>
      <c r="K33" s="245">
        <v>0</v>
      </c>
      <c r="L33" s="245">
        <f t="shared" si="4"/>
        <v>0.49450547245648035</v>
      </c>
      <c r="M33" s="245">
        <f t="shared" si="5"/>
        <v>1.7139370080186234E-2</v>
      </c>
      <c r="N33" s="245">
        <f t="shared" si="6"/>
        <v>0.43479936841809957</v>
      </c>
      <c r="O33" s="245">
        <f t="shared" si="7"/>
        <v>1.4199885422230579E-2</v>
      </c>
      <c r="P33" s="245">
        <f t="shared" si="8"/>
        <v>5.8786211795929365E-3</v>
      </c>
      <c r="Q33" s="245">
        <f t="shared" si="9"/>
        <v>3.347728244341009E-2</v>
      </c>
      <c r="R33" s="243">
        <f t="shared" si="26"/>
        <v>0.99999999999999978</v>
      </c>
      <c r="S33" s="250"/>
      <c r="T33" s="244">
        <f t="shared" si="11"/>
        <v>5.8326190114943097E-3</v>
      </c>
      <c r="U33" s="246">
        <f t="shared" si="16"/>
        <v>0.27938245065057743</v>
      </c>
      <c r="V33" s="246">
        <f t="shared" si="17"/>
        <v>8.7434265998100747E-5</v>
      </c>
      <c r="W33" s="246">
        <f t="shared" si="18"/>
        <v>1.7826774105142083E-2</v>
      </c>
      <c r="X33" s="246">
        <f t="shared" si="19"/>
        <v>2.5417794905792735E-3</v>
      </c>
      <c r="Y33" s="246">
        <f t="shared" si="20"/>
        <v>4.1150348257150562E-4</v>
      </c>
      <c r="Z33" s="246">
        <f t="shared" si="12"/>
        <v>0.30024994199486843</v>
      </c>
      <c r="AA33" s="247">
        <f t="shared" si="13"/>
        <v>0.13123226978672572</v>
      </c>
      <c r="AB33" s="122"/>
      <c r="AC33" s="244">
        <f t="shared" si="21"/>
        <v>25.537661419477487</v>
      </c>
      <c r="AD33" s="245">
        <f t="shared" si="22"/>
        <v>142.41757606746634</v>
      </c>
      <c r="AE33" s="245">
        <f t="shared" si="23"/>
        <v>268.31469025080924</v>
      </c>
      <c r="AF33" s="245">
        <f t="shared" si="24"/>
        <v>13.590710337616887</v>
      </c>
      <c r="AG33" s="245">
        <f t="shared" si="25"/>
        <v>3.6276971299268013</v>
      </c>
      <c r="AH33" s="245">
        <f t="shared" si="14"/>
        <v>453.48833520529672</v>
      </c>
      <c r="AI33" s="247">
        <f t="shared" si="15"/>
        <v>198.2092091521927</v>
      </c>
    </row>
    <row r="34" spans="1:35">
      <c r="A34" s="122"/>
      <c r="B34" s="241">
        <v>30</v>
      </c>
      <c r="C34" s="248">
        <f>'Other parameters'!$D$21</f>
        <v>3.3604000000000004E-3</v>
      </c>
      <c r="D34" s="242">
        <f>'Other parameters'!$G$21</f>
        <v>43.5</v>
      </c>
      <c r="E34" s="248">
        <f t="shared" si="27"/>
        <v>9.3580789166251466E-5</v>
      </c>
      <c r="F34" s="248">
        <f t="shared" si="28"/>
        <v>3.0613399075869904E-2</v>
      </c>
      <c r="G34" s="248">
        <f t="shared" si="2"/>
        <v>8.0000000000000016E-2</v>
      </c>
      <c r="H34" s="249">
        <f t="shared" si="3"/>
        <v>0.42434636230138412</v>
      </c>
      <c r="I34" s="122"/>
      <c r="J34" s="244">
        <v>0</v>
      </c>
      <c r="K34" s="245">
        <v>0</v>
      </c>
      <c r="L34" s="245">
        <f t="shared" si="4"/>
        <v>0.48382321530381694</v>
      </c>
      <c r="M34" s="245">
        <f t="shared" si="5"/>
        <v>1.5138493373511825E-2</v>
      </c>
      <c r="N34" s="245">
        <f t="shared" si="6"/>
        <v>0.44348035675528186</v>
      </c>
      <c r="O34" s="245">
        <f t="shared" si="7"/>
        <v>1.4777349212514262E-2</v>
      </c>
      <c r="P34" s="245">
        <f t="shared" si="8"/>
        <v>6.2038000950902002E-3</v>
      </c>
      <c r="Q34" s="245">
        <f t="shared" si="9"/>
        <v>3.657678525978466E-2</v>
      </c>
      <c r="R34" s="243">
        <f t="shared" si="26"/>
        <v>0.99999999999999989</v>
      </c>
      <c r="S34" s="250"/>
      <c r="T34" s="244">
        <f t="shared" si="11"/>
        <v>6.4599028163745686E-3</v>
      </c>
      <c r="U34" s="246">
        <f t="shared" si="16"/>
        <v>0.28100577251229375</v>
      </c>
      <c r="V34" s="246">
        <f t="shared" si="17"/>
        <v>7.7227053867065808E-5</v>
      </c>
      <c r="W34" s="246">
        <f t="shared" si="18"/>
        <v>1.8182694626966558E-2</v>
      </c>
      <c r="X34" s="246">
        <f t="shared" si="19"/>
        <v>2.645145509040053E-3</v>
      </c>
      <c r="Y34" s="246">
        <f t="shared" si="20"/>
        <v>4.3426600665631406E-4</v>
      </c>
      <c r="Z34" s="246">
        <f t="shared" si="12"/>
        <v>0.30234510570882372</v>
      </c>
      <c r="AA34" s="247">
        <f t="shared" si="13"/>
        <v>0.1282990457671668</v>
      </c>
      <c r="AB34" s="122"/>
      <c r="AC34" s="244">
        <f t="shared" si="21"/>
        <v>22.556355126532619</v>
      </c>
      <c r="AD34" s="245">
        <f t="shared" si="22"/>
        <v>139.34108600749929</v>
      </c>
      <c r="AE34" s="245">
        <f t="shared" si="23"/>
        <v>273.67172815368446</v>
      </c>
      <c r="AF34" s="245">
        <f t="shared" si="24"/>
        <v>14.1434009312974</v>
      </c>
      <c r="AG34" s="245">
        <f t="shared" si="25"/>
        <v>3.8283650386801629</v>
      </c>
      <c r="AH34" s="245">
        <f t="shared" si="14"/>
        <v>453.54093525769389</v>
      </c>
      <c r="AI34" s="247">
        <f t="shared" si="15"/>
        <v>192.45844603136996</v>
      </c>
    </row>
    <row r="35" spans="1:35">
      <c r="A35" s="122"/>
      <c r="B35" s="241">
        <v>31</v>
      </c>
      <c r="C35" s="248">
        <f>'Other parameters'!$D$21</f>
        <v>3.3604000000000004E-3</v>
      </c>
      <c r="D35" s="242">
        <f>'Other parameters'!$G$21</f>
        <v>43.5</v>
      </c>
      <c r="E35" s="248">
        <f t="shared" si="27"/>
        <v>8.4675399646958469E-5</v>
      </c>
      <c r="F35" s="248">
        <f t="shared" si="28"/>
        <v>2.7700148977114553E-2</v>
      </c>
      <c r="G35" s="248">
        <f t="shared" si="2"/>
        <v>8.0000000000000016E-2</v>
      </c>
      <c r="H35" s="249">
        <f t="shared" si="3"/>
        <v>0.41198675951590691</v>
      </c>
      <c r="I35" s="122"/>
      <c r="J35" s="244">
        <v>0</v>
      </c>
      <c r="K35" s="245">
        <v>0</v>
      </c>
      <c r="L35" s="245">
        <f t="shared" si="4"/>
        <v>0.47435724843842775</v>
      </c>
      <c r="M35" s="245">
        <f t="shared" si="5"/>
        <v>1.34019751425023E-2</v>
      </c>
      <c r="N35" s="245">
        <f t="shared" si="6"/>
        <v>0.45067116941027158</v>
      </c>
      <c r="O35" s="245">
        <f t="shared" si="7"/>
        <v>1.5306081393048183E-2</v>
      </c>
      <c r="P35" s="245">
        <f t="shared" si="8"/>
        <v>6.5007672210507204E-3</v>
      </c>
      <c r="Q35" s="245">
        <f t="shared" si="9"/>
        <v>3.9762758394699241E-2</v>
      </c>
      <c r="R35" s="243">
        <f t="shared" si="26"/>
        <v>0.99999999999999989</v>
      </c>
      <c r="S35" s="250"/>
      <c r="T35" s="244">
        <f t="shared" si="11"/>
        <v>6.5463731349145824E-3</v>
      </c>
      <c r="U35" s="246">
        <f t="shared" si="16"/>
        <v>0.28476723136878435</v>
      </c>
      <c r="V35" s="246">
        <f t="shared" si="17"/>
        <v>6.8368432096819961E-5</v>
      </c>
      <c r="W35" s="246">
        <f t="shared" si="18"/>
        <v>1.8477517945821136E-2</v>
      </c>
      <c r="X35" s="246">
        <f t="shared" si="19"/>
        <v>2.7397885693556247E-3</v>
      </c>
      <c r="Y35" s="246">
        <f t="shared" si="20"/>
        <v>4.5505370547355048E-4</v>
      </c>
      <c r="Z35" s="246">
        <f t="shared" si="12"/>
        <v>0.30650796002153152</v>
      </c>
      <c r="AA35" s="247">
        <f t="shared" si="13"/>
        <v>0.1262772212151019</v>
      </c>
      <c r="AB35" s="122"/>
      <c r="AC35" s="244">
        <f t="shared" si="21"/>
        <v>19.968942962328427</v>
      </c>
      <c r="AD35" s="245">
        <f t="shared" si="22"/>
        <v>136.61488755026718</v>
      </c>
      <c r="AE35" s="245">
        <f t="shared" si="23"/>
        <v>278.10917864307862</v>
      </c>
      <c r="AF35" s="245">
        <f t="shared" si="24"/>
        <v>14.649450501286417</v>
      </c>
      <c r="AG35" s="245">
        <f t="shared" si="25"/>
        <v>4.0116234521103999</v>
      </c>
      <c r="AH35" s="245">
        <f t="shared" si="14"/>
        <v>453.3540831090711</v>
      </c>
      <c r="AI35" s="247">
        <f t="shared" si="15"/>
        <v>186.77587961341135</v>
      </c>
    </row>
    <row r="36" spans="1:35">
      <c r="A36" s="122"/>
      <c r="B36" s="241">
        <v>32</v>
      </c>
      <c r="C36" s="248">
        <f>'Other parameters'!$D$21</f>
        <v>3.3604000000000004E-3</v>
      </c>
      <c r="D36" s="242">
        <f>'Other parameters'!$G$21</f>
        <v>43.5</v>
      </c>
      <c r="E36" s="248">
        <f t="shared" si="27"/>
        <v>7.6617469987716891E-5</v>
      </c>
      <c r="F36" s="248">
        <f t="shared" si="28"/>
        <v>2.5064131279663761E-2</v>
      </c>
      <c r="G36" s="248">
        <f t="shared" si="2"/>
        <v>8.0000000000000016E-2</v>
      </c>
      <c r="H36" s="249">
        <f t="shared" si="3"/>
        <v>0.39998714516107459</v>
      </c>
      <c r="I36" s="122"/>
      <c r="J36" s="244">
        <v>0</v>
      </c>
      <c r="K36" s="245">
        <v>0</v>
      </c>
      <c r="L36" s="245">
        <f t="shared" si="4"/>
        <v>0.4659524096271575</v>
      </c>
      <c r="M36" s="245">
        <f t="shared" si="5"/>
        <v>1.1889352348320831E-2</v>
      </c>
      <c r="N36" s="245">
        <f t="shared" si="6"/>
        <v>0.45657468092176151</v>
      </c>
      <c r="O36" s="245">
        <f t="shared" si="7"/>
        <v>1.5784116110211743E-2</v>
      </c>
      <c r="P36" s="245">
        <f t="shared" si="8"/>
        <v>6.769754794952421E-3</v>
      </c>
      <c r="Q36" s="245">
        <f t="shared" si="9"/>
        <v>4.3029686197595778E-2</v>
      </c>
      <c r="R36" s="243">
        <f t="shared" si="26"/>
        <v>0.99999999999999978</v>
      </c>
      <c r="S36" s="250"/>
      <c r="T36" s="244">
        <f t="shared" si="11"/>
        <v>6.6273278028965397E-3</v>
      </c>
      <c r="U36" s="246">
        <f t="shared" si="16"/>
        <v>0.28828875942599946</v>
      </c>
      <c r="V36" s="246">
        <f t="shared" si="17"/>
        <v>6.0651983760475045E-5</v>
      </c>
      <c r="W36" s="246">
        <f t="shared" si="18"/>
        <v>1.8719561917792223E-2</v>
      </c>
      <c r="X36" s="246">
        <f t="shared" si="19"/>
        <v>2.8253567837279018E-3</v>
      </c>
      <c r="Y36" s="246">
        <f t="shared" si="20"/>
        <v>4.738828356466695E-4</v>
      </c>
      <c r="Z36" s="246">
        <f t="shared" si="12"/>
        <v>0.31036821294692674</v>
      </c>
      <c r="AA36" s="247">
        <f t="shared" si="13"/>
        <v>0.12414329544538569</v>
      </c>
      <c r="AB36" s="122"/>
      <c r="AC36" s="244">
        <f t="shared" si="21"/>
        <v>17.715134998998039</v>
      </c>
      <c r="AD36" s="245">
        <f t="shared" si="22"/>
        <v>134.19429397262135</v>
      </c>
      <c r="AE36" s="245">
        <f t="shared" si="23"/>
        <v>281.75223559681905</v>
      </c>
      <c r="AF36" s="245">
        <f t="shared" si="24"/>
        <v>15.106977529083659</v>
      </c>
      <c r="AG36" s="245">
        <f t="shared" si="25"/>
        <v>4.177615683965139</v>
      </c>
      <c r="AH36" s="245">
        <f t="shared" si="14"/>
        <v>452.94625778148725</v>
      </c>
      <c r="AI36" s="247">
        <f t="shared" si="15"/>
        <v>181.17268056140924</v>
      </c>
    </row>
    <row r="37" spans="1:35">
      <c r="A37" s="122"/>
      <c r="B37" s="241">
        <v>33</v>
      </c>
      <c r="C37" s="248">
        <f>'Other parameters'!$D$21</f>
        <v>3.3604000000000004E-3</v>
      </c>
      <c r="D37" s="242">
        <f>'Other parameters'!$G$21</f>
        <v>43.5</v>
      </c>
      <c r="E37" s="248">
        <f t="shared" si="27"/>
        <v>6.9326353720133391E-5</v>
      </c>
      <c r="F37" s="248">
        <f t="shared" si="28"/>
        <v>2.267896383240529E-2</v>
      </c>
      <c r="G37" s="248">
        <f t="shared" ref="G37:G68" si="29">IF(B37&lt;rhdage,0,pVS_2p)</f>
        <v>8.0000000000000016E-2</v>
      </c>
      <c r="H37" s="249">
        <f t="shared" ref="H37:H68" si="30">1/(1+disc)^($B37-1)</f>
        <v>0.38833703413696569</v>
      </c>
      <c r="I37" s="122"/>
      <c r="J37" s="244">
        <v>0</v>
      </c>
      <c r="K37" s="245">
        <v>0</v>
      </c>
      <c r="L37" s="245">
        <f t="shared" ref="L37:L68" si="31">IF(B37&lt;rf2age,1,(K36*cpARF1_Remission)+(L36*(1-F37))+(M36*cpARF2_Remission))</f>
        <v>0.45847632339216449</v>
      </c>
      <c r="M37" s="245">
        <f t="shared" ref="M37:M68" si="32">IF(B37&lt;rf2age,0,L36*F37)</f>
        <v>1.0567317845556399E-2</v>
      </c>
      <c r="N37" s="245">
        <f t="shared" ref="N37:N68" si="33">IF(B37&lt;rf2age,0,(K36*pARF1_RHDMild)+(M36*pARF2_RHDMild)+(N36*cpRHDMild_RHDMild)+(O36*G37))</f>
        <v>0.461362237693765</v>
      </c>
      <c r="O37" s="245">
        <f t="shared" ref="O37:O68" si="34">IF(B37&lt;rf2age,0,(N36*pRHDMild_RHDSevere)+(O36*(1-(G37+pRHDSevere_Death))))</f>
        <v>1.6211518193782748E-2</v>
      </c>
      <c r="P37" s="245">
        <f t="shared" ref="P37:P68" si="35">IF(B37&lt;rf2age,0,(N36*pRHDMild_Stroke)+(P36*(1-pStroke_Death)))</f>
        <v>7.0115660656353941E-3</v>
      </c>
      <c r="Q37" s="245">
        <f t="shared" ref="Q37:Q68" si="36">IF(B37&lt;rf2age,0,(K36*pARF1_Death)+(M36*pARF2_Death)+(O36*pRHDSevere_Death)+(P36*pStroke_Death)+Q36)</f>
        <v>4.6371036809095718E-2</v>
      </c>
      <c r="R37" s="243">
        <f t="shared" si="26"/>
        <v>0.99999999999999978</v>
      </c>
      <c r="S37" s="250"/>
      <c r="T37" s="244">
        <f t="shared" si="11"/>
        <v>6.7017506114999395E-3</v>
      </c>
      <c r="U37" s="246">
        <f t="shared" si="16"/>
        <v>0.29152615160024736</v>
      </c>
      <c r="V37" s="246">
        <f t="shared" si="17"/>
        <v>5.3907796790208266E-5</v>
      </c>
      <c r="W37" s="246">
        <f t="shared" si="18"/>
        <v>1.8915851745444367E-2</v>
      </c>
      <c r="X37" s="246">
        <f t="shared" si="19"/>
        <v>2.9018617566871118E-3</v>
      </c>
      <c r="Y37" s="246">
        <f t="shared" si="20"/>
        <v>4.9080962459447763E-4</v>
      </c>
      <c r="Z37" s="246">
        <f t="shared" si="12"/>
        <v>0.3138885825237635</v>
      </c>
      <c r="AA37" s="247">
        <f t="shared" si="13"/>
        <v>0.12189456118673452</v>
      </c>
      <c r="AB37" s="122"/>
      <c r="AC37" s="244">
        <f t="shared" si="21"/>
        <v>15.745303589879034</v>
      </c>
      <c r="AD37" s="245">
        <f t="shared" si="22"/>
        <v>132.04118113694338</v>
      </c>
      <c r="AE37" s="245">
        <f t="shared" si="23"/>
        <v>284.70663688082237</v>
      </c>
      <c r="AF37" s="245">
        <f t="shared" si="24"/>
        <v>15.516044063269469</v>
      </c>
      <c r="AG37" s="245">
        <f t="shared" si="25"/>
        <v>4.3268374191036019</v>
      </c>
      <c r="AH37" s="245">
        <f t="shared" si="14"/>
        <v>452.33600309001781</v>
      </c>
      <c r="AI37" s="247">
        <f t="shared" ref="AI37:AI68" si="37">AH37*H37</f>
        <v>175.65882187334685</v>
      </c>
    </row>
    <row r="38" spans="1:35">
      <c r="A38" s="122"/>
      <c r="B38" s="241">
        <v>34</v>
      </c>
      <c r="C38" s="248">
        <f>'Other parameters'!$D$21</f>
        <v>3.3604000000000004E-3</v>
      </c>
      <c r="D38" s="242">
        <f>'Other parameters'!$G$21</f>
        <v>43.5</v>
      </c>
      <c r="E38" s="248">
        <f t="shared" si="27"/>
        <v>6.2729078901973133E-5</v>
      </c>
      <c r="F38" s="248">
        <f t="shared" si="28"/>
        <v>2.0520775077844514E-2</v>
      </c>
      <c r="G38" s="248">
        <f t="shared" si="29"/>
        <v>8.0000000000000016E-2</v>
      </c>
      <c r="H38" s="249">
        <f t="shared" si="30"/>
        <v>0.37702624673491814</v>
      </c>
      <c r="I38" s="122"/>
      <c r="J38" s="244">
        <v>0</v>
      </c>
      <c r="K38" s="245">
        <v>0</v>
      </c>
      <c r="L38" s="245">
        <f t="shared" si="31"/>
        <v>0.45181553652116146</v>
      </c>
      <c r="M38" s="245">
        <f t="shared" si="32"/>
        <v>9.4082895108477099E-3</v>
      </c>
      <c r="N38" s="245">
        <f t="shared" si="33"/>
        <v>0.46517932041348864</v>
      </c>
      <c r="O38" s="245">
        <f t="shared" si="34"/>
        <v>1.6589713913355415E-2</v>
      </c>
      <c r="P38" s="245">
        <f t="shared" si="35"/>
        <v>7.2273851679557945E-3</v>
      </c>
      <c r="Q38" s="245">
        <f t="shared" si="36"/>
        <v>4.9779754473190801E-2</v>
      </c>
      <c r="R38" s="243">
        <f t="shared" si="26"/>
        <v>0.99999999999999989</v>
      </c>
      <c r="S38" s="250"/>
      <c r="T38" s="244">
        <f t="shared" si="11"/>
        <v>6.7691176640950826E-3</v>
      </c>
      <c r="U38" s="246">
        <f t="shared" si="16"/>
        <v>0.29445661838813608</v>
      </c>
      <c r="V38" s="246">
        <f t="shared" si="17"/>
        <v>4.7995164573146408E-5</v>
      </c>
      <c r="W38" s="246">
        <f t="shared" si="18"/>
        <v>1.9072352136953036E-2</v>
      </c>
      <c r="X38" s="246">
        <f t="shared" si="19"/>
        <v>2.9695587904906189E-3</v>
      </c>
      <c r="Y38" s="246">
        <f t="shared" si="20"/>
        <v>5.059169617569057E-4</v>
      </c>
      <c r="Z38" s="246">
        <f t="shared" si="12"/>
        <v>0.31705244144190975</v>
      </c>
      <c r="AA38" s="247">
        <f t="shared" si="13"/>
        <v>0.11953709201498565</v>
      </c>
      <c r="AB38" s="122"/>
      <c r="AC38" s="244">
        <f t="shared" si="21"/>
        <v>14.018351371163087</v>
      </c>
      <c r="AD38" s="245">
        <f t="shared" si="22"/>
        <v>130.12287451809451</v>
      </c>
      <c r="AE38" s="245">
        <f t="shared" si="23"/>
        <v>287.06215862716385</v>
      </c>
      <c r="AF38" s="245">
        <f t="shared" si="24"/>
        <v>15.878015186472467</v>
      </c>
      <c r="AG38" s="245">
        <f t="shared" si="25"/>
        <v>4.4600193871455209</v>
      </c>
      <c r="AH38" s="245">
        <f t="shared" si="14"/>
        <v>451.54141909003943</v>
      </c>
      <c r="AI38" s="247">
        <f t="shared" si="37"/>
        <v>170.24296648487629</v>
      </c>
    </row>
    <row r="39" spans="1:35">
      <c r="A39" s="122"/>
      <c r="B39" s="241">
        <v>35</v>
      </c>
      <c r="C39" s="248">
        <f>'Other parameters'!$D$22</f>
        <v>4.1983999999999997E-3</v>
      </c>
      <c r="D39" s="242">
        <f>'Other parameters'!$G$22</f>
        <v>39.200000000000003</v>
      </c>
      <c r="E39" s="248">
        <f t="shared" si="27"/>
        <v>5.6759617789435369E-5</v>
      </c>
      <c r="F39" s="248">
        <f t="shared" si="28"/>
        <v>1.8567965137533497E-2</v>
      </c>
      <c r="G39" s="248">
        <f t="shared" si="29"/>
        <v>8.0000000000000016E-2</v>
      </c>
      <c r="H39" s="249">
        <f t="shared" si="30"/>
        <v>0.36604489974263904</v>
      </c>
      <c r="I39" s="122"/>
      <c r="J39" s="244">
        <v>0</v>
      </c>
      <c r="K39" s="245">
        <v>0</v>
      </c>
      <c r="L39" s="245">
        <f t="shared" si="31"/>
        <v>0.44587239666326095</v>
      </c>
      <c r="M39" s="245">
        <f t="shared" si="32"/>
        <v>8.3892951307209182E-3</v>
      </c>
      <c r="N39" s="245">
        <f t="shared" si="33"/>
        <v>0.46815006025221412</v>
      </c>
      <c r="O39" s="245">
        <f t="shared" si="34"/>
        <v>1.6921004359856912E-2</v>
      </c>
      <c r="P39" s="245">
        <f t="shared" si="35"/>
        <v>7.4186357683211513E-3</v>
      </c>
      <c r="Q39" s="245">
        <f t="shared" si="36"/>
        <v>5.32486078256258E-2</v>
      </c>
      <c r="R39" s="243">
        <f t="shared" si="26"/>
        <v>0.99999999999999978</v>
      </c>
      <c r="S39" s="250"/>
      <c r="T39" s="244">
        <f t="shared" si="11"/>
        <v>7.6672533524349985E-3</v>
      </c>
      <c r="U39" s="246">
        <f t="shared" si="16"/>
        <v>0.30055633141545196</v>
      </c>
      <c r="V39" s="246">
        <f t="shared" si="17"/>
        <v>4.2796897351787266E-5</v>
      </c>
      <c r="W39" s="246">
        <f t="shared" si="18"/>
        <v>1.9194152470340779E-2</v>
      </c>
      <c r="X39" s="246">
        <f t="shared" si="19"/>
        <v>3.0288597804143868E-3</v>
      </c>
      <c r="Y39" s="246">
        <f t="shared" si="20"/>
        <v>5.1930450378248063E-4</v>
      </c>
      <c r="Z39" s="246">
        <f t="shared" si="12"/>
        <v>0.32334144506734136</v>
      </c>
      <c r="AA39" s="247">
        <f t="shared" si="13"/>
        <v>0.11835748684231499</v>
      </c>
      <c r="AB39" s="122"/>
      <c r="AC39" s="244">
        <f t="shared" si="21"/>
        <v>12.500049744774168</v>
      </c>
      <c r="AD39" s="245">
        <f t="shared" si="22"/>
        <v>128.41125023901915</v>
      </c>
      <c r="AE39" s="245">
        <f t="shared" si="23"/>
        <v>288.89540218164132</v>
      </c>
      <c r="AF39" s="245">
        <f t="shared" si="24"/>
        <v>16.195093272819051</v>
      </c>
      <c r="AG39" s="245">
        <f t="shared" si="25"/>
        <v>4.5780401326309823</v>
      </c>
      <c r="AH39" s="245">
        <f t="shared" si="14"/>
        <v>450.57983557088471</v>
      </c>
      <c r="AI39" s="247">
        <f t="shared" si="37"/>
        <v>164.93245073759928</v>
      </c>
    </row>
    <row r="40" spans="1:35">
      <c r="A40" s="122"/>
      <c r="B40" s="241">
        <v>36</v>
      </c>
      <c r="C40" s="248">
        <f>'Other parameters'!$D$22</f>
        <v>4.1983999999999997E-3</v>
      </c>
      <c r="D40" s="242">
        <f>'Other parameters'!$G$22</f>
        <v>39.200000000000003</v>
      </c>
      <c r="E40" s="234">
        <v>0</v>
      </c>
      <c r="F40" s="248">
        <f t="shared" si="28"/>
        <v>1.6800989633227518E-2</v>
      </c>
      <c r="G40" s="248">
        <f t="shared" si="29"/>
        <v>8.0000000000000016E-2</v>
      </c>
      <c r="H40" s="249">
        <f t="shared" si="30"/>
        <v>0.35538339780838735</v>
      </c>
      <c r="I40" s="122"/>
      <c r="J40" s="244">
        <v>0</v>
      </c>
      <c r="K40" s="245">
        <v>0</v>
      </c>
      <c r="L40" s="245">
        <f t="shared" si="31"/>
        <v>0.44056251588316658</v>
      </c>
      <c r="M40" s="245">
        <f t="shared" si="32"/>
        <v>7.491097514081755E-3</v>
      </c>
      <c r="N40" s="245">
        <f t="shared" si="33"/>
        <v>0.47038086344731911</v>
      </c>
      <c r="O40" s="245">
        <f t="shared" si="34"/>
        <v>1.7208214817799765E-2</v>
      </c>
      <c r="P40" s="245">
        <f t="shared" si="35"/>
        <v>7.586876891100644E-3</v>
      </c>
      <c r="Q40" s="245">
        <f t="shared" si="36"/>
        <v>5.6770431446531967E-2</v>
      </c>
      <c r="R40" s="243">
        <f t="shared" si="26"/>
        <v>0.99999999999999978</v>
      </c>
      <c r="S40" s="250"/>
      <c r="T40" s="244">
        <f t="shared" si="11"/>
        <v>7.7202236209061642E-3</v>
      </c>
      <c r="U40" s="246">
        <f t="shared" si="16"/>
        <v>0.30263276593952165</v>
      </c>
      <c r="V40" s="246">
        <f t="shared" si="17"/>
        <v>3.8214859099233508E-5</v>
      </c>
      <c r="W40" s="246">
        <f t="shared" si="18"/>
        <v>1.9285615401340085E-2</v>
      </c>
      <c r="X40" s="246">
        <f t="shared" si="19"/>
        <v>3.0802704523861576E-3</v>
      </c>
      <c r="Y40" s="246">
        <f t="shared" si="20"/>
        <v>5.3108138237704515E-4</v>
      </c>
      <c r="Z40" s="246">
        <f t="shared" si="12"/>
        <v>0.32556794803472422</v>
      </c>
      <c r="AA40" s="247">
        <f t="shared" si="13"/>
        <v>0.11570144359008477</v>
      </c>
      <c r="AB40" s="122"/>
      <c r="AC40" s="244">
        <f t="shared" si="21"/>
        <v>11.161735295981815</v>
      </c>
      <c r="AD40" s="245">
        <f t="shared" si="22"/>
        <v>126.88200457435198</v>
      </c>
      <c r="AE40" s="245">
        <f t="shared" si="23"/>
        <v>290.27203083334064</v>
      </c>
      <c r="AF40" s="245">
        <f t="shared" si="24"/>
        <v>16.469982402116155</v>
      </c>
      <c r="AG40" s="245">
        <f t="shared" si="25"/>
        <v>4.6818617294982072</v>
      </c>
      <c r="AH40" s="245">
        <f t="shared" si="14"/>
        <v>449.46761483528883</v>
      </c>
      <c r="AI40" s="247">
        <f t="shared" si="37"/>
        <v>159.73332816499646</v>
      </c>
    </row>
    <row r="41" spans="1:35">
      <c r="A41" s="122"/>
      <c r="B41" s="241">
        <v>37</v>
      </c>
      <c r="C41" s="248">
        <f>'Other parameters'!$D$22</f>
        <v>4.1983999999999997E-3</v>
      </c>
      <c r="D41" s="242">
        <f>'Other parameters'!$G$22</f>
        <v>39.200000000000003</v>
      </c>
      <c r="E41" s="234">
        <v>0</v>
      </c>
      <c r="F41" s="248">
        <f t="shared" si="28"/>
        <v>1.5202164080178512E-2</v>
      </c>
      <c r="G41" s="248">
        <f t="shared" si="29"/>
        <v>8.0000000000000016E-2</v>
      </c>
      <c r="H41" s="249">
        <f t="shared" si="30"/>
        <v>0.34503242505668674</v>
      </c>
      <c r="I41" s="122"/>
      <c r="J41" s="244">
        <v>0</v>
      </c>
      <c r="K41" s="245">
        <v>0</v>
      </c>
      <c r="L41" s="245">
        <f t="shared" si="31"/>
        <v>0.43581269758279567</v>
      </c>
      <c r="M41" s="245">
        <f t="shared" si="32"/>
        <v>6.6975036540321501E-3</v>
      </c>
      <c r="N41" s="245">
        <f t="shared" si="33"/>
        <v>0.47196333794000123</v>
      </c>
      <c r="O41" s="245">
        <f t="shared" si="34"/>
        <v>1.7454445096618958E-2</v>
      </c>
      <c r="P41" s="245">
        <f t="shared" si="35"/>
        <v>7.7337270366993815E-3</v>
      </c>
      <c r="Q41" s="245">
        <f t="shared" si="36"/>
        <v>6.033828868985238E-2</v>
      </c>
      <c r="R41" s="243">
        <f t="shared" si="26"/>
        <v>0.99999999999999978</v>
      </c>
      <c r="S41" s="250"/>
      <c r="T41" s="244">
        <f t="shared" si="11"/>
        <v>7.7662572433204128E-3</v>
      </c>
      <c r="U41" s="246">
        <f t="shared" si="16"/>
        <v>0.30443728393816022</v>
      </c>
      <c r="V41" s="246">
        <f t="shared" si="17"/>
        <v>3.4166443298103742E-5</v>
      </c>
      <c r="W41" s="246">
        <f t="shared" si="18"/>
        <v>1.935049685554005E-2</v>
      </c>
      <c r="X41" s="246">
        <f t="shared" si="19"/>
        <v>3.1243456722947933E-3</v>
      </c>
      <c r="Y41" s="246">
        <f t="shared" si="20"/>
        <v>5.4136089256895674E-4</v>
      </c>
      <c r="Z41" s="246">
        <f t="shared" si="12"/>
        <v>0.32748765380186218</v>
      </c>
      <c r="AA41" s="247">
        <f t="shared" si="13"/>
        <v>0.11299385936738118</v>
      </c>
      <c r="AB41" s="122"/>
      <c r="AC41" s="244">
        <f t="shared" si="21"/>
        <v>9.9792804445079035</v>
      </c>
      <c r="AD41" s="245">
        <f t="shared" si="22"/>
        <v>125.51405690384516</v>
      </c>
      <c r="AE41" s="245">
        <f t="shared" si="23"/>
        <v>291.24857584277476</v>
      </c>
      <c r="AF41" s="245">
        <f t="shared" si="24"/>
        <v>16.705649401974007</v>
      </c>
      <c r="AG41" s="245">
        <f t="shared" si="25"/>
        <v>4.7724829543471889</v>
      </c>
      <c r="AH41" s="245">
        <f t="shared" si="14"/>
        <v>448.22004554744905</v>
      </c>
      <c r="AI41" s="247">
        <f t="shared" si="37"/>
        <v>154.65044927425492</v>
      </c>
    </row>
    <row r="42" spans="1:35">
      <c r="A42" s="122"/>
      <c r="B42" s="241">
        <v>38</v>
      </c>
      <c r="C42" s="248">
        <f>'Other parameters'!$D$22</f>
        <v>4.1983999999999997E-3</v>
      </c>
      <c r="D42" s="242">
        <f>'Other parameters'!$G$22</f>
        <v>39.200000000000003</v>
      </c>
      <c r="E42" s="234">
        <v>0</v>
      </c>
      <c r="F42" s="248">
        <f t="shared" si="28"/>
        <v>1.3755486894867731E-2</v>
      </c>
      <c r="G42" s="248">
        <f t="shared" si="29"/>
        <v>8.0000000000000016E-2</v>
      </c>
      <c r="H42" s="249">
        <f t="shared" si="30"/>
        <v>0.33498293694823961</v>
      </c>
      <c r="I42" s="122"/>
      <c r="J42" s="244">
        <v>0</v>
      </c>
      <c r="K42" s="245">
        <v>0</v>
      </c>
      <c r="L42" s="245">
        <f t="shared" si="31"/>
        <v>0.43155923268262691</v>
      </c>
      <c r="M42" s="245">
        <f t="shared" si="32"/>
        <v>5.9948158502170995E-3</v>
      </c>
      <c r="N42" s="245">
        <f t="shared" si="33"/>
        <v>0.4729766703584885</v>
      </c>
      <c r="O42" s="245">
        <f t="shared" si="34"/>
        <v>1.7662894524802058E-2</v>
      </c>
      <c r="P42" s="245">
        <f t="shared" si="35"/>
        <v>7.8608097687259716E-3</v>
      </c>
      <c r="Q42" s="245">
        <f t="shared" si="36"/>
        <v>6.3945576815139196E-2</v>
      </c>
      <c r="R42" s="243">
        <f t="shared" si="26"/>
        <v>0.99999999999999978</v>
      </c>
      <c r="S42" s="250"/>
      <c r="T42" s="244">
        <f t="shared" si="11"/>
        <v>7.8056881252868094E-3</v>
      </c>
      <c r="U42" s="246">
        <f t="shared" si="16"/>
        <v>0.30598297451124296</v>
      </c>
      <c r="V42" s="246">
        <f t="shared" si="17"/>
        <v>3.0581772912614361E-5</v>
      </c>
      <c r="W42" s="246">
        <f t="shared" si="18"/>
        <v>1.9392043484698029E-2</v>
      </c>
      <c r="X42" s="246">
        <f t="shared" si="19"/>
        <v>3.1616581199395682E-3</v>
      </c>
      <c r="Y42" s="246">
        <f t="shared" si="20"/>
        <v>5.5025668381081803E-4</v>
      </c>
      <c r="Z42" s="246">
        <f t="shared" si="12"/>
        <v>0.32911751457260396</v>
      </c>
      <c r="AA42" s="247">
        <f t="shared" si="13"/>
        <v>0.11024875163263592</v>
      </c>
      <c r="AB42" s="122"/>
      <c r="AC42" s="244">
        <f t="shared" si="21"/>
        <v>8.9322756168234783</v>
      </c>
      <c r="AD42" s="245">
        <f t="shared" si="22"/>
        <v>124.28905901259655</v>
      </c>
      <c r="AE42" s="245">
        <f t="shared" si="23"/>
        <v>291.87390327822328</v>
      </c>
      <c r="AF42" s="245">
        <f t="shared" si="24"/>
        <v>16.905156349688049</v>
      </c>
      <c r="AG42" s="245">
        <f t="shared" si="25"/>
        <v>4.8509057082807976</v>
      </c>
      <c r="AH42" s="245">
        <f t="shared" si="14"/>
        <v>446.85129996561216</v>
      </c>
      <c r="AI42" s="247">
        <f t="shared" si="37"/>
        <v>149.68756084161956</v>
      </c>
    </row>
    <row r="43" spans="1:35">
      <c r="A43" s="122"/>
      <c r="B43" s="241">
        <v>39</v>
      </c>
      <c r="C43" s="248">
        <f>'Other parameters'!$D$22</f>
        <v>4.1983999999999997E-3</v>
      </c>
      <c r="D43" s="242">
        <f>'Other parameters'!$G$22</f>
        <v>39.200000000000003</v>
      </c>
      <c r="E43" s="234">
        <v>0</v>
      </c>
      <c r="F43" s="248">
        <f t="shared" si="28"/>
        <v>1.2446479245779598E-2</v>
      </c>
      <c r="G43" s="248">
        <f t="shared" si="29"/>
        <v>8.0000000000000016E-2</v>
      </c>
      <c r="H43" s="249">
        <f t="shared" si="30"/>
        <v>0.3252261523769317</v>
      </c>
      <c r="I43" s="122"/>
      <c r="J43" s="244">
        <v>0</v>
      </c>
      <c r="K43" s="245">
        <v>0</v>
      </c>
      <c r="L43" s="245">
        <f t="shared" si="31"/>
        <v>0.42774649177077445</v>
      </c>
      <c r="M43" s="245">
        <f t="shared" si="32"/>
        <v>5.3713930329088843E-3</v>
      </c>
      <c r="N43" s="245">
        <f t="shared" si="33"/>
        <v>0.47348956759341304</v>
      </c>
      <c r="O43" s="245">
        <f t="shared" si="34"/>
        <v>1.7836741891004811E-2</v>
      </c>
      <c r="P43" s="245">
        <f t="shared" si="35"/>
        <v>7.9697155327775153E-3</v>
      </c>
      <c r="Q43" s="245">
        <f t="shared" si="36"/>
        <v>6.7586090179121039E-2</v>
      </c>
      <c r="R43" s="243">
        <f t="shared" si="26"/>
        <v>0.99999999999999978</v>
      </c>
      <c r="S43" s="250"/>
      <c r="T43" s="244">
        <f t="shared" si="11"/>
        <v>7.8389133639818372E-3</v>
      </c>
      <c r="U43" s="246">
        <f t="shared" si="16"/>
        <v>0.30728540386808806</v>
      </c>
      <c r="V43" s="246">
        <f t="shared" si="17"/>
        <v>2.7401462540483133E-5</v>
      </c>
      <c r="W43" s="246">
        <f t="shared" si="18"/>
        <v>1.9413072271329934E-2</v>
      </c>
      <c r="X43" s="246">
        <f t="shared" si="19"/>
        <v>3.1927767984898611E-3</v>
      </c>
      <c r="Y43" s="246">
        <f t="shared" si="20"/>
        <v>5.578800872944261E-4</v>
      </c>
      <c r="Z43" s="246">
        <f t="shared" si="12"/>
        <v>0.33047653448774272</v>
      </c>
      <c r="AA43" s="247">
        <f t="shared" si="13"/>
        <v>0.10747961176231094</v>
      </c>
      <c r="AB43" s="122"/>
      <c r="AC43" s="244">
        <f t="shared" si="21"/>
        <v>8.0033756190342373</v>
      </c>
      <c r="AD43" s="245">
        <f t="shared" si="22"/>
        <v>123.19098962998304</v>
      </c>
      <c r="AE43" s="245">
        <f t="shared" si="23"/>
        <v>292.19041216189521</v>
      </c>
      <c r="AF43" s="245">
        <f t="shared" si="24"/>
        <v>17.071545663880705</v>
      </c>
      <c r="AG43" s="245">
        <f t="shared" si="25"/>
        <v>4.9181114552770051</v>
      </c>
      <c r="AH43" s="245">
        <f t="shared" si="14"/>
        <v>445.37443453007023</v>
      </c>
      <c r="AI43" s="247">
        <f t="shared" si="37"/>
        <v>144.84741370926642</v>
      </c>
    </row>
    <row r="44" spans="1:35">
      <c r="A44" s="122"/>
      <c r="B44" s="241">
        <v>40</v>
      </c>
      <c r="C44" s="248">
        <f>'Other parameters'!$D$23</f>
        <v>5.1936000000000005E-3</v>
      </c>
      <c r="D44" s="242">
        <f>'Other parameters'!$G$23</f>
        <v>35</v>
      </c>
      <c r="E44" s="234">
        <v>0</v>
      </c>
      <c r="F44" s="248">
        <f t="shared" si="28"/>
        <v>1.1262040144389369E-2</v>
      </c>
      <c r="G44" s="248">
        <f t="shared" si="29"/>
        <v>8.0000000000000016E-2</v>
      </c>
      <c r="H44" s="249">
        <f t="shared" si="30"/>
        <v>0.31575354599702099</v>
      </c>
      <c r="I44" s="122"/>
      <c r="J44" s="244">
        <v>0</v>
      </c>
      <c r="K44" s="245">
        <v>0</v>
      </c>
      <c r="L44" s="245">
        <f t="shared" si="31"/>
        <v>0.42432575579738663</v>
      </c>
      <c r="M44" s="245">
        <f t="shared" si="32"/>
        <v>4.8172981619441788E-3</v>
      </c>
      <c r="N44" s="245">
        <f t="shared" si="33"/>
        <v>0.47356185150841795</v>
      </c>
      <c r="O44" s="245">
        <f t="shared" si="34"/>
        <v>1.7979065574698076E-2</v>
      </c>
      <c r="P44" s="245">
        <f t="shared" si="35"/>
        <v>8.0619756874243578E-3</v>
      </c>
      <c r="Q44" s="245">
        <f t="shared" si="36"/>
        <v>7.1254053270128667E-2</v>
      </c>
      <c r="R44" s="243">
        <f t="shared" si="26"/>
        <v>0.99999999999999989</v>
      </c>
      <c r="S44" s="250"/>
      <c r="T44" s="244">
        <f t="shared" si="11"/>
        <v>8.8615630910076244E-3</v>
      </c>
      <c r="U44" s="246">
        <f t="shared" si="16"/>
        <v>0.31015470818526686</v>
      </c>
      <c r="V44" s="246">
        <f t="shared" si="17"/>
        <v>2.4574819664493321E-5</v>
      </c>
      <c r="W44" s="246">
        <f t="shared" si="18"/>
        <v>1.9416035911845136E-2</v>
      </c>
      <c r="X44" s="246">
        <f t="shared" si="19"/>
        <v>3.2182527378709553E-3</v>
      </c>
      <c r="Y44" s="246">
        <f t="shared" si="20"/>
        <v>5.6433829811970509E-4</v>
      </c>
      <c r="Z44" s="246">
        <f t="shared" si="12"/>
        <v>0.33337790995276717</v>
      </c>
      <c r="AA44" s="247">
        <f t="shared" si="13"/>
        <v>0.10526525722466179</v>
      </c>
      <c r="AB44" s="122"/>
      <c r="AC44" s="244">
        <f t="shared" si="21"/>
        <v>7.1777742612968263</v>
      </c>
      <c r="AD44" s="245">
        <f t="shared" si="22"/>
        <v>122.20581766964735</v>
      </c>
      <c r="AE44" s="245">
        <f t="shared" si="23"/>
        <v>292.23501856584471</v>
      </c>
      <c r="AF44" s="245">
        <f t="shared" si="24"/>
        <v>17.207763661543527</v>
      </c>
      <c r="AG44" s="245">
        <f t="shared" si="25"/>
        <v>4.975045196709571</v>
      </c>
      <c r="AH44" s="245">
        <f t="shared" si="14"/>
        <v>443.80141935504196</v>
      </c>
      <c r="AI44" s="247">
        <f t="shared" si="37"/>
        <v>140.13187187986543</v>
      </c>
    </row>
    <row r="45" spans="1:35">
      <c r="A45" s="122"/>
      <c r="B45" s="241">
        <v>41</v>
      </c>
      <c r="C45" s="248">
        <f>'Other parameters'!$D$23</f>
        <v>5.1936000000000005E-3</v>
      </c>
      <c r="D45" s="242">
        <f>'Other parameters'!$G$23</f>
        <v>35</v>
      </c>
      <c r="E45" s="234">
        <v>0</v>
      </c>
      <c r="F45" s="248">
        <f t="shared" si="28"/>
        <v>1.0190315326066601E-2</v>
      </c>
      <c r="G45" s="248">
        <f t="shared" si="29"/>
        <v>8.0000000000000016E-2</v>
      </c>
      <c r="H45" s="249">
        <f t="shared" si="30"/>
        <v>0.30655684077380685</v>
      </c>
      <c r="I45" s="122"/>
      <c r="J45" s="244">
        <v>0</v>
      </c>
      <c r="K45" s="245">
        <v>0</v>
      </c>
      <c r="L45" s="245">
        <f t="shared" si="31"/>
        <v>0.42125424006694523</v>
      </c>
      <c r="M45" s="245">
        <f t="shared" si="32"/>
        <v>4.3240132525469025E-3</v>
      </c>
      <c r="N45" s="245">
        <f t="shared" si="33"/>
        <v>0.47324577580058269</v>
      </c>
      <c r="O45" s="245">
        <f t="shared" si="34"/>
        <v>1.8092792844560255E-2</v>
      </c>
      <c r="P45" s="245">
        <f t="shared" si="35"/>
        <v>8.1390456653601239E-3</v>
      </c>
      <c r="Q45" s="245">
        <f t="shared" si="36"/>
        <v>7.4944132370004676E-2</v>
      </c>
      <c r="R45" s="243">
        <f t="shared" si="26"/>
        <v>0.99999999999999989</v>
      </c>
      <c r="S45" s="250"/>
      <c r="T45" s="244">
        <f t="shared" si="11"/>
        <v>8.8836790998760122E-3</v>
      </c>
      <c r="U45" s="246">
        <f t="shared" si="16"/>
        <v>0.31092876849566042</v>
      </c>
      <c r="V45" s="246">
        <f t="shared" si="17"/>
        <v>2.2058390893814612E-5</v>
      </c>
      <c r="W45" s="246">
        <f t="shared" si="18"/>
        <v>1.9403076807823893E-2</v>
      </c>
      <c r="X45" s="246">
        <f t="shared" si="19"/>
        <v>3.2386099191762854E-3</v>
      </c>
      <c r="Y45" s="246">
        <f t="shared" si="20"/>
        <v>5.6973319657520869E-4</v>
      </c>
      <c r="Z45" s="246">
        <f t="shared" si="12"/>
        <v>0.33416224681012963</v>
      </c>
      <c r="AA45" s="247">
        <f t="shared" si="13"/>
        <v>0.10243972268799045</v>
      </c>
      <c r="AB45" s="122"/>
      <c r="AC45" s="244">
        <f t="shared" si="21"/>
        <v>6.4427797462948844</v>
      </c>
      <c r="AD45" s="245">
        <f t="shared" si="22"/>
        <v>121.32122113928023</v>
      </c>
      <c r="AE45" s="245">
        <f t="shared" si="23"/>
        <v>292.03996824653962</v>
      </c>
      <c r="AF45" s="245">
        <f t="shared" si="24"/>
        <v>17.316612031528621</v>
      </c>
      <c r="AG45" s="245">
        <f t="shared" si="25"/>
        <v>5.022605080093733</v>
      </c>
      <c r="AH45" s="245">
        <f t="shared" si="14"/>
        <v>442.14318624373709</v>
      </c>
      <c r="AI45" s="247">
        <f t="shared" si="37"/>
        <v>135.54201834454494</v>
      </c>
    </row>
    <row r="46" spans="1:35">
      <c r="A46" s="122"/>
      <c r="B46" s="241">
        <v>42</v>
      </c>
      <c r="C46" s="248">
        <f>'Other parameters'!$D$23</f>
        <v>5.1936000000000005E-3</v>
      </c>
      <c r="D46" s="242">
        <f>'Other parameters'!$G$23</f>
        <v>35</v>
      </c>
      <c r="E46" s="234">
        <v>0</v>
      </c>
      <c r="F46" s="248">
        <f t="shared" si="28"/>
        <v>9.2205786086103723E-3</v>
      </c>
      <c r="G46" s="248">
        <f t="shared" si="29"/>
        <v>8.0000000000000016E-2</v>
      </c>
      <c r="H46" s="249">
        <f t="shared" si="30"/>
        <v>0.29762800075126877</v>
      </c>
      <c r="I46" s="122"/>
      <c r="J46" s="244">
        <v>0</v>
      </c>
      <c r="K46" s="245">
        <v>0</v>
      </c>
      <c r="L46" s="245">
        <f t="shared" si="31"/>
        <v>0.41849427567785974</v>
      </c>
      <c r="M46" s="245">
        <f t="shared" si="32"/>
        <v>3.8842078347476935E-3</v>
      </c>
      <c r="N46" s="245">
        <f t="shared" si="33"/>
        <v>0.47258711909982043</v>
      </c>
      <c r="O46" s="245">
        <f t="shared" si="34"/>
        <v>1.8180670116006669E-2</v>
      </c>
      <c r="P46" s="245">
        <f t="shared" si="35"/>
        <v>8.2022949048245752E-3</v>
      </c>
      <c r="Q46" s="245">
        <f t="shared" si="36"/>
        <v>7.8651432366740784E-2</v>
      </c>
      <c r="R46" s="243">
        <f t="shared" si="26"/>
        <v>0.99999999999999989</v>
      </c>
      <c r="S46" s="250"/>
      <c r="T46" s="244">
        <f t="shared" si="11"/>
        <v>8.9008999967361106E-3</v>
      </c>
      <c r="U46" s="246">
        <f t="shared" si="16"/>
        <v>0.3115314998857639</v>
      </c>
      <c r="V46" s="246">
        <f t="shared" si="17"/>
        <v>1.9814780789863577E-5</v>
      </c>
      <c r="W46" s="246">
        <f t="shared" si="18"/>
        <v>1.9376071883092639E-2</v>
      </c>
      <c r="X46" s="246">
        <f t="shared" si="19"/>
        <v>3.2543399507651938E-3</v>
      </c>
      <c r="Y46" s="246">
        <f t="shared" si="20"/>
        <v>5.7416064333772033E-4</v>
      </c>
      <c r="Z46" s="246">
        <f t="shared" si="12"/>
        <v>0.33475588714374932</v>
      </c>
      <c r="AA46" s="247">
        <f t="shared" si="13"/>
        <v>9.9632725430311472E-2</v>
      </c>
      <c r="AB46" s="122"/>
      <c r="AC46" s="244">
        <f t="shared" si="21"/>
        <v>5.787469673774063</v>
      </c>
      <c r="AD46" s="245">
        <f t="shared" si="22"/>
        <v>120.5263513952236</v>
      </c>
      <c r="AE46" s="245">
        <f t="shared" si="23"/>
        <v>291.63351119649917</v>
      </c>
      <c r="AF46" s="245">
        <f t="shared" si="24"/>
        <v>17.400719368029982</v>
      </c>
      <c r="AG46" s="245">
        <f t="shared" si="25"/>
        <v>5.0616361857672452</v>
      </c>
      <c r="AH46" s="245">
        <f t="shared" si="14"/>
        <v>440.40968781929405</v>
      </c>
      <c r="AI46" s="247">
        <f t="shared" si="37"/>
        <v>131.07825489714691</v>
      </c>
    </row>
    <row r="47" spans="1:35">
      <c r="A47" s="122"/>
      <c r="B47" s="241">
        <v>43</v>
      </c>
      <c r="C47" s="248">
        <f>'Other parameters'!$D$23</f>
        <v>5.1936000000000005E-3</v>
      </c>
      <c r="D47" s="242">
        <f>'Other parameters'!$G$23</f>
        <v>35</v>
      </c>
      <c r="E47" s="234">
        <v>0</v>
      </c>
      <c r="F47" s="248">
        <f t="shared" si="28"/>
        <v>8.3431245410126084E-3</v>
      </c>
      <c r="G47" s="248">
        <f t="shared" si="29"/>
        <v>8.0000000000000016E-2</v>
      </c>
      <c r="H47" s="249">
        <f t="shared" si="30"/>
        <v>0.28895922403035801</v>
      </c>
      <c r="I47" s="122"/>
      <c r="J47" s="244">
        <v>0</v>
      </c>
      <c r="K47" s="245">
        <v>0</v>
      </c>
      <c r="L47" s="245">
        <f t="shared" si="31"/>
        <v>0.41601261985321286</v>
      </c>
      <c r="M47" s="245">
        <f t="shared" si="32"/>
        <v>3.4915498616812477E-3</v>
      </c>
      <c r="N47" s="245">
        <f t="shared" si="33"/>
        <v>0.47162609692399993</v>
      </c>
      <c r="O47" s="245">
        <f t="shared" si="34"/>
        <v>1.8245248075974937E-2</v>
      </c>
      <c r="P47" s="245">
        <f t="shared" si="35"/>
        <v>8.2530017480886304E-3</v>
      </c>
      <c r="Q47" s="245">
        <f t="shared" si="36"/>
        <v>8.2371483537042281E-2</v>
      </c>
      <c r="R47" s="243">
        <f t="shared" si="26"/>
        <v>0.99999999999999989</v>
      </c>
      <c r="S47" s="250"/>
      <c r="T47" s="244">
        <f t="shared" si="11"/>
        <v>8.9136511703014933E-3</v>
      </c>
      <c r="U47" s="246">
        <f t="shared" si="16"/>
        <v>0.31197779096055228</v>
      </c>
      <c r="V47" s="246">
        <f t="shared" si="17"/>
        <v>1.7811687239590366E-5</v>
      </c>
      <c r="W47" s="246">
        <f t="shared" si="18"/>
        <v>1.9336669973883999E-2</v>
      </c>
      <c r="X47" s="246">
        <f t="shared" si="19"/>
        <v>3.2658994055995137E-3</v>
      </c>
      <c r="Y47" s="246">
        <f t="shared" si="20"/>
        <v>5.7771012236620413E-4</v>
      </c>
      <c r="Z47" s="246">
        <f t="shared" si="12"/>
        <v>0.33517588214964156</v>
      </c>
      <c r="AA47" s="247">
        <f t="shared" si="13"/>
        <v>9.6852162819651144E-2</v>
      </c>
      <c r="AB47" s="122"/>
      <c r="AC47" s="244">
        <f t="shared" si="21"/>
        <v>5.2024092939050588</v>
      </c>
      <c r="AD47" s="245">
        <f t="shared" si="22"/>
        <v>119.81163451772531</v>
      </c>
      <c r="AE47" s="245">
        <f t="shared" si="23"/>
        <v>291.04046441180037</v>
      </c>
      <c r="AF47" s="245">
        <f t="shared" si="24"/>
        <v>17.462526933515612</v>
      </c>
      <c r="AG47" s="245">
        <f t="shared" si="25"/>
        <v>5.0929273787454941</v>
      </c>
      <c r="AH47" s="245">
        <f t="shared" si="14"/>
        <v>438.60996253569186</v>
      </c>
      <c r="AI47" s="247">
        <f t="shared" si="37"/>
        <v>126.74039442629793</v>
      </c>
    </row>
    <row r="48" spans="1:35">
      <c r="A48" s="122"/>
      <c r="B48" s="241">
        <v>44</v>
      </c>
      <c r="C48" s="248">
        <f>'Other parameters'!$D$23</f>
        <v>5.1936000000000005E-3</v>
      </c>
      <c r="D48" s="242">
        <f>'Other parameters'!$G$23</f>
        <v>35</v>
      </c>
      <c r="E48" s="234">
        <v>0</v>
      </c>
      <c r="F48" s="248">
        <f t="shared" si="28"/>
        <v>7.5491712680423014E-3</v>
      </c>
      <c r="G48" s="248">
        <f t="shared" si="29"/>
        <v>8.0000000000000016E-2</v>
      </c>
      <c r="H48" s="249">
        <f t="shared" si="30"/>
        <v>0.28054293595180391</v>
      </c>
      <c r="I48" s="122"/>
      <c r="J48" s="244">
        <v>0</v>
      </c>
      <c r="K48" s="245">
        <v>0</v>
      </c>
      <c r="L48" s="245">
        <f t="shared" si="31"/>
        <v>0.4137798723003111</v>
      </c>
      <c r="M48" s="245">
        <f t="shared" si="32"/>
        <v>3.1405505169388786E-3</v>
      </c>
      <c r="N48" s="245">
        <f t="shared" si="33"/>
        <v>0.47039812624018329</v>
      </c>
      <c r="O48" s="245">
        <f t="shared" si="34"/>
        <v>1.8288877173839608E-2</v>
      </c>
      <c r="P48" s="245">
        <f t="shared" si="35"/>
        <v>8.2923519330234223E-3</v>
      </c>
      <c r="Q48" s="245">
        <f t="shared" si="36"/>
        <v>8.610022183570358E-2</v>
      </c>
      <c r="R48" s="243">
        <f t="shared" si="26"/>
        <v>1</v>
      </c>
      <c r="S48" s="250"/>
      <c r="T48" s="244">
        <f t="shared" si="11"/>
        <v>8.9223382986612938E-3</v>
      </c>
      <c r="U48" s="246">
        <f t="shared" si="16"/>
        <v>0.31228184045314528</v>
      </c>
      <c r="V48" s="246">
        <f t="shared" si="17"/>
        <v>1.6021109760384088E-5</v>
      </c>
      <c r="W48" s="246">
        <f t="shared" si="18"/>
        <v>1.9286323175847515E-2</v>
      </c>
      <c r="X48" s="246">
        <f t="shared" si="19"/>
        <v>3.2737090141172899E-3</v>
      </c>
      <c r="Y48" s="246">
        <f t="shared" si="20"/>
        <v>5.804646353116396E-4</v>
      </c>
      <c r="Z48" s="246">
        <f t="shared" si="12"/>
        <v>0.33543835838818209</v>
      </c>
      <c r="AA48" s="247">
        <f t="shared" si="13"/>
        <v>9.4104861893074015E-2</v>
      </c>
      <c r="AB48" s="122"/>
      <c r="AC48" s="244">
        <f t="shared" si="21"/>
        <v>4.6794202702389294</v>
      </c>
      <c r="AD48" s="245">
        <f t="shared" si="22"/>
        <v>119.16860322248959</v>
      </c>
      <c r="AE48" s="245">
        <f t="shared" si="23"/>
        <v>290.28268370281711</v>
      </c>
      <c r="AF48" s="245">
        <f t="shared" si="24"/>
        <v>17.504284343081888</v>
      </c>
      <c r="AG48" s="245">
        <f t="shared" si="25"/>
        <v>5.1172103778687541</v>
      </c>
      <c r="AH48" s="245">
        <f t="shared" si="14"/>
        <v>436.75220191649629</v>
      </c>
      <c r="AI48" s="247">
        <f t="shared" si="37"/>
        <v>122.52774500906895</v>
      </c>
    </row>
    <row r="49" spans="1:35">
      <c r="A49" s="122"/>
      <c r="B49" s="241">
        <v>45</v>
      </c>
      <c r="C49" s="248">
        <f>'Other parameters'!$D$24</f>
        <v>5.7866000000000003E-3</v>
      </c>
      <c r="D49" s="242">
        <f>'Other parameters'!$G$24</f>
        <v>30.9</v>
      </c>
      <c r="E49" s="234">
        <v>0</v>
      </c>
      <c r="F49" s="248">
        <f t="shared" si="28"/>
        <v>6.8307726384866461E-3</v>
      </c>
      <c r="G49" s="248">
        <f t="shared" si="29"/>
        <v>8.0000000000000016E-2</v>
      </c>
      <c r="H49" s="249">
        <f t="shared" si="30"/>
        <v>0.27237178247747956</v>
      </c>
      <c r="I49" s="122"/>
      <c r="J49" s="244">
        <v>0</v>
      </c>
      <c r="K49" s="245">
        <v>0</v>
      </c>
      <c r="L49" s="245">
        <f t="shared" si="31"/>
        <v>0.41176997920464975</v>
      </c>
      <c r="M49" s="245">
        <f t="shared" si="32"/>
        <v>2.8264362300654635E-3</v>
      </c>
      <c r="N49" s="245">
        <f t="shared" si="33"/>
        <v>0.46893446949417866</v>
      </c>
      <c r="O49" s="245">
        <f t="shared" si="34"/>
        <v>1.8313710170843184E-2</v>
      </c>
      <c r="P49" s="245">
        <f t="shared" si="35"/>
        <v>8.3214396346756366E-3</v>
      </c>
      <c r="Q49" s="245">
        <f t="shared" si="36"/>
        <v>8.9833965265587221E-2</v>
      </c>
      <c r="R49" s="243">
        <f t="shared" si="26"/>
        <v>0.99999999999999989</v>
      </c>
      <c r="S49" s="250"/>
      <c r="T49" s="244">
        <f t="shared" si="11"/>
        <v>9.5203434298836397E-3</v>
      </c>
      <c r="U49" s="246">
        <f t="shared" si="16"/>
        <v>0.29417861198340445</v>
      </c>
      <c r="V49" s="246">
        <f t="shared" si="17"/>
        <v>1.441869660378601E-5</v>
      </c>
      <c r="W49" s="246">
        <f t="shared" si="18"/>
        <v>1.9226313249261325E-2</v>
      </c>
      <c r="X49" s="246">
        <f t="shared" si="19"/>
        <v>3.2781541205809299E-3</v>
      </c>
      <c r="Y49" s="246">
        <f t="shared" si="20"/>
        <v>5.8250077442729465E-4</v>
      </c>
      <c r="Z49" s="246">
        <f t="shared" si="12"/>
        <v>0.31727999882427776</v>
      </c>
      <c r="AA49" s="247">
        <f t="shared" si="13"/>
        <v>8.6418118824221152E-2</v>
      </c>
      <c r="AB49" s="122"/>
      <c r="AC49" s="244">
        <f t="shared" si="21"/>
        <v>4.2113899827975407</v>
      </c>
      <c r="AD49" s="245">
        <f t="shared" si="22"/>
        <v>118.58975401093913</v>
      </c>
      <c r="AE49" s="245">
        <f t="shared" si="23"/>
        <v>289.37946112485764</v>
      </c>
      <c r="AF49" s="245">
        <f t="shared" si="24"/>
        <v>17.528052004514013</v>
      </c>
      <c r="AG49" s="245">
        <f t="shared" si="25"/>
        <v>5.1351603985583356</v>
      </c>
      <c r="AH49" s="245">
        <f t="shared" si="14"/>
        <v>434.84381752166667</v>
      </c>
      <c r="AI49" s="247">
        <f t="shared" si="37"/>
        <v>118.43918567768822</v>
      </c>
    </row>
    <row r="50" spans="1:35">
      <c r="A50" s="122"/>
      <c r="B50" s="241">
        <v>46</v>
      </c>
      <c r="C50" s="248">
        <f>'Other parameters'!$D$24</f>
        <v>5.7866000000000003E-3</v>
      </c>
      <c r="D50" s="242">
        <f>'Other parameters'!$G$24</f>
        <v>30.9</v>
      </c>
      <c r="E50" s="234">
        <v>0</v>
      </c>
      <c r="F50" s="248">
        <f t="shared" si="28"/>
        <v>6.1807386773989354E-3</v>
      </c>
      <c r="G50" s="248">
        <f t="shared" si="29"/>
        <v>8.0000000000000016E-2</v>
      </c>
      <c r="H50" s="249">
        <f t="shared" si="30"/>
        <v>0.26443862376454325</v>
      </c>
      <c r="I50" s="122"/>
      <c r="J50" s="244">
        <v>0</v>
      </c>
      <c r="K50" s="245">
        <v>0</v>
      </c>
      <c r="L50" s="245">
        <f t="shared" si="31"/>
        <v>0.40995980998780485</v>
      </c>
      <c r="M50" s="245">
        <f t="shared" si="32"/>
        <v>2.5450426366619341E-3</v>
      </c>
      <c r="N50" s="245">
        <f t="shared" si="33"/>
        <v>0.46726277959228185</v>
      </c>
      <c r="O50" s="245">
        <f t="shared" si="34"/>
        <v>1.8321709334009475E-2</v>
      </c>
      <c r="P50" s="245">
        <f t="shared" si="35"/>
        <v>8.341270268707077E-3</v>
      </c>
      <c r="Q50" s="245">
        <f t="shared" si="36"/>
        <v>9.3569388180534757E-2</v>
      </c>
      <c r="R50" s="243">
        <f t="shared" si="26"/>
        <v>1</v>
      </c>
      <c r="S50" s="250"/>
      <c r="T50" s="244">
        <f t="shared" si="11"/>
        <v>9.5220229149475394E-3</v>
      </c>
      <c r="U50" s="246">
        <f t="shared" si="16"/>
        <v>0.29423050807187895</v>
      </c>
      <c r="V50" s="246">
        <f t="shared" si="17"/>
        <v>1.2983203806752115E-5</v>
      </c>
      <c r="W50" s="246">
        <f t="shared" si="18"/>
        <v>1.9157773963283557E-2</v>
      </c>
      <c r="X50" s="246">
        <f t="shared" si="19"/>
        <v>3.2795859707876957E-3</v>
      </c>
      <c r="Y50" s="246">
        <f t="shared" si="20"/>
        <v>5.8388891880949546E-4</v>
      </c>
      <c r="Z50" s="246">
        <f t="shared" si="12"/>
        <v>0.31726474012856648</v>
      </c>
      <c r="AA50" s="247">
        <f t="shared" si="13"/>
        <v>8.3897051248613574E-2</v>
      </c>
      <c r="AB50" s="122"/>
      <c r="AC50" s="244">
        <f t="shared" si="21"/>
        <v>3.7921135286262819</v>
      </c>
      <c r="AD50" s="245">
        <f t="shared" si="22"/>
        <v>118.0684252764878</v>
      </c>
      <c r="AE50" s="245">
        <f t="shared" si="23"/>
        <v>288.34786128639712</v>
      </c>
      <c r="AF50" s="245">
        <f t="shared" si="24"/>
        <v>17.535708003580467</v>
      </c>
      <c r="AG50" s="245">
        <f t="shared" si="25"/>
        <v>5.1473978828191376</v>
      </c>
      <c r="AH50" s="245">
        <f t="shared" si="14"/>
        <v>432.89150597791075</v>
      </c>
      <c r="AI50" s="247">
        <f t="shared" si="37"/>
        <v>114.47323408015926</v>
      </c>
    </row>
    <row r="51" spans="1:35">
      <c r="A51" s="122"/>
      <c r="B51" s="241">
        <v>47</v>
      </c>
      <c r="C51" s="248">
        <f>'Other parameters'!$D$24</f>
        <v>5.7866000000000003E-3</v>
      </c>
      <c r="D51" s="242">
        <f>'Other parameters'!$G$24</f>
        <v>30.9</v>
      </c>
      <c r="E51" s="234">
        <v>0</v>
      </c>
      <c r="F51" s="248">
        <f t="shared" si="28"/>
        <v>5.5925636264126432E-3</v>
      </c>
      <c r="G51" s="248">
        <f t="shared" si="29"/>
        <v>8.0000000000000016E-2</v>
      </c>
      <c r="H51" s="249">
        <f t="shared" si="30"/>
        <v>0.25673652792674101</v>
      </c>
      <c r="I51" s="122"/>
      <c r="J51" s="244">
        <v>0</v>
      </c>
      <c r="K51" s="245">
        <v>0</v>
      </c>
      <c r="L51" s="245">
        <f t="shared" si="31"/>
        <v>0.40832879475170808</v>
      </c>
      <c r="M51" s="245">
        <f t="shared" si="32"/>
        <v>2.2927263216288361E-3</v>
      </c>
      <c r="N51" s="245">
        <f t="shared" si="33"/>
        <v>0.46540756309926834</v>
      </c>
      <c r="O51" s="245">
        <f t="shared" si="34"/>
        <v>1.8314656527749624E-2</v>
      </c>
      <c r="P51" s="245">
        <f t="shared" si="35"/>
        <v>8.3527644647517912E-3</v>
      </c>
      <c r="Q51" s="245">
        <f t="shared" si="36"/>
        <v>9.7303494834893256E-2</v>
      </c>
      <c r="R51" s="243">
        <f t="shared" si="26"/>
        <v>1</v>
      </c>
      <c r="S51" s="250"/>
      <c r="T51" s="244">
        <f t="shared" si="11"/>
        <v>9.5207066543585052E-3</v>
      </c>
      <c r="U51" s="246">
        <f t="shared" si="16"/>
        <v>0.29418983561967782</v>
      </c>
      <c r="V51" s="246">
        <f t="shared" si="17"/>
        <v>1.1696044961295598E-5</v>
      </c>
      <c r="W51" s="246">
        <f t="shared" si="18"/>
        <v>1.9081710087070002E-2</v>
      </c>
      <c r="X51" s="246">
        <f t="shared" si="19"/>
        <v>3.2783235184671825E-3</v>
      </c>
      <c r="Y51" s="246">
        <f t="shared" si="20"/>
        <v>5.8469351253262545E-4</v>
      </c>
      <c r="Z51" s="246">
        <f t="shared" si="12"/>
        <v>0.31714625878270897</v>
      </c>
      <c r="AA51" s="247">
        <f t="shared" si="13"/>
        <v>8.1423029324828394E-2</v>
      </c>
      <c r="AB51" s="122"/>
      <c r="AC51" s="244">
        <f t="shared" si="21"/>
        <v>3.4161622192269658</v>
      </c>
      <c r="AD51" s="245">
        <f t="shared" si="22"/>
        <v>117.59869288849193</v>
      </c>
      <c r="AE51" s="245">
        <f t="shared" si="23"/>
        <v>287.2030071885585</v>
      </c>
      <c r="AF51" s="245">
        <f t="shared" si="24"/>
        <v>17.528957762709165</v>
      </c>
      <c r="AG51" s="245">
        <f t="shared" si="25"/>
        <v>5.1544909511983308</v>
      </c>
      <c r="AH51" s="245">
        <f t="shared" si="14"/>
        <v>430.90131101018494</v>
      </c>
      <c r="AI51" s="247">
        <f t="shared" si="37"/>
        <v>110.62810646783566</v>
      </c>
    </row>
    <row r="52" spans="1:35">
      <c r="A52" s="122"/>
      <c r="B52" s="241">
        <v>48</v>
      </c>
      <c r="C52" s="248">
        <f>'Other parameters'!$D$24</f>
        <v>5.7866000000000003E-3</v>
      </c>
      <c r="D52" s="242">
        <f>'Other parameters'!$G$24</f>
        <v>30.9</v>
      </c>
      <c r="E52" s="234">
        <v>0</v>
      </c>
      <c r="F52" s="248">
        <f t="shared" si="28"/>
        <v>5.0603608319250383E-3</v>
      </c>
      <c r="G52" s="248">
        <f t="shared" si="29"/>
        <v>8.0000000000000016E-2</v>
      </c>
      <c r="H52" s="249">
        <f t="shared" si="30"/>
        <v>0.24925876497741845</v>
      </c>
      <c r="I52" s="122"/>
      <c r="J52" s="244">
        <v>0</v>
      </c>
      <c r="K52" s="245">
        <v>0</v>
      </c>
      <c r="L52" s="245">
        <f t="shared" si="31"/>
        <v>0.40685861255582284</v>
      </c>
      <c r="M52" s="245">
        <f t="shared" si="32"/>
        <v>2.0662910395087015E-3</v>
      </c>
      <c r="N52" s="245">
        <f t="shared" si="33"/>
        <v>0.4633905755902949</v>
      </c>
      <c r="O52" s="245">
        <f t="shared" si="34"/>
        <v>1.8294164952974264E-2</v>
      </c>
      <c r="P52" s="245">
        <f t="shared" si="35"/>
        <v>8.3567627684910557E-3</v>
      </c>
      <c r="Q52" s="245">
        <f t="shared" si="36"/>
        <v>0.10103359309290809</v>
      </c>
      <c r="R52" s="243">
        <f t="shared" si="26"/>
        <v>0.99999999999999989</v>
      </c>
      <c r="S52" s="250"/>
      <c r="T52" s="244">
        <f t="shared" si="11"/>
        <v>9.5166982580148288E-3</v>
      </c>
      <c r="U52" s="246">
        <f t="shared" si="16"/>
        <v>0.29406597617265817</v>
      </c>
      <c r="V52" s="246">
        <f t="shared" si="17"/>
        <v>1.0540914837164938E-5</v>
      </c>
      <c r="W52" s="246">
        <f t="shared" si="18"/>
        <v>1.8999013599202093E-2</v>
      </c>
      <c r="X52" s="246">
        <f t="shared" si="19"/>
        <v>3.2746555265823932E-3</v>
      </c>
      <c r="Y52" s="246">
        <f t="shared" si="20"/>
        <v>5.8497339379437398E-4</v>
      </c>
      <c r="Z52" s="246">
        <f t="shared" si="12"/>
        <v>0.31693515960707419</v>
      </c>
      <c r="AA52" s="247">
        <f t="shared" si="13"/>
        <v>7.8998866461580303E-2</v>
      </c>
      <c r="AB52" s="122"/>
      <c r="AC52" s="244">
        <f t="shared" si="21"/>
        <v>3.0787736488679651</v>
      </c>
      <c r="AD52" s="245">
        <f t="shared" si="22"/>
        <v>117.17528041607697</v>
      </c>
      <c r="AE52" s="245">
        <f t="shared" si="23"/>
        <v>285.958324196771</v>
      </c>
      <c r="AF52" s="245">
        <f t="shared" si="24"/>
        <v>17.509345276491668</v>
      </c>
      <c r="AG52" s="245">
        <f t="shared" si="25"/>
        <v>5.1569583044358307</v>
      </c>
      <c r="AH52" s="245">
        <f t="shared" si="14"/>
        <v>428.8786818426434</v>
      </c>
      <c r="AI52" s="247">
        <f t="shared" si="37"/>
        <v>106.90177056124047</v>
      </c>
    </row>
    <row r="53" spans="1:35">
      <c r="A53" s="122"/>
      <c r="B53" s="241">
        <v>49</v>
      </c>
      <c r="C53" s="248">
        <f>'Other parameters'!$D$24</f>
        <v>5.7866000000000003E-3</v>
      </c>
      <c r="D53" s="242">
        <f>'Other parameters'!$G$24</f>
        <v>30.9</v>
      </c>
      <c r="E53" s="234">
        <v>0</v>
      </c>
      <c r="F53" s="248">
        <f t="shared" si="28"/>
        <v>4.5788038294893542E-3</v>
      </c>
      <c r="G53" s="248">
        <f t="shared" si="29"/>
        <v>8.0000000000000016E-2</v>
      </c>
      <c r="H53" s="249">
        <f t="shared" si="30"/>
        <v>0.24199880094894996</v>
      </c>
      <c r="I53" s="122"/>
      <c r="J53" s="244">
        <v>0</v>
      </c>
      <c r="K53" s="245">
        <v>0</v>
      </c>
      <c r="L53" s="245">
        <f t="shared" si="31"/>
        <v>0.40553292245286376</v>
      </c>
      <c r="M53" s="245">
        <f t="shared" si="32"/>
        <v>1.8629257732313271E-3</v>
      </c>
      <c r="N53" s="245">
        <f t="shared" si="33"/>
        <v>0.4612311604602895</v>
      </c>
      <c r="O53" s="245">
        <f t="shared" si="34"/>
        <v>1.8261691651636897E-2</v>
      </c>
      <c r="P53" s="245">
        <f t="shared" si="35"/>
        <v>8.3540307468203193E-3</v>
      </c>
      <c r="Q53" s="245">
        <f t="shared" si="36"/>
        <v>0.10475726891515805</v>
      </c>
      <c r="R53" s="243">
        <f t="shared" si="26"/>
        <v>0.99999999999999978</v>
      </c>
      <c r="S53" s="250"/>
      <c r="T53" s="244">
        <f t="shared" si="11"/>
        <v>9.5102758222499646E-3</v>
      </c>
      <c r="U53" s="246">
        <f t="shared" si="16"/>
        <v>0.29386752290752388</v>
      </c>
      <c r="V53" s="246">
        <f t="shared" si="17"/>
        <v>9.5034733965937847E-6</v>
      </c>
      <c r="W53" s="246">
        <f t="shared" si="18"/>
        <v>1.8910477578871869E-2</v>
      </c>
      <c r="X53" s="246">
        <f t="shared" si="19"/>
        <v>3.2688428056430047E-3</v>
      </c>
      <c r="Y53" s="246">
        <f t="shared" si="20"/>
        <v>5.8478215227742239E-4</v>
      </c>
      <c r="Z53" s="246">
        <f t="shared" si="12"/>
        <v>0.31664112891771279</v>
      </c>
      <c r="AA53" s="247">
        <f t="shared" si="13"/>
        <v>7.6626773529208381E-2</v>
      </c>
      <c r="AB53" s="122"/>
      <c r="AC53" s="244">
        <f t="shared" si="21"/>
        <v>2.7757594021146774</v>
      </c>
      <c r="AD53" s="245">
        <f t="shared" si="22"/>
        <v>116.79348166642477</v>
      </c>
      <c r="AE53" s="245">
        <f t="shared" si="23"/>
        <v>284.62574912004465</v>
      </c>
      <c r="AF53" s="245">
        <f t="shared" si="24"/>
        <v>17.478265079781675</v>
      </c>
      <c r="AG53" s="245">
        <f t="shared" si="25"/>
        <v>5.155272373862819</v>
      </c>
      <c r="AH53" s="245">
        <f t="shared" si="14"/>
        <v>426.82852764222861</v>
      </c>
      <c r="AI53" s="247">
        <f t="shared" si="37"/>
        <v>103.29199190022507</v>
      </c>
    </row>
    <row r="54" spans="1:35">
      <c r="A54" s="122"/>
      <c r="B54" s="241">
        <v>50</v>
      </c>
      <c r="C54" s="248">
        <f>'Other parameters'!$D$25</f>
        <v>7.5960000000000003E-3</v>
      </c>
      <c r="D54" s="242">
        <f>'Other parameters'!$G$25</f>
        <v>26.7</v>
      </c>
      <c r="E54" s="234">
        <v>0</v>
      </c>
      <c r="F54" s="248">
        <f t="shared" si="28"/>
        <v>4.1430730347683112E-3</v>
      </c>
      <c r="G54" s="248">
        <f t="shared" si="29"/>
        <v>8.0000000000000016E-2</v>
      </c>
      <c r="H54" s="249">
        <f t="shared" si="30"/>
        <v>0.2349502921834466</v>
      </c>
      <c r="I54" s="122"/>
      <c r="J54" s="244">
        <v>0</v>
      </c>
      <c r="K54" s="245">
        <v>0</v>
      </c>
      <c r="L54" s="245">
        <f t="shared" si="31"/>
        <v>0.40433713063817861</v>
      </c>
      <c r="M54" s="245">
        <f t="shared" si="32"/>
        <v>1.6801525157252484E-3</v>
      </c>
      <c r="N54" s="245">
        <f t="shared" si="33"/>
        <v>0.45894654039931326</v>
      </c>
      <c r="O54" s="245">
        <f t="shared" si="34"/>
        <v>1.8218550166148657E-2</v>
      </c>
      <c r="P54" s="245">
        <f t="shared" si="35"/>
        <v>8.3452642588377375E-3</v>
      </c>
      <c r="Q54" s="245">
        <f t="shared" si="36"/>
        <v>0.10847236202179628</v>
      </c>
      <c r="R54" s="243">
        <f t="shared" si="26"/>
        <v>0.99999999999999978</v>
      </c>
      <c r="S54" s="250"/>
      <c r="T54" s="244">
        <f t="shared" si="11"/>
        <v>1.1311093106638232E-2</v>
      </c>
      <c r="U54" s="246">
        <f t="shared" si="16"/>
        <v>0.30200618594724082</v>
      </c>
      <c r="V54" s="246">
        <f t="shared" si="17"/>
        <v>8.5710794089874319E-6</v>
      </c>
      <c r="W54" s="246">
        <f t="shared" si="18"/>
        <v>1.8816808156371843E-2</v>
      </c>
      <c r="X54" s="246">
        <f t="shared" si="19"/>
        <v>3.2611204797406094E-3</v>
      </c>
      <c r="Y54" s="246">
        <f t="shared" si="20"/>
        <v>5.8416849811864164E-4</v>
      </c>
      <c r="Z54" s="246">
        <f t="shared" si="12"/>
        <v>0.32467685416088088</v>
      </c>
      <c r="AA54" s="247">
        <f t="shared" si="13"/>
        <v>7.6282921750301241E-2</v>
      </c>
      <c r="AB54" s="122"/>
      <c r="AC54" s="244">
        <f t="shared" si="21"/>
        <v>2.5034272484306199</v>
      </c>
      <c r="AD54" s="245">
        <f t="shared" si="22"/>
        <v>116.44909362379543</v>
      </c>
      <c r="AE54" s="245">
        <f t="shared" si="23"/>
        <v>283.21591008041622</v>
      </c>
      <c r="AF54" s="245">
        <f t="shared" si="24"/>
        <v>17.43697436402088</v>
      </c>
      <c r="AG54" s="245">
        <f t="shared" si="25"/>
        <v>5.1498625741287682</v>
      </c>
      <c r="AH54" s="245">
        <f t="shared" si="14"/>
        <v>424.75526789079191</v>
      </c>
      <c r="AI54" s="247">
        <f t="shared" si="37"/>
        <v>99.796374297399694</v>
      </c>
    </row>
    <row r="55" spans="1:35">
      <c r="A55" s="122"/>
      <c r="B55" s="241">
        <v>51</v>
      </c>
      <c r="C55" s="248">
        <f>'Other parameters'!$D$25</f>
        <v>7.5960000000000003E-3</v>
      </c>
      <c r="D55" s="242">
        <f>'Other parameters'!$G$25</f>
        <v>26.7</v>
      </c>
      <c r="E55" s="234">
        <v>0</v>
      </c>
      <c r="F55" s="248">
        <f t="shared" si="28"/>
        <v>3.7488075075141655E-3</v>
      </c>
      <c r="G55" s="248">
        <f t="shared" si="29"/>
        <v>8.0000000000000016E-2</v>
      </c>
      <c r="H55" s="249">
        <f t="shared" si="30"/>
        <v>0.22810707978975397</v>
      </c>
      <c r="I55" s="122"/>
      <c r="J55" s="244">
        <v>0</v>
      </c>
      <c r="K55" s="245">
        <v>0</v>
      </c>
      <c r="L55" s="245">
        <f t="shared" si="31"/>
        <v>0.40325818822136406</v>
      </c>
      <c r="M55" s="245">
        <f t="shared" si="32"/>
        <v>1.5157820709031399E-3</v>
      </c>
      <c r="N55" s="245">
        <f t="shared" si="33"/>
        <v>0.45655206906879064</v>
      </c>
      <c r="O55" s="245">
        <f t="shared" si="34"/>
        <v>1.8165922942149998E-2</v>
      </c>
      <c r="P55" s="245">
        <f t="shared" si="35"/>
        <v>8.3310947226866855E-3</v>
      </c>
      <c r="Q55" s="245">
        <f t="shared" si="36"/>
        <v>0.11217694297410527</v>
      </c>
      <c r="R55" s="243">
        <f t="shared" si="26"/>
        <v>0.99999999999999978</v>
      </c>
      <c r="S55" s="250"/>
      <c r="T55" s="244">
        <f t="shared" si="11"/>
        <v>1.130058095230899E-2</v>
      </c>
      <c r="U55" s="246">
        <f t="shared" si="16"/>
        <v>0.30172551142664999</v>
      </c>
      <c r="V55" s="246">
        <f t="shared" si="17"/>
        <v>7.7325649754017723E-6</v>
      </c>
      <c r="W55" s="246">
        <f t="shared" si="18"/>
        <v>1.8718634831820416E-2</v>
      </c>
      <c r="X55" s="246">
        <f t="shared" si="19"/>
        <v>3.2517002066448494E-3</v>
      </c>
      <c r="Y55" s="246">
        <f t="shared" si="20"/>
        <v>5.8317663058806801E-4</v>
      </c>
      <c r="Z55" s="246">
        <f t="shared" si="12"/>
        <v>0.32428675566067866</v>
      </c>
      <c r="AA55" s="247">
        <f t="shared" si="13"/>
        <v>7.3972104848250883E-2</v>
      </c>
      <c r="AB55" s="122"/>
      <c r="AC55" s="244">
        <f t="shared" si="21"/>
        <v>2.2585152856456787</v>
      </c>
      <c r="AD55" s="245">
        <f t="shared" si="22"/>
        <v>116.13835820775284</v>
      </c>
      <c r="AE55" s="245">
        <f t="shared" si="23"/>
        <v>281.7382818223507</v>
      </c>
      <c r="AF55" s="245">
        <f t="shared" si="24"/>
        <v>17.386604847931764</v>
      </c>
      <c r="AG55" s="245">
        <f t="shared" si="25"/>
        <v>5.1411185533699539</v>
      </c>
      <c r="AH55" s="245">
        <f t="shared" si="14"/>
        <v>422.66287871705094</v>
      </c>
      <c r="AI55" s="247">
        <f t="shared" si="37"/>
        <v>96.412394999677446</v>
      </c>
    </row>
    <row r="56" spans="1:35">
      <c r="A56" s="122"/>
      <c r="B56" s="241">
        <v>52</v>
      </c>
      <c r="C56" s="248">
        <f>'Other parameters'!$D$25</f>
        <v>7.5960000000000003E-3</v>
      </c>
      <c r="D56" s="242">
        <f>'Other parameters'!$G$25</f>
        <v>26.7</v>
      </c>
      <c r="E56" s="234">
        <v>0</v>
      </c>
      <c r="F56" s="248">
        <f t="shared" si="28"/>
        <v>3.3920613058129384E-3</v>
      </c>
      <c r="G56" s="248">
        <f t="shared" si="29"/>
        <v>8.0000000000000016E-2</v>
      </c>
      <c r="H56" s="249">
        <f t="shared" si="30"/>
        <v>0.22146318426189707</v>
      </c>
      <c r="I56" s="122"/>
      <c r="J56" s="244">
        <v>0</v>
      </c>
      <c r="K56" s="245">
        <v>0</v>
      </c>
      <c r="L56" s="245">
        <f t="shared" si="31"/>
        <v>0.40228441506328094</v>
      </c>
      <c r="M56" s="245">
        <f t="shared" si="32"/>
        <v>1.3678764965179197E-3</v>
      </c>
      <c r="N56" s="245">
        <f t="shared" si="33"/>
        <v>0.45406144917096403</v>
      </c>
      <c r="O56" s="245">
        <f t="shared" si="34"/>
        <v>1.8104873207938649E-2</v>
      </c>
      <c r="P56" s="245">
        <f t="shared" si="35"/>
        <v>8.3120942593174693E-3</v>
      </c>
      <c r="Q56" s="245">
        <f t="shared" si="36"/>
        <v>0.11586929180198076</v>
      </c>
      <c r="R56" s="243">
        <f t="shared" si="26"/>
        <v>0.99999999999999978</v>
      </c>
      <c r="S56" s="250"/>
      <c r="T56" s="244">
        <f t="shared" si="11"/>
        <v>1.1288348827875489E-2</v>
      </c>
      <c r="U56" s="246">
        <f t="shared" si="16"/>
        <v>0.30139891370427552</v>
      </c>
      <c r="V56" s="246">
        <f t="shared" si="17"/>
        <v>6.9780439356612792E-6</v>
      </c>
      <c r="W56" s="246">
        <f t="shared" si="18"/>
        <v>1.8616519416009527E-2</v>
      </c>
      <c r="X56" s="246">
        <f t="shared" si="19"/>
        <v>3.240772304221018E-3</v>
      </c>
      <c r="Y56" s="246">
        <f t="shared" si="20"/>
        <v>5.8184659815222286E-4</v>
      </c>
      <c r="Z56" s="246">
        <f t="shared" si="12"/>
        <v>0.32384503006659399</v>
      </c>
      <c r="AA56" s="247">
        <f t="shared" si="13"/>
        <v>7.1719751565937698E-2</v>
      </c>
      <c r="AB56" s="122"/>
      <c r="AC56" s="244">
        <f t="shared" si="21"/>
        <v>2.0381359798117002</v>
      </c>
      <c r="AD56" s="245">
        <f t="shared" si="22"/>
        <v>115.85791153822491</v>
      </c>
      <c r="AE56" s="245">
        <f t="shared" si="23"/>
        <v>280.20132028340191</v>
      </c>
      <c r="AF56" s="245">
        <f t="shared" si="24"/>
        <v>17.32817414731808</v>
      </c>
      <c r="AG56" s="245">
        <f t="shared" si="25"/>
        <v>5.1293933674248109</v>
      </c>
      <c r="AH56" s="245">
        <f t="shared" si="14"/>
        <v>420.5549353161814</v>
      </c>
      <c r="AI56" s="247">
        <f t="shared" si="37"/>
        <v>93.137435132177686</v>
      </c>
    </row>
    <row r="57" spans="1:35">
      <c r="A57" s="122"/>
      <c r="B57" s="241">
        <v>53</v>
      </c>
      <c r="C57" s="248">
        <f>'Other parameters'!$D$25</f>
        <v>7.5960000000000003E-3</v>
      </c>
      <c r="D57" s="242">
        <f>'Other parameters'!$G$25</f>
        <v>26.7</v>
      </c>
      <c r="E57" s="234">
        <v>0</v>
      </c>
      <c r="F57" s="248">
        <f t="shared" si="28"/>
        <v>3.069263993771464E-3</v>
      </c>
      <c r="G57" s="248">
        <f t="shared" si="29"/>
        <v>8.0000000000000016E-2</v>
      </c>
      <c r="H57" s="249">
        <f t="shared" si="30"/>
        <v>0.215012800254269</v>
      </c>
      <c r="I57" s="122"/>
      <c r="J57" s="244">
        <v>0</v>
      </c>
      <c r="K57" s="245">
        <v>0</v>
      </c>
      <c r="L57" s="245">
        <f t="shared" si="31"/>
        <v>0.40140534588196641</v>
      </c>
      <c r="M57" s="245">
        <f t="shared" si="32"/>
        <v>1.2347170704091429E-3</v>
      </c>
      <c r="N57" s="245">
        <f t="shared" si="33"/>
        <v>0.45148692202249779</v>
      </c>
      <c r="O57" s="245">
        <f t="shared" si="34"/>
        <v>1.8036356168208586E-2</v>
      </c>
      <c r="P57" s="245">
        <f t="shared" si="35"/>
        <v>8.2887806327083154E-3</v>
      </c>
      <c r="Q57" s="245">
        <f t="shared" si="36"/>
        <v>0.11954787822420947</v>
      </c>
      <c r="R57" s="243">
        <f t="shared" si="26"/>
        <v>0.99999999999999967</v>
      </c>
      <c r="S57" s="250"/>
      <c r="T57" s="244">
        <f t="shared" si="11"/>
        <v>1.1274586422228706E-2</v>
      </c>
      <c r="U57" s="246">
        <f t="shared" si="16"/>
        <v>0.30103145747350646</v>
      </c>
      <c r="V57" s="246">
        <f t="shared" si="17"/>
        <v>6.2987484523337652E-6</v>
      </c>
      <c r="W57" s="246">
        <f t="shared" si="18"/>
        <v>1.8510963802922411E-2</v>
      </c>
      <c r="X57" s="246">
        <f t="shared" si="19"/>
        <v>3.2285077541093369E-3</v>
      </c>
      <c r="Y57" s="246">
        <f t="shared" si="20"/>
        <v>5.8021464428958209E-4</v>
      </c>
      <c r="Z57" s="246">
        <f t="shared" si="12"/>
        <v>0.32335744242328007</v>
      </c>
      <c r="AA57" s="247">
        <f t="shared" si="13"/>
        <v>6.9525989178488012E-2</v>
      </c>
      <c r="AB57" s="122"/>
      <c r="AC57" s="244">
        <f t="shared" si="21"/>
        <v>1.839728434909623</v>
      </c>
      <c r="AD57" s="245">
        <f t="shared" si="22"/>
        <v>115.60473961400632</v>
      </c>
      <c r="AE57" s="245">
        <f t="shared" si="23"/>
        <v>278.61257958008338</v>
      </c>
      <c r="AF57" s="245">
        <f t="shared" si="24"/>
        <v>17.26259648859244</v>
      </c>
      <c r="AG57" s="245">
        <f t="shared" si="25"/>
        <v>5.1150065284443018</v>
      </c>
      <c r="AH57" s="245">
        <f t="shared" si="14"/>
        <v>418.43465064603612</v>
      </c>
      <c r="AI57" s="247">
        <f t="shared" si="37"/>
        <v>89.968805958820994</v>
      </c>
    </row>
    <row r="58" spans="1:35">
      <c r="A58" s="122"/>
      <c r="B58" s="241">
        <v>54</v>
      </c>
      <c r="C58" s="248">
        <f>'Other parameters'!$D$25</f>
        <v>7.5960000000000003E-3</v>
      </c>
      <c r="D58" s="242">
        <f>'Other parameters'!$G$25</f>
        <v>26.7</v>
      </c>
      <c r="E58" s="234">
        <v>0</v>
      </c>
      <c r="F58" s="248">
        <f t="shared" si="28"/>
        <v>2.7771849073949103E-3</v>
      </c>
      <c r="G58" s="248">
        <f t="shared" si="29"/>
        <v>8.0000000000000016E-2</v>
      </c>
      <c r="H58" s="249">
        <f t="shared" si="30"/>
        <v>0.20875029150899907</v>
      </c>
      <c r="I58" s="122"/>
      <c r="J58" s="244">
        <v>0</v>
      </c>
      <c r="K58" s="245">
        <v>0</v>
      </c>
      <c r="L58" s="245">
        <f t="shared" si="31"/>
        <v>0.4006115954519418</v>
      </c>
      <c r="M58" s="245">
        <f t="shared" si="32"/>
        <v>1.1147768683310308E-3</v>
      </c>
      <c r="N58" s="245">
        <f t="shared" si="33"/>
        <v>0.44883943286849487</v>
      </c>
      <c r="O58" s="245">
        <f t="shared" si="34"/>
        <v>1.7961229424041172E-2</v>
      </c>
      <c r="P58" s="245">
        <f t="shared" si="35"/>
        <v>8.2616219348848798E-3</v>
      </c>
      <c r="Q58" s="245">
        <f t="shared" si="36"/>
        <v>0.12321134345230601</v>
      </c>
      <c r="R58" s="243">
        <f t="shared" si="26"/>
        <v>0.99999999999999978</v>
      </c>
      <c r="S58" s="250"/>
      <c r="T58" s="244">
        <f t="shared" si="11"/>
        <v>1.1259465228096545E-2</v>
      </c>
      <c r="U58" s="246">
        <f t="shared" si="16"/>
        <v>0.30062772159017775</v>
      </c>
      <c r="V58" s="246">
        <f t="shared" si="17"/>
        <v>5.6868891200887115E-6</v>
      </c>
      <c r="W58" s="246">
        <f t="shared" si="18"/>
        <v>1.8402416747608289E-2</v>
      </c>
      <c r="X58" s="246">
        <f t="shared" si="19"/>
        <v>3.2150600669033696E-3</v>
      </c>
      <c r="Y58" s="246">
        <f t="shared" si="20"/>
        <v>5.7831353544194166E-4</v>
      </c>
      <c r="Z58" s="246">
        <f t="shared" si="12"/>
        <v>0.32282919882925148</v>
      </c>
      <c r="AA58" s="247">
        <f t="shared" si="13"/>
        <v>6.7390689363222872E-2</v>
      </c>
      <c r="AB58" s="122"/>
      <c r="AC58" s="244">
        <f t="shared" si="21"/>
        <v>1.661017533813236</v>
      </c>
      <c r="AD58" s="245">
        <f t="shared" si="22"/>
        <v>115.37613949015923</v>
      </c>
      <c r="AE58" s="245">
        <f t="shared" si="23"/>
        <v>276.97881402314817</v>
      </c>
      <c r="AF58" s="245">
        <f t="shared" si="24"/>
        <v>17.190692681749805</v>
      </c>
      <c r="AG58" s="245">
        <f t="shared" si="25"/>
        <v>5.0982468960174598</v>
      </c>
      <c r="AH58" s="245">
        <f t="shared" si="14"/>
        <v>416.3049106248879</v>
      </c>
      <c r="AI58" s="247">
        <f t="shared" si="37"/>
        <v>86.903771449573156</v>
      </c>
    </row>
    <row r="59" spans="1:35">
      <c r="A59" s="122"/>
      <c r="B59" s="241">
        <v>55</v>
      </c>
      <c r="C59" s="248">
        <f>'Other parameters'!$D$26</f>
        <v>9.7777999999999997E-3</v>
      </c>
      <c r="D59" s="242">
        <f>'Other parameters'!$G$26</f>
        <v>22.7</v>
      </c>
      <c r="E59" s="234">
        <v>0</v>
      </c>
      <c r="F59" s="248">
        <f t="shared" si="28"/>
        <v>2.5129008210156459E-3</v>
      </c>
      <c r="G59" s="248">
        <f t="shared" si="29"/>
        <v>8.0000000000000016E-2</v>
      </c>
      <c r="H59" s="249">
        <f t="shared" si="30"/>
        <v>0.20267018593106703</v>
      </c>
      <c r="I59" s="122"/>
      <c r="J59" s="244">
        <v>0</v>
      </c>
      <c r="K59" s="245">
        <v>0</v>
      </c>
      <c r="L59" s="245">
        <f t="shared" si="31"/>
        <v>0.39989474023058835</v>
      </c>
      <c r="M59" s="245">
        <f t="shared" si="32"/>
        <v>1.0066972071195723E-3</v>
      </c>
      <c r="N59" s="245">
        <f t="shared" si="33"/>
        <v>0.44612877546292073</v>
      </c>
      <c r="O59" s="245">
        <f t="shared" si="34"/>
        <v>1.788026258312957E-2</v>
      </c>
      <c r="P59" s="245">
        <f t="shared" si="35"/>
        <v>8.231040985438089E-3</v>
      </c>
      <c r="Q59" s="245">
        <f t="shared" si="36"/>
        <v>0.12685848353080356</v>
      </c>
      <c r="R59" s="243">
        <f t="shared" si="26"/>
        <v>0.99999999999999989</v>
      </c>
      <c r="S59" s="250"/>
      <c r="T59" s="244">
        <f t="shared" si="11"/>
        <v>1.3424940078497542E-2</v>
      </c>
      <c r="U59" s="246">
        <f t="shared" si="16"/>
        <v>0.30474613978189419</v>
      </c>
      <c r="V59" s="246">
        <f t="shared" si="17"/>
        <v>5.1355347935798463E-6</v>
      </c>
      <c r="W59" s="246">
        <f t="shared" si="18"/>
        <v>1.8291279793979751E-2</v>
      </c>
      <c r="X59" s="246">
        <f t="shared" si="19"/>
        <v>3.2005670023801929E-3</v>
      </c>
      <c r="Y59" s="246">
        <f t="shared" si="20"/>
        <v>5.761728689806663E-4</v>
      </c>
      <c r="Z59" s="246">
        <f t="shared" si="12"/>
        <v>0.32681929498202839</v>
      </c>
      <c r="AA59" s="247">
        <f t="shared" si="13"/>
        <v>6.6236527279867938E-2</v>
      </c>
      <c r="AB59" s="122"/>
      <c r="AC59" s="244">
        <f t="shared" si="21"/>
        <v>1.4999788386081627</v>
      </c>
      <c r="AD59" s="245">
        <f t="shared" si="22"/>
        <v>115.16968518640945</v>
      </c>
      <c r="AE59" s="245">
        <f t="shared" si="23"/>
        <v>275.30606733816842</v>
      </c>
      <c r="AF59" s="245">
        <f t="shared" si="24"/>
        <v>17.113199318313313</v>
      </c>
      <c r="AG59" s="245">
        <f t="shared" si="25"/>
        <v>5.0793753921138451</v>
      </c>
      <c r="AH59" s="245">
        <f t="shared" si="14"/>
        <v>414.16830607361317</v>
      </c>
      <c r="AI59" s="247">
        <f t="shared" si="37"/>
        <v>83.939567598694254</v>
      </c>
    </row>
    <row r="60" spans="1:35">
      <c r="A60" s="122"/>
      <c r="B60" s="241">
        <v>56</v>
      </c>
      <c r="C60" s="248">
        <f>'Other parameters'!$D$26</f>
        <v>9.7777999999999997E-3</v>
      </c>
      <c r="D60" s="242">
        <f>'Other parameters'!$G$26</f>
        <v>22.7</v>
      </c>
      <c r="E60" s="234">
        <v>0</v>
      </c>
      <c r="F60" s="248">
        <f t="shared" si="28"/>
        <v>2.27376669066824E-3</v>
      </c>
      <c r="G60" s="248">
        <f t="shared" si="29"/>
        <v>8.0000000000000016E-2</v>
      </c>
      <c r="H60" s="249">
        <f t="shared" si="30"/>
        <v>0.19676717080686118</v>
      </c>
      <c r="I60" s="122"/>
      <c r="J60" s="244">
        <v>0</v>
      </c>
      <c r="K60" s="245">
        <v>0</v>
      </c>
      <c r="L60" s="245">
        <f t="shared" si="31"/>
        <v>0.39924721416432968</v>
      </c>
      <c r="M60" s="245">
        <f t="shared" si="32"/>
        <v>9.0926734010974035E-4</v>
      </c>
      <c r="N60" s="245">
        <f t="shared" si="33"/>
        <v>0.44336371886236575</v>
      </c>
      <c r="O60" s="245">
        <f t="shared" si="34"/>
        <v>1.7794146059890822E-2</v>
      </c>
      <c r="P60" s="245">
        <f t="shared" si="35"/>
        <v>8.197419430898566E-3</v>
      </c>
      <c r="Q60" s="245">
        <f t="shared" si="36"/>
        <v>0.13048823414240532</v>
      </c>
      <c r="R60" s="243">
        <f t="shared" si="26"/>
        <v>0.99999999999999989</v>
      </c>
      <c r="S60" s="250"/>
      <c r="T60" s="244">
        <f t="shared" si="11"/>
        <v>1.3407550611601749E-2</v>
      </c>
      <c r="U60" s="246">
        <f t="shared" si="16"/>
        <v>0.30435139888335971</v>
      </c>
      <c r="V60" s="246">
        <f t="shared" si="17"/>
        <v>4.6385090062584564E-6</v>
      </c>
      <c r="W60" s="246">
        <f t="shared" si="18"/>
        <v>1.8177912473356997E-2</v>
      </c>
      <c r="X60" s="246">
        <f t="shared" si="19"/>
        <v>3.1851521447204571E-3</v>
      </c>
      <c r="Y60" s="246">
        <f t="shared" si="20"/>
        <v>5.7381936016289966E-4</v>
      </c>
      <c r="Z60" s="246">
        <f t="shared" si="12"/>
        <v>0.32629292137060634</v>
      </c>
      <c r="AA60" s="247">
        <f t="shared" si="13"/>
        <v>6.4203734992399827E-2</v>
      </c>
      <c r="AB60" s="122"/>
      <c r="AC60" s="244">
        <f t="shared" si="21"/>
        <v>1.3548083367635131</v>
      </c>
      <c r="AD60" s="245">
        <f t="shared" si="22"/>
        <v>114.98319767932695</v>
      </c>
      <c r="AE60" s="245">
        <f t="shared" si="23"/>
        <v>273.59975090996591</v>
      </c>
      <c r="AF60" s="245">
        <f t="shared" si="24"/>
        <v>17.030777193921505</v>
      </c>
      <c r="AG60" s="245">
        <f t="shared" si="25"/>
        <v>5.058627530807505</v>
      </c>
      <c r="AH60" s="245">
        <f t="shared" si="14"/>
        <v>412.02716165078533</v>
      </c>
      <c r="AI60" s="247">
        <f t="shared" si="37"/>
        <v>81.073418893606274</v>
      </c>
    </row>
    <row r="61" spans="1:35">
      <c r="A61" s="122"/>
      <c r="B61" s="241">
        <v>57</v>
      </c>
      <c r="C61" s="248">
        <f>'Other parameters'!$D$26</f>
        <v>9.7777999999999997E-3</v>
      </c>
      <c r="D61" s="242">
        <f>'Other parameters'!$G$26</f>
        <v>22.7</v>
      </c>
      <c r="E61" s="234">
        <v>0</v>
      </c>
      <c r="F61" s="248">
        <f t="shared" ref="F61:F92" si="38">IF(B61&lt;rf2age,0,(pA2_2p*EXP(-0.1*(B61-$B$28))))</f>
        <v>2.057389181600418E-3</v>
      </c>
      <c r="G61" s="248">
        <f t="shared" si="29"/>
        <v>8.0000000000000016E-2</v>
      </c>
      <c r="H61" s="249">
        <f t="shared" si="30"/>
        <v>0.19103608816200118</v>
      </c>
      <c r="I61" s="122"/>
      <c r="J61" s="244">
        <v>0</v>
      </c>
      <c r="K61" s="245">
        <v>0</v>
      </c>
      <c r="L61" s="245">
        <f t="shared" si="31"/>
        <v>0.3986622167735524</v>
      </c>
      <c r="M61" s="245">
        <f t="shared" si="32"/>
        <v>8.2140689920579706E-4</v>
      </c>
      <c r="N61" s="245">
        <f t="shared" si="33"/>
        <v>0.44055211890612433</v>
      </c>
      <c r="O61" s="245">
        <f t="shared" si="34"/>
        <v>1.7703499088834434E-2</v>
      </c>
      <c r="P61" s="245">
        <f t="shared" si="35"/>
        <v>8.1611015406289397E-3</v>
      </c>
      <c r="Q61" s="245">
        <f t="shared" si="36"/>
        <v>0.13409965679165392</v>
      </c>
      <c r="R61" s="243">
        <f t="shared" si="26"/>
        <v>0.99999999999999978</v>
      </c>
      <c r="S61" s="250"/>
      <c r="T61" s="244">
        <f t="shared" si="11"/>
        <v>1.3389222649248607E-2</v>
      </c>
      <c r="U61" s="246">
        <f t="shared" si="16"/>
        <v>0.30393535413794337</v>
      </c>
      <c r="V61" s="246">
        <f t="shared" si="17"/>
        <v>4.1903004008799843E-6</v>
      </c>
      <c r="W61" s="246">
        <f t="shared" si="18"/>
        <v>1.8062636875151097E-2</v>
      </c>
      <c r="X61" s="246">
        <f t="shared" si="19"/>
        <v>3.1689263369013634E-3</v>
      </c>
      <c r="Y61" s="246">
        <f t="shared" si="20"/>
        <v>5.7127710784402584E-4</v>
      </c>
      <c r="Z61" s="246">
        <f t="shared" si="12"/>
        <v>0.32574238475824074</v>
      </c>
      <c r="AA61" s="247">
        <f t="shared" si="13"/>
        <v>6.2228550932775788E-2</v>
      </c>
      <c r="AB61" s="122"/>
      <c r="AC61" s="244">
        <f t="shared" si="21"/>
        <v>1.2238962798166377</v>
      </c>
      <c r="AD61" s="245">
        <f t="shared" si="22"/>
        <v>114.81471843078309</v>
      </c>
      <c r="AE61" s="245">
        <f t="shared" si="23"/>
        <v>271.86471257696934</v>
      </c>
      <c r="AF61" s="245">
        <f t="shared" si="24"/>
        <v>16.944018977923438</v>
      </c>
      <c r="AG61" s="245">
        <f t="shared" si="25"/>
        <v>5.0362157607221185</v>
      </c>
      <c r="AH61" s="245">
        <f t="shared" si="14"/>
        <v>409.88356202621469</v>
      </c>
      <c r="AI61" s="247">
        <f t="shared" si="37"/>
        <v>78.302552291395031</v>
      </c>
    </row>
    <row r="62" spans="1:35">
      <c r="A62" s="122"/>
      <c r="B62" s="241">
        <v>58</v>
      </c>
      <c r="C62" s="248">
        <f>'Other parameters'!$D$26</f>
        <v>9.7777999999999997E-3</v>
      </c>
      <c r="D62" s="242">
        <f>'Other parameters'!$G$26</f>
        <v>22.7</v>
      </c>
      <c r="E62" s="234">
        <v>0</v>
      </c>
      <c r="F62" s="248">
        <f t="shared" si="38"/>
        <v>1.8616027149744381E-3</v>
      </c>
      <c r="G62" s="248">
        <f t="shared" si="29"/>
        <v>8.0000000000000016E-2</v>
      </c>
      <c r="H62" s="249">
        <f t="shared" si="30"/>
        <v>0.18547193025437006</v>
      </c>
      <c r="I62" s="122"/>
      <c r="J62" s="244">
        <v>0</v>
      </c>
      <c r="K62" s="245">
        <v>0</v>
      </c>
      <c r="L62" s="245">
        <f t="shared" si="31"/>
        <v>0.39813363190224249</v>
      </c>
      <c r="M62" s="245">
        <f t="shared" si="32"/>
        <v>7.4215066510337311E-4</v>
      </c>
      <c r="N62" s="245">
        <f t="shared" si="33"/>
        <v>0.43770101646613385</v>
      </c>
      <c r="O62" s="245">
        <f t="shared" si="34"/>
        <v>1.7608876989606614E-2</v>
      </c>
      <c r="P62" s="245">
        <f t="shared" si="35"/>
        <v>8.1223977038860657E-3</v>
      </c>
      <c r="Q62" s="245">
        <f t="shared" si="36"/>
        <v>0.13769192627302737</v>
      </c>
      <c r="R62" s="243">
        <f t="shared" si="26"/>
        <v>0.99999999999999989</v>
      </c>
      <c r="S62" s="250"/>
      <c r="T62" s="244">
        <f t="shared" si="11"/>
        <v>1.3370069481373453E-2</v>
      </c>
      <c r="U62" s="246">
        <f t="shared" si="16"/>
        <v>0.30350057722717738</v>
      </c>
      <c r="V62" s="246">
        <f t="shared" si="17"/>
        <v>3.7859850367739202E-6</v>
      </c>
      <c r="W62" s="246">
        <f t="shared" si="18"/>
        <v>1.7945741675111489E-2</v>
      </c>
      <c r="X62" s="246">
        <f t="shared" si="19"/>
        <v>3.1519889811395837E-3</v>
      </c>
      <c r="Y62" s="246">
        <f t="shared" si="20"/>
        <v>5.6856783927202467E-4</v>
      </c>
      <c r="Z62" s="246">
        <f t="shared" si="12"/>
        <v>0.32517066170773723</v>
      </c>
      <c r="AA62" s="247">
        <f t="shared" si="13"/>
        <v>6.0310030289024798E-2</v>
      </c>
      <c r="AB62" s="122"/>
      <c r="AC62" s="244">
        <f t="shared" si="21"/>
        <v>1.1058044910040259</v>
      </c>
      <c r="AD62" s="245">
        <f t="shared" si="22"/>
        <v>114.66248598784584</v>
      </c>
      <c r="AE62" s="245">
        <f t="shared" si="23"/>
        <v>270.10529726125122</v>
      </c>
      <c r="AF62" s="245">
        <f t="shared" si="24"/>
        <v>16.85345616675249</v>
      </c>
      <c r="AG62" s="245">
        <f t="shared" si="25"/>
        <v>5.012331623068091</v>
      </c>
      <c r="AH62" s="245">
        <f t="shared" si="14"/>
        <v>407.73937552992163</v>
      </c>
      <c r="AI62" s="247">
        <f t="shared" si="37"/>
        <v>75.624209020246028</v>
      </c>
    </row>
    <row r="63" spans="1:35">
      <c r="A63" s="122"/>
      <c r="B63" s="241">
        <v>59</v>
      </c>
      <c r="C63" s="248">
        <f>'Other parameters'!$D$26</f>
        <v>9.7777999999999997E-3</v>
      </c>
      <c r="D63" s="242">
        <f>'Other parameters'!$G$26</f>
        <v>22.7</v>
      </c>
      <c r="E63" s="234">
        <v>0</v>
      </c>
      <c r="F63" s="248">
        <f t="shared" si="38"/>
        <v>1.6844477940262037E-3</v>
      </c>
      <c r="G63" s="248">
        <f t="shared" si="29"/>
        <v>8.0000000000000016E-2</v>
      </c>
      <c r="H63" s="249">
        <f t="shared" si="30"/>
        <v>0.18006983519841754</v>
      </c>
      <c r="I63" s="122"/>
      <c r="J63" s="244">
        <v>0</v>
      </c>
      <c r="K63" s="245">
        <v>0</v>
      </c>
      <c r="L63" s="245">
        <f t="shared" si="31"/>
        <v>0.39765595575718399</v>
      </c>
      <c r="M63" s="245">
        <f t="shared" si="32"/>
        <v>6.70635317985373E-4</v>
      </c>
      <c r="N63" s="245">
        <f t="shared" si="33"/>
        <v>0.43481672422909035</v>
      </c>
      <c r="O63" s="245">
        <f t="shared" si="34"/>
        <v>1.7510777730969856E-2</v>
      </c>
      <c r="P63" s="245">
        <f t="shared" si="35"/>
        <v>8.0815876381909613E-3</v>
      </c>
      <c r="Q63" s="245">
        <f t="shared" si="36"/>
        <v>0.14126431932657924</v>
      </c>
      <c r="R63" s="243">
        <f t="shared" si="26"/>
        <v>0.99999999999999989</v>
      </c>
      <c r="S63" s="250"/>
      <c r="T63" s="244">
        <f t="shared" si="11"/>
        <v>1.3350193053551868E-2</v>
      </c>
      <c r="U63" s="246">
        <f t="shared" si="16"/>
        <v>0.30304938231562739</v>
      </c>
      <c r="V63" s="246">
        <f t="shared" si="17"/>
        <v>3.4211588002431908E-6</v>
      </c>
      <c r="W63" s="246">
        <f t="shared" si="18"/>
        <v>1.7827485693392705E-2</v>
      </c>
      <c r="X63" s="246">
        <f t="shared" si="19"/>
        <v>3.1344292138436041E-3</v>
      </c>
      <c r="Y63" s="246">
        <f t="shared" si="20"/>
        <v>5.6571113467336739E-4</v>
      </c>
      <c r="Z63" s="246">
        <f t="shared" si="12"/>
        <v>0.32458042951633731</v>
      </c>
      <c r="AA63" s="247">
        <f t="shared" si="13"/>
        <v>5.8447144451638441E-2</v>
      </c>
      <c r="AB63" s="122"/>
      <c r="AC63" s="244">
        <f t="shared" si="21"/>
        <v>0.99924662379820572</v>
      </c>
      <c r="AD63" s="245">
        <f t="shared" si="22"/>
        <v>114.52491525806899</v>
      </c>
      <c r="AE63" s="245">
        <f t="shared" si="23"/>
        <v>268.32540052177166</v>
      </c>
      <c r="AF63" s="245">
        <f t="shared" si="24"/>
        <v>16.75956536631125</v>
      </c>
      <c r="AG63" s="245">
        <f t="shared" si="25"/>
        <v>4.9871477315276422</v>
      </c>
      <c r="AH63" s="245">
        <f t="shared" si="14"/>
        <v>405.59627550147775</v>
      </c>
      <c r="AI63" s="247">
        <f t="shared" si="37"/>
        <v>73.035654486643054</v>
      </c>
    </row>
    <row r="64" spans="1:35">
      <c r="A64" s="122"/>
      <c r="B64" s="241">
        <v>60</v>
      </c>
      <c r="C64" s="248">
        <f>'Other parameters'!$D$27</f>
        <v>1.46842E-2</v>
      </c>
      <c r="D64" s="242">
        <f>'Other parameters'!$G$27</f>
        <v>18.7</v>
      </c>
      <c r="E64" s="234">
        <v>0</v>
      </c>
      <c r="F64" s="248">
        <f t="shared" si="38"/>
        <v>1.5241513927630379E-3</v>
      </c>
      <c r="G64" s="248">
        <f t="shared" si="29"/>
        <v>8.0000000000000016E-2</v>
      </c>
      <c r="H64" s="249">
        <f t="shared" si="30"/>
        <v>0.17482508271691022</v>
      </c>
      <c r="I64" s="122"/>
      <c r="J64" s="244">
        <v>0</v>
      </c>
      <c r="K64" s="245">
        <v>0</v>
      </c>
      <c r="L64" s="245">
        <f t="shared" si="31"/>
        <v>0.39722423306105237</v>
      </c>
      <c r="M64" s="245">
        <f t="shared" si="32"/>
        <v>6.0608787880782897E-4</v>
      </c>
      <c r="N64" s="245">
        <f t="shared" si="33"/>
        <v>0.4319049035070745</v>
      </c>
      <c r="O64" s="245">
        <f t="shared" si="34"/>
        <v>1.7409647845428585E-2</v>
      </c>
      <c r="P64" s="245">
        <f t="shared" si="35"/>
        <v>8.038923322748406E-3</v>
      </c>
      <c r="Q64" s="245">
        <f t="shared" si="36"/>
        <v>0.14481620438488807</v>
      </c>
      <c r="R64" s="243">
        <f t="shared" si="26"/>
        <v>0.99999999999999967</v>
      </c>
      <c r="S64" s="250"/>
      <c r="T64" s="244">
        <f t="shared" si="11"/>
        <v>1.8236085058308829E-2</v>
      </c>
      <c r="U64" s="246">
        <f t="shared" si="16"/>
        <v>0.34101479059037509</v>
      </c>
      <c r="V64" s="246">
        <f t="shared" si="17"/>
        <v>3.0918784392881579E-6</v>
      </c>
      <c r="W64" s="246">
        <f t="shared" si="18"/>
        <v>1.7708101043790055E-2</v>
      </c>
      <c r="X64" s="246">
        <f t="shared" si="19"/>
        <v>3.1163269643317165E-3</v>
      </c>
      <c r="Y64" s="246">
        <f t="shared" si="20"/>
        <v>5.6272463259238843E-4</v>
      </c>
      <c r="Z64" s="246">
        <f t="shared" si="12"/>
        <v>0.36240503510952854</v>
      </c>
      <c r="AA64" s="247">
        <f t="shared" si="13"/>
        <v>6.3357490240048081E-2</v>
      </c>
      <c r="AB64" s="122"/>
      <c r="AC64" s="244">
        <f t="shared" si="21"/>
        <v>0.90307093942366512</v>
      </c>
      <c r="AD64" s="245">
        <f t="shared" si="22"/>
        <v>114.40057912158308</v>
      </c>
      <c r="AE64" s="245">
        <f t="shared" si="23"/>
        <v>266.52851595421566</v>
      </c>
      <c r="AF64" s="245">
        <f t="shared" si="24"/>
        <v>16.662773952859698</v>
      </c>
      <c r="AG64" s="245">
        <f t="shared" si="25"/>
        <v>4.9608195824680417</v>
      </c>
      <c r="AH64" s="245">
        <f t="shared" si="14"/>
        <v>403.45575955055017</v>
      </c>
      <c r="AI64" s="247">
        <f t="shared" si="37"/>
        <v>70.534186536038774</v>
      </c>
    </row>
    <row r="65" spans="1:35">
      <c r="A65" s="122"/>
      <c r="B65" s="241">
        <v>61</v>
      </c>
      <c r="C65" s="248">
        <f>'Other parameters'!$D$27</f>
        <v>1.46842E-2</v>
      </c>
      <c r="D65" s="242">
        <f>'Other parameters'!$G$27</f>
        <v>18.7</v>
      </c>
      <c r="E65" s="234">
        <v>0</v>
      </c>
      <c r="F65" s="248">
        <f t="shared" si="38"/>
        <v>1.3791092109236187E-3</v>
      </c>
      <c r="G65" s="248">
        <f t="shared" si="29"/>
        <v>8.0000000000000016E-2</v>
      </c>
      <c r="H65" s="249">
        <f t="shared" si="30"/>
        <v>0.1697330900164177</v>
      </c>
      <c r="I65" s="122"/>
      <c r="J65" s="244">
        <v>0</v>
      </c>
      <c r="K65" s="245">
        <v>0</v>
      </c>
      <c r="L65" s="245">
        <f t="shared" si="31"/>
        <v>0.39683400031092581</v>
      </c>
      <c r="M65" s="245">
        <f t="shared" si="32"/>
        <v>5.4781559861656756E-4</v>
      </c>
      <c r="N65" s="245">
        <f t="shared" si="33"/>
        <v>0.42897063235193861</v>
      </c>
      <c r="O65" s="245">
        <f t="shared" si="34"/>
        <v>1.7305887747616166E-2</v>
      </c>
      <c r="P65" s="245">
        <f t="shared" si="35"/>
        <v>7.994631672860842E-3</v>
      </c>
      <c r="Q65" s="245">
        <f t="shared" si="36"/>
        <v>0.14834703231804178</v>
      </c>
      <c r="R65" s="243">
        <f t="shared" si="26"/>
        <v>0.99999999999999989</v>
      </c>
      <c r="S65" s="250"/>
      <c r="T65" s="244">
        <f t="shared" si="11"/>
        <v>1.8215027933153712E-2</v>
      </c>
      <c r="U65" s="246">
        <f t="shared" si="16"/>
        <v>0.34062102234997438</v>
      </c>
      <c r="V65" s="246">
        <f t="shared" si="17"/>
        <v>2.7946099852713669E-6</v>
      </c>
      <c r="W65" s="246">
        <f t="shared" si="18"/>
        <v>1.7587795926429485E-2</v>
      </c>
      <c r="X65" s="246">
        <f t="shared" si="19"/>
        <v>3.0977539068232935E-3</v>
      </c>
      <c r="Y65" s="246">
        <f t="shared" si="20"/>
        <v>5.5962421710025899E-4</v>
      </c>
      <c r="Z65" s="246">
        <f t="shared" si="12"/>
        <v>0.36186899101031272</v>
      </c>
      <c r="AA65" s="247">
        <f t="shared" si="13"/>
        <v>6.142114202530366E-2</v>
      </c>
      <c r="AB65" s="122"/>
      <c r="AC65" s="244">
        <f t="shared" si="21"/>
        <v>0.81624524193868564</v>
      </c>
      <c r="AD65" s="245">
        <f t="shared" si="22"/>
        <v>114.28819208954663</v>
      </c>
      <c r="AE65" s="245">
        <f t="shared" si="23"/>
        <v>264.71777722438134</v>
      </c>
      <c r="AF65" s="245">
        <f t="shared" si="24"/>
        <v>16.563465163243432</v>
      </c>
      <c r="AG65" s="245">
        <f t="shared" si="25"/>
        <v>4.9334872053224261</v>
      </c>
      <c r="AH65" s="245">
        <f t="shared" si="14"/>
        <v>401.31916692443252</v>
      </c>
      <c r="AI65" s="247">
        <f t="shared" si="37"/>
        <v>68.117142284898463</v>
      </c>
    </row>
    <row r="66" spans="1:35">
      <c r="A66" s="122"/>
      <c r="B66" s="241">
        <v>62</v>
      </c>
      <c r="C66" s="248">
        <f>'Other parameters'!$D$27</f>
        <v>1.46842E-2</v>
      </c>
      <c r="D66" s="242">
        <f>'Other parameters'!$G$27</f>
        <v>18.7</v>
      </c>
      <c r="E66" s="234">
        <v>0</v>
      </c>
      <c r="F66" s="248">
        <f t="shared" si="38"/>
        <v>1.2478696176017367E-3</v>
      </c>
      <c r="G66" s="248">
        <f t="shared" si="29"/>
        <v>8.0000000000000016E-2</v>
      </c>
      <c r="H66" s="249">
        <f t="shared" si="30"/>
        <v>0.16478940778292983</v>
      </c>
      <c r="I66" s="122"/>
      <c r="J66" s="244">
        <v>0</v>
      </c>
      <c r="K66" s="245">
        <v>0</v>
      </c>
      <c r="L66" s="245">
        <f t="shared" si="31"/>
        <v>0.39648123527434675</v>
      </c>
      <c r="M66" s="245">
        <f t="shared" si="32"/>
        <v>4.9519709221936242E-4</v>
      </c>
      <c r="N66" s="245">
        <f t="shared" si="33"/>
        <v>0.42601846606424681</v>
      </c>
      <c r="O66" s="245">
        <f t="shared" si="34"/>
        <v>1.7199856508901334E-2</v>
      </c>
      <c r="P66" s="245">
        <f t="shared" si="35"/>
        <v>7.9489169724516143E-3</v>
      </c>
      <c r="Q66" s="245">
        <f t="shared" si="36"/>
        <v>0.15185632808783389</v>
      </c>
      <c r="R66" s="243">
        <f t="shared" si="26"/>
        <v>0.99999999999999967</v>
      </c>
      <c r="S66" s="250"/>
      <c r="T66" s="244">
        <f t="shared" si="11"/>
        <v>1.8193495769792112E-2</v>
      </c>
      <c r="U66" s="246">
        <f t="shared" si="16"/>
        <v>0.34021837089511248</v>
      </c>
      <c r="V66" s="246">
        <f t="shared" si="17"/>
        <v>2.5261835224998712E-6</v>
      </c>
      <c r="W66" s="246">
        <f t="shared" si="18"/>
        <v>1.7466757108634118E-2</v>
      </c>
      <c r="X66" s="246">
        <f t="shared" si="19"/>
        <v>3.0787743150933384E-3</v>
      </c>
      <c r="Y66" s="246">
        <f t="shared" si="20"/>
        <v>5.564241880716131E-4</v>
      </c>
      <c r="Z66" s="246">
        <f t="shared" si="12"/>
        <v>0.36132285269043402</v>
      </c>
      <c r="AA66" s="247">
        <f t="shared" si="13"/>
        <v>5.9542178913295413E-2</v>
      </c>
      <c r="AB66" s="122"/>
      <c r="AC66" s="244">
        <f t="shared" si="21"/>
        <v>0.73784366740685003</v>
      </c>
      <c r="AD66" s="245">
        <f t="shared" si="22"/>
        <v>114.18659575901187</v>
      </c>
      <c r="AE66" s="245">
        <f t="shared" si="23"/>
        <v>262.89599540824673</v>
      </c>
      <c r="AF66" s="245">
        <f t="shared" si="24"/>
        <v>16.461982664669467</v>
      </c>
      <c r="AG66" s="245">
        <f t="shared" si="25"/>
        <v>4.9052766636998912</v>
      </c>
      <c r="AH66" s="245">
        <f t="shared" si="14"/>
        <v>399.18769416303479</v>
      </c>
      <c r="AI66" s="247">
        <f t="shared" si="37"/>
        <v>65.781903715359817</v>
      </c>
    </row>
    <row r="67" spans="1:35">
      <c r="A67" s="122"/>
      <c r="B67" s="241">
        <v>63</v>
      </c>
      <c r="C67" s="248">
        <f>'Other parameters'!$D$27</f>
        <v>1.46842E-2</v>
      </c>
      <c r="D67" s="242">
        <f>'Other parameters'!$G$27</f>
        <v>18.7</v>
      </c>
      <c r="E67" s="234">
        <v>0</v>
      </c>
      <c r="F67" s="248">
        <f t="shared" si="38"/>
        <v>1.1291191228362755E-3</v>
      </c>
      <c r="G67" s="248">
        <f t="shared" si="29"/>
        <v>8.0000000000000016E-2</v>
      </c>
      <c r="H67" s="249">
        <f t="shared" si="30"/>
        <v>0.15998971629410663</v>
      </c>
      <c r="I67" s="122"/>
      <c r="J67" s="244">
        <v>0</v>
      </c>
      <c r="K67" s="245">
        <v>0</v>
      </c>
      <c r="L67" s="245">
        <f t="shared" si="31"/>
        <v>0.39616231197372975</v>
      </c>
      <c r="M67" s="245">
        <f t="shared" si="32"/>
        <v>4.476745445940134E-4</v>
      </c>
      <c r="N67" s="245">
        <f t="shared" si="33"/>
        <v>0.42305249103308284</v>
      </c>
      <c r="O67" s="245">
        <f t="shared" si="34"/>
        <v>1.7091876138669786E-2</v>
      </c>
      <c r="P67" s="245">
        <f t="shared" si="35"/>
        <v>7.9019630822330326E-3</v>
      </c>
      <c r="Q67" s="245">
        <f t="shared" si="36"/>
        <v>0.15534368322769038</v>
      </c>
      <c r="R67" s="243">
        <f t="shared" si="26"/>
        <v>0.99999999999999978</v>
      </c>
      <c r="S67" s="250"/>
      <c r="T67" s="244">
        <f t="shared" si="11"/>
        <v>1.8171555139856473E-2</v>
      </c>
      <c r="U67" s="246">
        <f t="shared" si="16"/>
        <v>0.33980808111531602</v>
      </c>
      <c r="V67" s="246">
        <f t="shared" si="17"/>
        <v>2.2837534302302823E-6</v>
      </c>
      <c r="W67" s="246">
        <f t="shared" si="18"/>
        <v>1.7345152132356396E-2</v>
      </c>
      <c r="X67" s="246">
        <f t="shared" si="19"/>
        <v>3.0594458288218918E-3</v>
      </c>
      <c r="Y67" s="246">
        <f t="shared" si="20"/>
        <v>5.5313741575631228E-4</v>
      </c>
      <c r="Z67" s="246">
        <f t="shared" si="12"/>
        <v>0.36076810024568085</v>
      </c>
      <c r="AA67" s="247">
        <f t="shared" si="13"/>
        <v>5.7719186006270302E-2</v>
      </c>
      <c r="AB67" s="122"/>
      <c r="AC67" s="244">
        <f t="shared" si="21"/>
        <v>0.66703507144508001</v>
      </c>
      <c r="AD67" s="245">
        <f t="shared" si="22"/>
        <v>114.09474584843417</v>
      </c>
      <c r="AE67" s="245">
        <f t="shared" si="23"/>
        <v>261.06569221651546</v>
      </c>
      <c r="AF67" s="245">
        <f t="shared" si="24"/>
        <v>16.358634652320852</v>
      </c>
      <c r="AG67" s="245">
        <f t="shared" si="25"/>
        <v>4.8763014180460047</v>
      </c>
      <c r="AH67" s="245">
        <f t="shared" si="14"/>
        <v>397.06240920676157</v>
      </c>
      <c r="AI67" s="247">
        <f t="shared" si="37"/>
        <v>63.525902200044257</v>
      </c>
    </row>
    <row r="68" spans="1:35">
      <c r="A68" s="122"/>
      <c r="B68" s="241">
        <v>64</v>
      </c>
      <c r="C68" s="248">
        <f>'Other parameters'!$D$27</f>
        <v>1.46842E-2</v>
      </c>
      <c r="D68" s="242">
        <f>'Other parameters'!$G$27</f>
        <v>18.7</v>
      </c>
      <c r="E68" s="234">
        <v>0</v>
      </c>
      <c r="F68" s="248">
        <f t="shared" si="38"/>
        <v>1.0216692317622032E-3</v>
      </c>
      <c r="G68" s="248">
        <f t="shared" si="29"/>
        <v>8.0000000000000016E-2</v>
      </c>
      <c r="H68" s="249">
        <f t="shared" si="30"/>
        <v>0.15532982164476369</v>
      </c>
      <c r="I68" s="122"/>
      <c r="J68" s="244">
        <v>0</v>
      </c>
      <c r="K68" s="245">
        <v>0</v>
      </c>
      <c r="L68" s="245">
        <f t="shared" si="31"/>
        <v>0.39587396051039692</v>
      </c>
      <c r="M68" s="245">
        <f t="shared" si="32"/>
        <v>4.0474684492733875E-4</v>
      </c>
      <c r="N68" s="245">
        <f t="shared" si="33"/>
        <v>0.42007637271318066</v>
      </c>
      <c r="O68" s="245">
        <f t="shared" si="34"/>
        <v>1.6982235419905407E-2</v>
      </c>
      <c r="P68" s="245">
        <f t="shared" si="35"/>
        <v>7.8539354409406584E-3</v>
      </c>
      <c r="Q68" s="245">
        <f t="shared" si="36"/>
        <v>0.1588087490706489</v>
      </c>
      <c r="R68" s="243">
        <f t="shared" si="26"/>
        <v>0.99999999999999989</v>
      </c>
      <c r="S68" s="250"/>
      <c r="T68" s="244">
        <f t="shared" si="11"/>
        <v>1.814926584295852E-2</v>
      </c>
      <c r="U68" s="246">
        <f t="shared" si="16"/>
        <v>0.3393912712633243</v>
      </c>
      <c r="V68" s="246">
        <f t="shared" si="17"/>
        <v>2.0647633568622052E-6</v>
      </c>
      <c r="W68" s="246">
        <f t="shared" si="18"/>
        <v>1.7223131281240409E-2</v>
      </c>
      <c r="X68" s="246">
        <f t="shared" si="19"/>
        <v>3.0398201401630677E-3</v>
      </c>
      <c r="Y68" s="246">
        <f t="shared" si="20"/>
        <v>5.4977548086584613E-4</v>
      </c>
      <c r="Z68" s="246">
        <f t="shared" si="12"/>
        <v>0.36020606292895047</v>
      </c>
      <c r="AA68" s="247">
        <f t="shared" si="13"/>
        <v>5.5950743510116405E-2</v>
      </c>
      <c r="AB68" s="122"/>
      <c r="AC68" s="244">
        <f t="shared" si="21"/>
        <v>0.60307279894173471</v>
      </c>
      <c r="AD68" s="245">
        <f t="shared" si="22"/>
        <v>114.01170062699431</v>
      </c>
      <c r="AE68" s="245">
        <f t="shared" si="23"/>
        <v>259.22912960130378</v>
      </c>
      <c r="AF68" s="245">
        <f t="shared" si="24"/>
        <v>16.253697520391466</v>
      </c>
      <c r="AG68" s="245">
        <f t="shared" si="25"/>
        <v>4.8466635606044806</v>
      </c>
      <c r="AH68" s="245">
        <f t="shared" si="14"/>
        <v>394.94426410823581</v>
      </c>
      <c r="AI68" s="247">
        <f t="shared" si="37"/>
        <v>61.346622103554715</v>
      </c>
    </row>
    <row r="69" spans="1:35">
      <c r="A69" s="122"/>
      <c r="B69" s="241">
        <v>65</v>
      </c>
      <c r="C69" s="248">
        <f>'Other parameters'!$D$28</f>
        <v>2.30286E-2</v>
      </c>
      <c r="D69" s="242">
        <f>'Other parameters'!$G$28</f>
        <v>15</v>
      </c>
      <c r="E69" s="234">
        <v>0</v>
      </c>
      <c r="F69" s="248">
        <f t="shared" si="38"/>
        <v>9.2444454975449384E-4</v>
      </c>
      <c r="G69" s="248">
        <f t="shared" ref="G69:G104" si="39">IF(B69&lt;rhdage,0,pVS_2p)</f>
        <v>8.0000000000000016E-2</v>
      </c>
      <c r="H69" s="249">
        <f t="shared" ref="H69:H104" si="40">1/(1+disc)^($B69-1)</f>
        <v>0.15080565208229488</v>
      </c>
      <c r="I69" s="122"/>
      <c r="J69" s="244">
        <v>0</v>
      </c>
      <c r="K69" s="245">
        <v>0</v>
      </c>
      <c r="L69" s="245">
        <f t="shared" ref="L69:L104" si="41">IF(B69&lt;rf2age,1,(K68*cpARF1_Remission)+(L68*(1-F69))+(M68*cpARF2_Remission))</f>
        <v>0.3956132311648945</v>
      </c>
      <c r="M69" s="245">
        <f t="shared" ref="M69:M104" si="42">IF(B69&lt;rf2age,0,L68*F69)</f>
        <v>3.6596352518356213E-4</v>
      </c>
      <c r="N69" s="245">
        <f t="shared" ref="N69:N104" si="43">IF(B69&lt;rf2age,0,(K68*pARF1_RHDMild)+(M68*pARF2_RHDMild)+(N68*cpRHDMild_RHDMild)+(O68*G69))</f>
        <v>0.41709339843627641</v>
      </c>
      <c r="O69" s="245">
        <f t="shared" ref="O69:O104" si="44">IF(B69&lt;rf2age,0,(N68*pRHDMild_RHDSevere)+(O68*(1-(G69+pRHDSevere_Death))))</f>
        <v>1.6871193343402813E-2</v>
      </c>
      <c r="P69" s="245">
        <f t="shared" ref="P69:P104" si="45">IF(B69&lt;rf2age,0,(N68*pRHDMild_Stroke)+(P68*(1-pStroke_Death)))</f>
        <v>7.8049828765698864E-3</v>
      </c>
      <c r="Q69" s="245">
        <f t="shared" ref="Q69:Q104" si="46">IF(B69&lt;rf2age,0,(K68*pARF1_Death)+(M68*pARF2_Death)+(O68*pRHDSevere_Death)+(P68*pStroke_Death)+Q68)</f>
        <v>0.16225123065367272</v>
      </c>
      <c r="R69" s="243">
        <f t="shared" si="26"/>
        <v>0.99999999999999989</v>
      </c>
      <c r="S69" s="250"/>
      <c r="T69" s="244">
        <f t="shared" ref="T69:T103" si="47">((K68*pARF1_Death)+(M68*pARF2_Death)+(O68*pRHDSevere_Death)+(P68*pStroke_Death))+C69</f>
        <v>2.6471081583023814E-2</v>
      </c>
      <c r="U69" s="246">
        <f t="shared" si="16"/>
        <v>0.39706622374535722</v>
      </c>
      <c r="V69" s="246">
        <f t="shared" si="17"/>
        <v>1.8669152983336788E-6</v>
      </c>
      <c r="W69" s="246">
        <f t="shared" si="18"/>
        <v>1.7100829335887333E-2</v>
      </c>
      <c r="X69" s="246">
        <f t="shared" si="19"/>
        <v>3.0199436084691034E-3</v>
      </c>
      <c r="Y69" s="246">
        <f t="shared" si="20"/>
        <v>5.4634880135989207E-4</v>
      </c>
      <c r="Z69" s="246">
        <f t="shared" ref="Z69:Z104" si="48">SUM(U69:Y69)</f>
        <v>0.4177352124063719</v>
      </c>
      <c r="AA69" s="247">
        <f t="shared" ref="AA69:AA100" si="49">Z69*H69</f>
        <v>6.2996831104678866E-2</v>
      </c>
      <c r="AB69" s="122"/>
      <c r="AC69" s="244">
        <f t="shared" si="21"/>
        <v>0.54528565252350758</v>
      </c>
      <c r="AD69" s="245">
        <f t="shared" si="22"/>
        <v>113.93661057548961</v>
      </c>
      <c r="AE69" s="245">
        <f t="shared" si="23"/>
        <v>257.38833617502615</v>
      </c>
      <c r="AF69" s="245">
        <f t="shared" si="24"/>
        <v>16.147419148970833</v>
      </c>
      <c r="AG69" s="245">
        <f t="shared" si="25"/>
        <v>4.8164549331312774</v>
      </c>
      <c r="AH69" s="245">
        <f t="shared" ref="AH69:AH104" si="50">SUM(AC69:AG69)</f>
        <v>392.83410648514138</v>
      </c>
      <c r="AI69" s="247">
        <f t="shared" ref="AI69:AI100" si="51">AH69*H69</f>
        <v>59.241603588657405</v>
      </c>
    </row>
    <row r="70" spans="1:35">
      <c r="A70" s="122"/>
      <c r="B70" s="241">
        <v>66</v>
      </c>
      <c r="C70" s="248">
        <f>'Other parameters'!$D$28</f>
        <v>2.30286E-2</v>
      </c>
      <c r="D70" s="242">
        <f>'Other parameters'!$G$28</f>
        <v>15</v>
      </c>
      <c r="E70" s="234">
        <v>0</v>
      </c>
      <c r="F70" s="248">
        <f t="shared" si="38"/>
        <v>8.3647201951727169E-4</v>
      </c>
      <c r="G70" s="248">
        <f t="shared" si="39"/>
        <v>8.0000000000000016E-2</v>
      </c>
      <c r="H70" s="249">
        <f t="shared" si="40"/>
        <v>0.14641325444882999</v>
      </c>
      <c r="I70" s="122"/>
      <c r="J70" s="244">
        <v>0</v>
      </c>
      <c r="K70" s="245">
        <v>0</v>
      </c>
      <c r="L70" s="245">
        <f t="shared" si="41"/>
        <v>0.39537746228302195</v>
      </c>
      <c r="M70" s="245">
        <f t="shared" si="42"/>
        <v>3.3091939842025257E-4</v>
      </c>
      <c r="N70" s="245">
        <f t="shared" si="43"/>
        <v>0.41410651566080525</v>
      </c>
      <c r="O70" s="245">
        <f t="shared" si="44"/>
        <v>1.6758982181446235E-2</v>
      </c>
      <c r="P70" s="245">
        <f t="shared" si="45"/>
        <v>7.7552392438172604E-3</v>
      </c>
      <c r="Q70" s="245">
        <f t="shared" si="46"/>
        <v>0.16567088123248891</v>
      </c>
      <c r="R70" s="243">
        <f t="shared" si="26"/>
        <v>0.99999999999999978</v>
      </c>
      <c r="S70" s="250"/>
      <c r="T70" s="244">
        <f t="shared" si="47"/>
        <v>2.6448250578816192E-2</v>
      </c>
      <c r="U70" s="246">
        <f t="shared" ref="U70:U104" si="52">$D70*T70</f>
        <v>0.39672375868224291</v>
      </c>
      <c r="V70" s="246">
        <f t="shared" ref="V70:V104" si="53">($K70+$M70)*wAR</f>
        <v>1.6881422461876997E-6</v>
      </c>
      <c r="W70" s="246">
        <f t="shared" ref="W70:W104" si="54">$N70*wRM</f>
        <v>1.6978367142093016E-2</v>
      </c>
      <c r="X70" s="246">
        <f t="shared" ref="X70:X104" si="55">$O70*wRH</f>
        <v>2.9998578104788762E-3</v>
      </c>
      <c r="Y70" s="246">
        <f t="shared" ref="Y70:Y104" si="56">$P70*wRS</f>
        <v>5.4286674706720826E-4</v>
      </c>
      <c r="Z70" s="246">
        <f t="shared" si="48"/>
        <v>0.41724653852412824</v>
      </c>
      <c r="AA70" s="247">
        <f t="shared" si="49"/>
        <v>6.1090423612826732E-2</v>
      </c>
      <c r="AB70" s="122"/>
      <c r="AC70" s="244">
        <f t="shared" ref="AC70:AC104" si="57">($K70+$M70)*cARF</f>
        <v>0.49306990364617631</v>
      </c>
      <c r="AD70" s="245">
        <f t="shared" ref="AD70:AD104" si="58">$L70*cRFR</f>
        <v>113.86870913751032</v>
      </c>
      <c r="AE70" s="245">
        <f t="shared" ref="AE70:AE104" si="59">$N70*cRM</f>
        <v>255.54513081428294</v>
      </c>
      <c r="AF70" s="245">
        <f t="shared" ref="AF70:AF104" si="60">$O70*cRH</f>
        <v>16.040021845862192</v>
      </c>
      <c r="AG70" s="245">
        <f t="shared" ref="AG70:AG104" si="61">$P70*cRS</f>
        <v>4.7857581373596316</v>
      </c>
      <c r="AH70" s="245">
        <f t="shared" si="50"/>
        <v>390.73268983866126</v>
      </c>
      <c r="AI70" s="247">
        <f t="shared" si="51"/>
        <v>57.20844473882368</v>
      </c>
    </row>
    <row r="71" spans="1:35">
      <c r="A71" s="122"/>
      <c r="B71" s="241">
        <v>67</v>
      </c>
      <c r="C71" s="248">
        <f>'Other parameters'!$D$28</f>
        <v>2.30286E-2</v>
      </c>
      <c r="D71" s="242">
        <f>'Other parameters'!$G$28</f>
        <v>15</v>
      </c>
      <c r="E71" s="234">
        <v>0</v>
      </c>
      <c r="F71" s="248">
        <f t="shared" si="38"/>
        <v>7.5687118239933327E-4</v>
      </c>
      <c r="G71" s="248">
        <f t="shared" si="39"/>
        <v>8.0000000000000016E-2</v>
      </c>
      <c r="H71" s="249">
        <f t="shared" si="40"/>
        <v>0.14214879072701941</v>
      </c>
      <c r="I71" s="122"/>
      <c r="J71" s="244">
        <v>0</v>
      </c>
      <c r="K71" s="245">
        <v>0</v>
      </c>
      <c r="L71" s="245">
        <f t="shared" si="41"/>
        <v>0.39516425151923906</v>
      </c>
      <c r="M71" s="245">
        <f t="shared" si="42"/>
        <v>2.9924980737219863E-4</v>
      </c>
      <c r="N71" s="245">
        <f t="shared" si="43"/>
        <v>0.41111836618522851</v>
      </c>
      <c r="O71" s="245">
        <f t="shared" si="44"/>
        <v>1.6645810238265498E-2</v>
      </c>
      <c r="P71" s="245">
        <f t="shared" si="45"/>
        <v>7.7048249030390375E-3</v>
      </c>
      <c r="Q71" s="245">
        <f t="shared" si="46"/>
        <v>0.16906749734685558</v>
      </c>
      <c r="R71" s="243">
        <f t="shared" si="26"/>
        <v>0.99999999999999989</v>
      </c>
      <c r="S71" s="250"/>
      <c r="T71" s="244">
        <f t="shared" si="47"/>
        <v>2.6425216114366667E-2</v>
      </c>
      <c r="U71" s="246">
        <f t="shared" si="52"/>
        <v>0.39637824171550001</v>
      </c>
      <c r="V71" s="246">
        <f t="shared" si="53"/>
        <v>1.5265839488411888E-6</v>
      </c>
      <c r="W71" s="246">
        <f t="shared" si="54"/>
        <v>1.6855853013594369E-2</v>
      </c>
      <c r="X71" s="246">
        <f t="shared" si="55"/>
        <v>2.9796000326495239E-3</v>
      </c>
      <c r="Y71" s="246">
        <f t="shared" si="56"/>
        <v>5.3933774321273265E-4</v>
      </c>
      <c r="Z71" s="246">
        <f t="shared" si="48"/>
        <v>0.41675455908890552</v>
      </c>
      <c r="AA71" s="247">
        <f t="shared" si="49"/>
        <v>5.9241156604460075E-2</v>
      </c>
      <c r="AB71" s="122"/>
      <c r="AC71" s="244">
        <f t="shared" si="57"/>
        <v>0.44588221298457598</v>
      </c>
      <c r="AD71" s="245">
        <f t="shared" si="58"/>
        <v>113.80730443754085</v>
      </c>
      <c r="AE71" s="245">
        <f t="shared" si="59"/>
        <v>253.70114377290452</v>
      </c>
      <c r="AF71" s="245">
        <f t="shared" si="60"/>
        <v>15.931704979043909</v>
      </c>
      <c r="AG71" s="245">
        <f t="shared" si="61"/>
        <v>4.7546474476653904</v>
      </c>
      <c r="AH71" s="245">
        <f t="shared" si="50"/>
        <v>388.64068285013923</v>
      </c>
      <c r="AI71" s="247">
        <f t="shared" si="51"/>
        <v>55.244803094470363</v>
      </c>
    </row>
    <row r="72" spans="1:35">
      <c r="A72" s="122"/>
      <c r="B72" s="241">
        <v>68</v>
      </c>
      <c r="C72" s="248">
        <f>'Other parameters'!$D$28</f>
        <v>2.30286E-2</v>
      </c>
      <c r="D72" s="242">
        <f>'Other parameters'!$G$28</f>
        <v>15</v>
      </c>
      <c r="E72" s="234">
        <v>0</v>
      </c>
      <c r="F72" s="248">
        <f t="shared" si="38"/>
        <v>6.8484536646803605E-4</v>
      </c>
      <c r="G72" s="248">
        <f t="shared" si="39"/>
        <v>8.0000000000000016E-2</v>
      </c>
      <c r="H72" s="249">
        <f t="shared" si="40"/>
        <v>0.1380085346864266</v>
      </c>
      <c r="I72" s="122"/>
      <c r="J72" s="244">
        <v>0</v>
      </c>
      <c r="K72" s="245">
        <v>0</v>
      </c>
      <c r="L72" s="245">
        <f t="shared" si="41"/>
        <v>0.39497143006250907</v>
      </c>
      <c r="M72" s="245">
        <f t="shared" si="42"/>
        <v>2.7062640664676042E-4</v>
      </c>
      <c r="N72" s="245">
        <f t="shared" si="43"/>
        <v>0.40813131678304349</v>
      </c>
      <c r="O72" s="245">
        <f t="shared" si="44"/>
        <v>1.6531864311145603E-2</v>
      </c>
      <c r="P72" s="245">
        <f t="shared" si="45"/>
        <v>7.6538480550612034E-3</v>
      </c>
      <c r="Q72" s="245">
        <f t="shared" si="46"/>
        <v>0.17244091438159373</v>
      </c>
      <c r="R72" s="243">
        <f t="shared" si="26"/>
        <v>0.99999999999999978</v>
      </c>
      <c r="S72" s="250"/>
      <c r="T72" s="244">
        <f t="shared" si="47"/>
        <v>2.640201703473815E-2</v>
      </c>
      <c r="U72" s="246">
        <f t="shared" si="52"/>
        <v>0.39603025552107224</v>
      </c>
      <c r="V72" s="246">
        <f t="shared" si="53"/>
        <v>1.3805653950034738E-6</v>
      </c>
      <c r="W72" s="246">
        <f t="shared" si="54"/>
        <v>1.6733383988104783E-2</v>
      </c>
      <c r="X72" s="246">
        <f t="shared" si="55"/>
        <v>2.9592037116950628E-3</v>
      </c>
      <c r="Y72" s="246">
        <f t="shared" si="56"/>
        <v>5.3576936385428433E-4</v>
      </c>
      <c r="Z72" s="246">
        <f t="shared" si="48"/>
        <v>0.41625999315012141</v>
      </c>
      <c r="AA72" s="247">
        <f t="shared" si="49"/>
        <v>5.7447431703230231E-2</v>
      </c>
      <c r="AB72" s="122"/>
      <c r="AC72" s="244">
        <f t="shared" si="57"/>
        <v>0.40323334590367305</v>
      </c>
      <c r="AD72" s="245">
        <f t="shared" si="58"/>
        <v>113.75177185800261</v>
      </c>
      <c r="AE72" s="245">
        <f t="shared" si="59"/>
        <v>251.85783558681615</v>
      </c>
      <c r="AF72" s="245">
        <f t="shared" si="60"/>
        <v>15.822647332197457</v>
      </c>
      <c r="AG72" s="245">
        <f t="shared" si="61"/>
        <v>4.7231896347782687</v>
      </c>
      <c r="AH72" s="245">
        <f t="shared" si="50"/>
        <v>386.55867775769815</v>
      </c>
      <c r="AI72" s="247">
        <f t="shared" si="51"/>
        <v>53.348396687662486</v>
      </c>
    </row>
    <row r="73" spans="1:35">
      <c r="A73" s="122"/>
      <c r="B73" s="241">
        <v>69</v>
      </c>
      <c r="C73" s="248">
        <f>'Other parameters'!$D$28</f>
        <v>2.30286E-2</v>
      </c>
      <c r="D73" s="242">
        <f>'Other parameters'!$G$28</f>
        <v>15</v>
      </c>
      <c r="E73" s="234">
        <v>0</v>
      </c>
      <c r="F73" s="248">
        <f t="shared" si="38"/>
        <v>6.1967371314882857E-4</v>
      </c>
      <c r="G73" s="248">
        <f t="shared" si="39"/>
        <v>8.0000000000000016E-2</v>
      </c>
      <c r="H73" s="249">
        <f t="shared" si="40"/>
        <v>0.13398886862759865</v>
      </c>
      <c r="I73" s="122"/>
      <c r="J73" s="244">
        <v>0</v>
      </c>
      <c r="K73" s="245">
        <v>0</v>
      </c>
      <c r="L73" s="245">
        <f t="shared" si="41"/>
        <v>0.39479703951558265</v>
      </c>
      <c r="M73" s="245">
        <f t="shared" si="42"/>
        <v>2.4475341265453783E-4</v>
      </c>
      <c r="N73" s="245">
        <f t="shared" si="43"/>
        <v>0.40514748665999273</v>
      </c>
      <c r="O73" s="245">
        <f t="shared" si="44"/>
        <v>1.6417311892796674E-2</v>
      </c>
      <c r="P73" s="245">
        <f t="shared" si="45"/>
        <v>7.602405945158131E-3</v>
      </c>
      <c r="Q73" s="245">
        <f t="shared" si="46"/>
        <v>0.17579100257381508</v>
      </c>
      <c r="R73" s="243">
        <f t="shared" si="26"/>
        <v>0.99999999999999989</v>
      </c>
      <c r="S73" s="250"/>
      <c r="T73" s="244">
        <f t="shared" si="47"/>
        <v>2.6378688192221354E-2</v>
      </c>
      <c r="U73" s="246">
        <f t="shared" si="52"/>
        <v>0.39568032288332033</v>
      </c>
      <c r="V73" s="246">
        <f t="shared" si="53"/>
        <v>1.248577683185615E-6</v>
      </c>
      <c r="W73" s="246">
        <f t="shared" si="54"/>
        <v>1.6611046953059701E-2</v>
      </c>
      <c r="X73" s="246">
        <f t="shared" si="55"/>
        <v>2.9386988288106044E-3</v>
      </c>
      <c r="Y73" s="246">
        <f t="shared" si="56"/>
        <v>5.3216841616106922E-4</v>
      </c>
      <c r="Z73" s="246">
        <f t="shared" si="48"/>
        <v>0.41576348565903487</v>
      </c>
      <c r="AA73" s="247">
        <f t="shared" si="49"/>
        <v>5.5707679060120918E-2</v>
      </c>
      <c r="AB73" s="122"/>
      <c r="AC73" s="244">
        <f t="shared" si="57"/>
        <v>0.36468258485526134</v>
      </c>
      <c r="AD73" s="245">
        <f t="shared" si="58"/>
        <v>113.7015473804878</v>
      </c>
      <c r="AE73" s="245">
        <f t="shared" si="59"/>
        <v>250.01651401788152</v>
      </c>
      <c r="AF73" s="245">
        <f t="shared" si="60"/>
        <v>15.713009212595697</v>
      </c>
      <c r="AG73" s="245">
        <f t="shared" si="61"/>
        <v>4.691444708757083</v>
      </c>
      <c r="AH73" s="245">
        <f t="shared" si="50"/>
        <v>384.48719790457739</v>
      </c>
      <c r="AI73" s="247">
        <f t="shared" si="51"/>
        <v>51.517004649029943</v>
      </c>
    </row>
    <row r="74" spans="1:35">
      <c r="A74" s="122"/>
      <c r="B74" s="241">
        <v>70</v>
      </c>
      <c r="C74" s="248">
        <f>'Other parameters'!$D$29</f>
        <v>3.7466800000000001E-2</v>
      </c>
      <c r="D74" s="242">
        <f>'Other parameters'!$G$29</f>
        <v>11.6</v>
      </c>
      <c r="E74" s="234">
        <v>0</v>
      </c>
      <c r="F74" s="248">
        <f t="shared" si="38"/>
        <v>5.607039626303415E-4</v>
      </c>
      <c r="G74" s="248">
        <f t="shared" si="39"/>
        <v>8.0000000000000016E-2</v>
      </c>
      <c r="H74" s="249">
        <f t="shared" si="40"/>
        <v>0.13008628022096957</v>
      </c>
      <c r="I74" s="122"/>
      <c r="J74" s="244">
        <v>0</v>
      </c>
      <c r="K74" s="245">
        <v>0</v>
      </c>
      <c r="L74" s="245">
        <f t="shared" si="41"/>
        <v>0.39463931113838174</v>
      </c>
      <c r="M74" s="245">
        <f t="shared" si="42"/>
        <v>2.2136426449111471E-4</v>
      </c>
      <c r="N74" s="245">
        <f t="shared" si="43"/>
        <v>0.40216877208459073</v>
      </c>
      <c r="O74" s="245">
        <f t="shared" si="44"/>
        <v>1.630230314253011E-2</v>
      </c>
      <c r="P74" s="245">
        <f t="shared" si="45"/>
        <v>7.5505859484969722E-3</v>
      </c>
      <c r="Q74" s="245">
        <f t="shared" si="46"/>
        <v>0.17911766342150917</v>
      </c>
      <c r="R74" s="243">
        <f t="shared" si="26"/>
        <v>0.99999999999999978</v>
      </c>
      <c r="S74" s="250"/>
      <c r="T74" s="244">
        <f t="shared" si="47"/>
        <v>4.0793460847694085E-2</v>
      </c>
      <c r="U74" s="246">
        <f t="shared" si="52"/>
        <v>0.47320414583325138</v>
      </c>
      <c r="V74" s="246">
        <f t="shared" si="53"/>
        <v>1.1292609876231661E-6</v>
      </c>
      <c r="W74" s="246">
        <f t="shared" si="54"/>
        <v>1.6488919655468219E-2</v>
      </c>
      <c r="X74" s="246">
        <f t="shared" si="55"/>
        <v>2.9181122625128895E-3</v>
      </c>
      <c r="Y74" s="246">
        <f t="shared" si="56"/>
        <v>5.2854101639478808E-4</v>
      </c>
      <c r="Z74" s="246">
        <f t="shared" si="48"/>
        <v>0.49314084802861485</v>
      </c>
      <c r="AA74" s="247">
        <f t="shared" si="49"/>
        <v>6.4150858545056963E-2</v>
      </c>
      <c r="AB74" s="122"/>
      <c r="AC74" s="244">
        <f t="shared" si="57"/>
        <v>0.32983275409176094</v>
      </c>
      <c r="AD74" s="245">
        <f t="shared" si="58"/>
        <v>113.65612160785395</v>
      </c>
      <c r="AE74" s="245">
        <f t="shared" si="59"/>
        <v>248.17834925340094</v>
      </c>
      <c r="AF74" s="245">
        <f t="shared" si="60"/>
        <v>15.602934337715569</v>
      </c>
      <c r="AG74" s="245">
        <f t="shared" si="61"/>
        <v>4.659466588817482</v>
      </c>
      <c r="AH74" s="245">
        <f t="shared" si="50"/>
        <v>382.4267045418797</v>
      </c>
      <c r="AI74" s="247">
        <f t="shared" si="51"/>
        <v>49.7484674510169</v>
      </c>
    </row>
    <row r="75" spans="1:35">
      <c r="A75" s="122"/>
      <c r="B75" s="241">
        <v>71</v>
      </c>
      <c r="C75" s="248">
        <f>'Other parameters'!$D$29</f>
        <v>3.7466800000000001E-2</v>
      </c>
      <c r="D75" s="242">
        <f>'Other parameters'!$G$29</f>
        <v>11.6</v>
      </c>
      <c r="E75" s="234">
        <v>0</v>
      </c>
      <c r="F75" s="248">
        <f t="shared" si="38"/>
        <v>5.0734592582896967E-4</v>
      </c>
      <c r="G75" s="248">
        <f t="shared" si="39"/>
        <v>8.0000000000000016E-2</v>
      </c>
      <c r="H75" s="249">
        <f t="shared" si="40"/>
        <v>0.12629735943783454</v>
      </c>
      <c r="I75" s="122"/>
      <c r="J75" s="244">
        <v>0</v>
      </c>
      <c r="K75" s="245">
        <v>0</v>
      </c>
      <c r="L75" s="245">
        <f t="shared" si="41"/>
        <v>0.3944966472004714</v>
      </c>
      <c r="M75" s="245">
        <f t="shared" si="42"/>
        <v>2.002186466780091E-4</v>
      </c>
      <c r="N75" s="245">
        <f t="shared" si="43"/>
        <v>0.3991968685005326</v>
      </c>
      <c r="O75" s="245">
        <f t="shared" si="44"/>
        <v>1.6186972650956886E-2</v>
      </c>
      <c r="P75" s="245">
        <f t="shared" si="45"/>
        <v>7.4984665483466308E-3</v>
      </c>
      <c r="Q75" s="245">
        <f t="shared" si="46"/>
        <v>0.18242082645301425</v>
      </c>
      <c r="R75" s="243">
        <f t="shared" si="26"/>
        <v>0.99999999999999978</v>
      </c>
      <c r="S75" s="250"/>
      <c r="T75" s="244">
        <f t="shared" si="47"/>
        <v>4.0769963031505083E-2</v>
      </c>
      <c r="U75" s="246">
        <f t="shared" si="52"/>
        <v>0.47293157116545892</v>
      </c>
      <c r="V75" s="246">
        <f t="shared" si="53"/>
        <v>1.0213893701765836E-6</v>
      </c>
      <c r="W75" s="246">
        <f t="shared" si="54"/>
        <v>1.6367071608521837E-2</v>
      </c>
      <c r="X75" s="246">
        <f t="shared" si="55"/>
        <v>2.8974681045212825E-3</v>
      </c>
      <c r="Y75" s="246">
        <f t="shared" si="56"/>
        <v>5.2489265838426421E-4</v>
      </c>
      <c r="Z75" s="246">
        <f t="shared" si="48"/>
        <v>0.49272202492625655</v>
      </c>
      <c r="AA75" s="247">
        <f t="shared" si="49"/>
        <v>6.2229490685049092E-2</v>
      </c>
      <c r="AB75" s="122"/>
      <c r="AC75" s="244">
        <f t="shared" si="57"/>
        <v>0.29832578355023354</v>
      </c>
      <c r="AD75" s="245">
        <f t="shared" si="58"/>
        <v>113.61503439373575</v>
      </c>
      <c r="AE75" s="245">
        <f t="shared" si="59"/>
        <v>246.34438755167866</v>
      </c>
      <c r="AF75" s="245">
        <f t="shared" si="60"/>
        <v>15.492551524230837</v>
      </c>
      <c r="AG75" s="245">
        <f t="shared" si="61"/>
        <v>4.6273037069847058</v>
      </c>
      <c r="AH75" s="245">
        <f t="shared" si="50"/>
        <v>380.37760296018024</v>
      </c>
      <c r="AI75" s="247">
        <f t="shared" si="51"/>
        <v>48.040686843163805</v>
      </c>
    </row>
    <row r="76" spans="1:35">
      <c r="A76" s="122"/>
      <c r="B76" s="241">
        <v>72</v>
      </c>
      <c r="C76" s="248">
        <f>'Other parameters'!$D$29</f>
        <v>3.7466800000000001E-2</v>
      </c>
      <c r="D76" s="242">
        <f>'Other parameters'!$G$29</f>
        <v>11.6</v>
      </c>
      <c r="E76" s="234">
        <v>0</v>
      </c>
      <c r="F76" s="248">
        <f t="shared" si="38"/>
        <v>4.5906557757814811E-4</v>
      </c>
      <c r="G76" s="248">
        <f t="shared" si="39"/>
        <v>8.0000000000000016E-2</v>
      </c>
      <c r="H76" s="249">
        <f t="shared" si="40"/>
        <v>0.12261879557071313</v>
      </c>
      <c r="I76" s="122"/>
      <c r="J76" s="244">
        <v>0</v>
      </c>
      <c r="K76" s="245">
        <v>0</v>
      </c>
      <c r="L76" s="245">
        <f t="shared" si="41"/>
        <v>0.39436760421740796</v>
      </c>
      <c r="M76" s="245">
        <f t="shared" si="42"/>
        <v>1.8109983119972731E-4</v>
      </c>
      <c r="N76" s="245">
        <f t="shared" si="43"/>
        <v>0.39623329039277722</v>
      </c>
      <c r="O76" s="245">
        <f t="shared" si="44"/>
        <v>1.6071441020332845E-2</v>
      </c>
      <c r="P76" s="245">
        <f t="shared" si="45"/>
        <v>7.4461182173907407E-3</v>
      </c>
      <c r="Q76" s="245">
        <f t="shared" si="46"/>
        <v>0.1857004463208913</v>
      </c>
      <c r="R76" s="243">
        <f t="shared" si="26"/>
        <v>0.99999999999999989</v>
      </c>
      <c r="S76" s="250"/>
      <c r="T76" s="244">
        <f t="shared" si="47"/>
        <v>4.0746419867877061E-2</v>
      </c>
      <c r="U76" s="246">
        <f t="shared" si="52"/>
        <v>0.47265847046737391</v>
      </c>
      <c r="V76" s="246">
        <f t="shared" si="53"/>
        <v>9.2385722107915702E-7</v>
      </c>
      <c r="W76" s="246">
        <f t="shared" si="54"/>
        <v>1.6245564906103866E-2</v>
      </c>
      <c r="X76" s="246">
        <f t="shared" si="55"/>
        <v>2.8767879426395792E-3</v>
      </c>
      <c r="Y76" s="246">
        <f t="shared" si="56"/>
        <v>5.2122827521735194E-4</v>
      </c>
      <c r="Z76" s="246">
        <f t="shared" si="48"/>
        <v>0.49230297544855572</v>
      </c>
      <c r="AA76" s="247">
        <f t="shared" si="49"/>
        <v>6.0365597905380264E-2</v>
      </c>
      <c r="AB76" s="122"/>
      <c r="AC76" s="244">
        <f t="shared" si="57"/>
        <v>0.2698387484875937</v>
      </c>
      <c r="AD76" s="245">
        <f t="shared" si="58"/>
        <v>113.5778700146135</v>
      </c>
      <c r="AE76" s="245">
        <f t="shared" si="59"/>
        <v>244.51556350138281</v>
      </c>
      <c r="AF76" s="245">
        <f t="shared" si="60"/>
        <v>15.381976200560567</v>
      </c>
      <c r="AG76" s="245">
        <f t="shared" si="61"/>
        <v>4.5949995519518261</v>
      </c>
      <c r="AH76" s="245">
        <f t="shared" si="50"/>
        <v>378.34024801699633</v>
      </c>
      <c r="AI76" s="247">
        <f t="shared" si="51"/>
        <v>46.39162552776898</v>
      </c>
    </row>
    <row r="77" spans="1:35">
      <c r="A77" s="122"/>
      <c r="B77" s="241">
        <v>73</v>
      </c>
      <c r="C77" s="248">
        <f>'Other parameters'!$D$29</f>
        <v>3.7466800000000001E-2</v>
      </c>
      <c r="D77" s="242">
        <f>'Other parameters'!$G$29</f>
        <v>11.6</v>
      </c>
      <c r="E77" s="234">
        <v>0</v>
      </c>
      <c r="F77" s="248">
        <f t="shared" si="38"/>
        <v>4.1537971192499818E-4</v>
      </c>
      <c r="G77" s="248">
        <f t="shared" si="39"/>
        <v>8.0000000000000016E-2</v>
      </c>
      <c r="H77" s="249">
        <f t="shared" si="40"/>
        <v>0.1190473743404982</v>
      </c>
      <c r="I77" s="122"/>
      <c r="J77" s="244">
        <v>0</v>
      </c>
      <c r="K77" s="245">
        <v>0</v>
      </c>
      <c r="L77" s="245">
        <f t="shared" si="41"/>
        <v>0.3942508778716875</v>
      </c>
      <c r="M77" s="245">
        <f t="shared" si="42"/>
        <v>1.6381230183237861E-4</v>
      </c>
      <c r="N77" s="245">
        <f t="shared" si="43"/>
        <v>0.3932793891472236</v>
      </c>
      <c r="O77" s="245">
        <f t="shared" si="44"/>
        <v>1.5955816280320841E-2</v>
      </c>
      <c r="P77" s="245">
        <f t="shared" si="45"/>
        <v>7.3936042115743377E-3</v>
      </c>
      <c r="Q77" s="245">
        <f t="shared" si="46"/>
        <v>0.18895650018736115</v>
      </c>
      <c r="R77" s="243">
        <f t="shared" ref="R77:R104" si="62">SUM(J77:Q77)</f>
        <v>0.99999999999999978</v>
      </c>
      <c r="S77" s="250"/>
      <c r="T77" s="244">
        <f t="shared" si="47"/>
        <v>4.0722853866469857E-2</v>
      </c>
      <c r="U77" s="246">
        <f t="shared" si="52"/>
        <v>0.47238510485105034</v>
      </c>
      <c r="V77" s="246">
        <f t="shared" si="53"/>
        <v>8.3566713975860008E-7</v>
      </c>
      <c r="W77" s="246">
        <f t="shared" si="54"/>
        <v>1.6124454955036168E-2</v>
      </c>
      <c r="X77" s="246">
        <f t="shared" si="55"/>
        <v>2.8560911141774304E-3</v>
      </c>
      <c r="Y77" s="246">
        <f t="shared" si="56"/>
        <v>5.1755229481020371E-4</v>
      </c>
      <c r="Z77" s="246">
        <f t="shared" si="48"/>
        <v>0.49188403888221394</v>
      </c>
      <c r="AA77" s="247">
        <f t="shared" si="49"/>
        <v>5.8557503308927096E-2</v>
      </c>
      <c r="AB77" s="122"/>
      <c r="AC77" s="244">
        <f t="shared" si="57"/>
        <v>0.24408032973024413</v>
      </c>
      <c r="AD77" s="245">
        <f t="shared" si="58"/>
        <v>113.54425282704599</v>
      </c>
      <c r="AE77" s="245">
        <f t="shared" si="59"/>
        <v>242.69271104275168</v>
      </c>
      <c r="AF77" s="245">
        <f t="shared" si="60"/>
        <v>15.271311761895078</v>
      </c>
      <c r="AG77" s="245">
        <f t="shared" si="61"/>
        <v>4.5625931589625237</v>
      </c>
      <c r="AH77" s="245">
        <f t="shared" si="50"/>
        <v>376.31494912038545</v>
      </c>
      <c r="AI77" s="247">
        <f t="shared" si="51"/>
        <v>44.799306617860061</v>
      </c>
    </row>
    <row r="78" spans="1:35">
      <c r="A78" s="122"/>
      <c r="B78" s="241">
        <v>74</v>
      </c>
      <c r="C78" s="248">
        <f>'Other parameters'!$D$29</f>
        <v>3.7466800000000001E-2</v>
      </c>
      <c r="D78" s="242">
        <f>'Other parameters'!$G$29</f>
        <v>11.6</v>
      </c>
      <c r="E78" s="234">
        <v>0</v>
      </c>
      <c r="F78" s="248">
        <f t="shared" si="38"/>
        <v>3.7585110604273613E-4</v>
      </c>
      <c r="G78" s="248">
        <f t="shared" si="39"/>
        <v>8.0000000000000016E-2</v>
      </c>
      <c r="H78" s="249">
        <f t="shared" si="40"/>
        <v>0.11557997508786232</v>
      </c>
      <c r="I78" s="122"/>
      <c r="J78" s="244">
        <v>0</v>
      </c>
      <c r="K78" s="245">
        <v>0</v>
      </c>
      <c r="L78" s="245">
        <f t="shared" si="41"/>
        <v>0.39414528944165755</v>
      </c>
      <c r="M78" s="245">
        <f t="shared" si="42"/>
        <v>1.4817962850639343E-4</v>
      </c>
      <c r="N78" s="245">
        <f t="shared" si="43"/>
        <v>0.39033636911619307</v>
      </c>
      <c r="O78" s="245">
        <f t="shared" si="44"/>
        <v>1.584019515681168E-2</v>
      </c>
      <c r="P78" s="245">
        <f t="shared" si="45"/>
        <v>7.3409812850602843E-3</v>
      </c>
      <c r="Q78" s="245">
        <f t="shared" si="46"/>
        <v>0.19218898537177082</v>
      </c>
      <c r="R78" s="243">
        <f t="shared" si="62"/>
        <v>0.99999999999999978</v>
      </c>
      <c r="S78" s="250"/>
      <c r="T78" s="244">
        <f t="shared" si="47"/>
        <v>4.069928518440967E-2</v>
      </c>
      <c r="U78" s="246">
        <f t="shared" si="52"/>
        <v>0.47211170813915215</v>
      </c>
      <c r="V78" s="246">
        <f t="shared" si="53"/>
        <v>7.5591909117508112E-7</v>
      </c>
      <c r="W78" s="246">
        <f t="shared" si="54"/>
        <v>1.6003791133763916E-2</v>
      </c>
      <c r="X78" s="246">
        <f t="shared" si="55"/>
        <v>2.8353949330692904E-3</v>
      </c>
      <c r="Y78" s="246">
        <f t="shared" si="56"/>
        <v>5.1386868995421996E-4</v>
      </c>
      <c r="Z78" s="246">
        <f t="shared" si="48"/>
        <v>0.49146551881503076</v>
      </c>
      <c r="AA78" s="247">
        <f t="shared" si="49"/>
        <v>5.6803572421184584E-2</v>
      </c>
      <c r="AB78" s="122"/>
      <c r="AC78" s="244">
        <f t="shared" si="57"/>
        <v>0.22078764647452623</v>
      </c>
      <c r="AD78" s="245">
        <f t="shared" si="58"/>
        <v>113.51384335919738</v>
      </c>
      <c r="AE78" s="245">
        <f t="shared" si="59"/>
        <v>240.87657338160275</v>
      </c>
      <c r="AF78" s="245">
        <f t="shared" si="60"/>
        <v>15.160650784584458</v>
      </c>
      <c r="AG78" s="245">
        <f t="shared" si="61"/>
        <v>4.530119551010702</v>
      </c>
      <c r="AH78" s="245">
        <f t="shared" si="50"/>
        <v>374.30197472286983</v>
      </c>
      <c r="AI78" s="247">
        <f t="shared" si="51"/>
        <v>43.261812913806963</v>
      </c>
    </row>
    <row r="79" spans="1:35">
      <c r="A79" s="122"/>
      <c r="B79" s="241">
        <v>75</v>
      </c>
      <c r="C79" s="248">
        <f>'Other parameters'!$D$30</f>
        <v>5.9392199999999992E-2</v>
      </c>
      <c r="D79" s="242">
        <f>'Other parameters'!$G$30</f>
        <v>8.6</v>
      </c>
      <c r="E79" s="234">
        <v>0</v>
      </c>
      <c r="F79" s="248">
        <f t="shared" si="38"/>
        <v>3.4008414435766882E-4</v>
      </c>
      <c r="G79" s="248">
        <f t="shared" si="39"/>
        <v>8.0000000000000016E-2</v>
      </c>
      <c r="H79" s="249">
        <f t="shared" si="40"/>
        <v>0.11221356804646829</v>
      </c>
      <c r="I79" s="122"/>
      <c r="J79" s="244">
        <v>0</v>
      </c>
      <c r="K79" s="245">
        <v>0</v>
      </c>
      <c r="L79" s="245">
        <f t="shared" si="41"/>
        <v>0.39404977358155679</v>
      </c>
      <c r="M79" s="245">
        <f t="shared" si="42"/>
        <v>1.3404256351237182E-4</v>
      </c>
      <c r="N79" s="245">
        <f t="shared" si="43"/>
        <v>0.38740530207777418</v>
      </c>
      <c r="O79" s="245">
        <f t="shared" si="44"/>
        <v>1.5724664209531784E-2</v>
      </c>
      <c r="P79" s="245">
        <f t="shared" si="45"/>
        <v>7.2883003340771827E-3</v>
      </c>
      <c r="Q79" s="245">
        <f t="shared" si="46"/>
        <v>0.19539791723354746</v>
      </c>
      <c r="R79" s="243">
        <f t="shared" si="62"/>
        <v>0.99999999999999989</v>
      </c>
      <c r="S79" s="250"/>
      <c r="T79" s="244">
        <f t="shared" si="47"/>
        <v>6.2601131861776654E-2</v>
      </c>
      <c r="U79" s="246">
        <f t="shared" si="52"/>
        <v>0.53836973401127919</v>
      </c>
      <c r="V79" s="246">
        <f t="shared" si="53"/>
        <v>6.8380069386311333E-7</v>
      </c>
      <c r="W79" s="246">
        <f t="shared" si="54"/>
        <v>1.5883617385188741E-2</v>
      </c>
      <c r="X79" s="246">
        <f t="shared" si="55"/>
        <v>2.814714893506189E-3</v>
      </c>
      <c r="Y79" s="246">
        <f t="shared" si="56"/>
        <v>5.1018102338540284E-4</v>
      </c>
      <c r="Z79" s="246">
        <f t="shared" si="48"/>
        <v>0.55757893111405332</v>
      </c>
      <c r="AA79" s="247">
        <f t="shared" si="49"/>
        <v>6.2567921327843876E-2</v>
      </c>
      <c r="AB79" s="122"/>
      <c r="AC79" s="244">
        <f t="shared" si="57"/>
        <v>0.19972341963343401</v>
      </c>
      <c r="AD79" s="245">
        <f t="shared" si="58"/>
        <v>113.48633479148836</v>
      </c>
      <c r="AE79" s="245">
        <f t="shared" si="59"/>
        <v>239.06781191219446</v>
      </c>
      <c r="AF79" s="245">
        <f t="shared" si="60"/>
        <v>15.05007611494287</v>
      </c>
      <c r="AG79" s="245">
        <f t="shared" si="61"/>
        <v>4.4976101361590297</v>
      </c>
      <c r="AH79" s="245">
        <f t="shared" si="50"/>
        <v>372.30155637441817</v>
      </c>
      <c r="AI79" s="247">
        <f t="shared" si="51"/>
        <v>41.777286030026822</v>
      </c>
    </row>
    <row r="80" spans="1:35">
      <c r="A80" s="122"/>
      <c r="B80" s="241">
        <v>76</v>
      </c>
      <c r="C80" s="248">
        <f>'Other parameters'!$D$30</f>
        <v>5.9392199999999992E-2</v>
      </c>
      <c r="D80" s="242">
        <f>'Other parameters'!$G$30</f>
        <v>8.6</v>
      </c>
      <c r="E80" s="234">
        <v>0</v>
      </c>
      <c r="F80" s="248">
        <f t="shared" si="38"/>
        <v>3.0772085909556171E-4</v>
      </c>
      <c r="G80" s="248">
        <f t="shared" si="39"/>
        <v>8.0000000000000016E-2</v>
      </c>
      <c r="H80" s="249">
        <f t="shared" si="40"/>
        <v>0.10894521169560026</v>
      </c>
      <c r="I80" s="122"/>
      <c r="J80" s="244">
        <v>0</v>
      </c>
      <c r="K80" s="245">
        <v>0</v>
      </c>
      <c r="L80" s="245">
        <f t="shared" si="41"/>
        <v>0.39396336731321707</v>
      </c>
      <c r="M80" s="245">
        <f t="shared" si="42"/>
        <v>1.2125733485292823E-4</v>
      </c>
      <c r="N80" s="245">
        <f t="shared" si="43"/>
        <v>0.38448714025597341</v>
      </c>
      <c r="O80" s="245">
        <f t="shared" si="44"/>
        <v>1.560930085245011E-2</v>
      </c>
      <c r="P80" s="245">
        <f t="shared" si="45"/>
        <v>7.2356069767062093E-3</v>
      </c>
      <c r="Q80" s="245">
        <f t="shared" si="46"/>
        <v>0.19858332726680009</v>
      </c>
      <c r="R80" s="243">
        <f t="shared" si="62"/>
        <v>0.99999999999999978</v>
      </c>
      <c r="S80" s="250"/>
      <c r="T80" s="244">
        <f t="shared" si="47"/>
        <v>6.2577610033252601E-2</v>
      </c>
      <c r="U80" s="246">
        <f t="shared" si="52"/>
        <v>0.53816744628597235</v>
      </c>
      <c r="V80" s="246">
        <f t="shared" si="53"/>
        <v>6.1857851368808878E-7</v>
      </c>
      <c r="W80" s="246">
        <f t="shared" si="54"/>
        <v>1.576397275049491E-2</v>
      </c>
      <c r="X80" s="246">
        <f t="shared" si="55"/>
        <v>2.7940648525885694E-3</v>
      </c>
      <c r="Y80" s="246">
        <f t="shared" si="56"/>
        <v>5.0649248836943472E-4</v>
      </c>
      <c r="Z80" s="246">
        <f t="shared" si="48"/>
        <v>0.55723259495593891</v>
      </c>
      <c r="AA80" s="247">
        <f t="shared" si="49"/>
        <v>6.070782302116344E-2</v>
      </c>
      <c r="AB80" s="122"/>
      <c r="AC80" s="244">
        <f t="shared" si="57"/>
        <v>0.18067342893086305</v>
      </c>
      <c r="AD80" s="245">
        <f t="shared" si="58"/>
        <v>113.46144978620652</v>
      </c>
      <c r="AE80" s="245">
        <f t="shared" si="59"/>
        <v>237.2670142519612</v>
      </c>
      <c r="AF80" s="245">
        <f t="shared" si="60"/>
        <v>14.93966184588</v>
      </c>
      <c r="AG80" s="245">
        <f t="shared" si="61"/>
        <v>4.4650930653254015</v>
      </c>
      <c r="AH80" s="245">
        <f t="shared" si="50"/>
        <v>370.31389237830393</v>
      </c>
      <c r="AI80" s="247">
        <f t="shared" si="51"/>
        <v>40.343925398976054</v>
      </c>
    </row>
    <row r="81" spans="1:35">
      <c r="A81" s="122"/>
      <c r="B81" s="241">
        <v>77</v>
      </c>
      <c r="C81" s="248">
        <f>'Other parameters'!$D$30</f>
        <v>5.9392199999999992E-2</v>
      </c>
      <c r="D81" s="242">
        <f>'Other parameters'!$G$30</f>
        <v>8.6</v>
      </c>
      <c r="E81" s="234">
        <v>0</v>
      </c>
      <c r="F81" s="248">
        <f t="shared" si="38"/>
        <v>2.7843734761983524E-4</v>
      </c>
      <c r="G81" s="248">
        <f t="shared" si="39"/>
        <v>8.0000000000000016E-2</v>
      </c>
      <c r="H81" s="249">
        <f t="shared" si="40"/>
        <v>0.10577205018990318</v>
      </c>
      <c r="I81" s="122"/>
      <c r="J81" s="244">
        <v>0</v>
      </c>
      <c r="K81" s="245">
        <v>0</v>
      </c>
      <c r="L81" s="245">
        <f t="shared" si="41"/>
        <v>0.39388520010522476</v>
      </c>
      <c r="M81" s="245">
        <f t="shared" si="42"/>
        <v>1.0969411505407106E-4</v>
      </c>
      <c r="N81" s="245">
        <f t="shared" si="43"/>
        <v>0.38158272805011484</v>
      </c>
      <c r="O81" s="245">
        <f t="shared" si="44"/>
        <v>1.5494174269463671E-2</v>
      </c>
      <c r="P81" s="245">
        <f t="shared" si="45"/>
        <v>7.1829420749791786E-3</v>
      </c>
      <c r="Q81" s="245">
        <f t="shared" si="46"/>
        <v>0.20174526138516335</v>
      </c>
      <c r="R81" s="243">
        <f t="shared" si="62"/>
        <v>0.99999999999999978</v>
      </c>
      <c r="S81" s="250"/>
      <c r="T81" s="244">
        <f t="shared" si="47"/>
        <v>6.2554134118363247E-2</v>
      </c>
      <c r="U81" s="246">
        <f t="shared" si="52"/>
        <v>0.53796555341792385</v>
      </c>
      <c r="V81" s="246">
        <f t="shared" si="53"/>
        <v>5.5959025268679539E-7</v>
      </c>
      <c r="W81" s="246">
        <f t="shared" si="54"/>
        <v>1.5644891850054708E-2</v>
      </c>
      <c r="X81" s="246">
        <f t="shared" si="55"/>
        <v>2.7734571942339969E-3</v>
      </c>
      <c r="Y81" s="246">
        <f t="shared" si="56"/>
        <v>5.0280594524854257E-4</v>
      </c>
      <c r="Z81" s="246">
        <f t="shared" si="48"/>
        <v>0.55688726799771371</v>
      </c>
      <c r="AA81" s="247">
        <f t="shared" si="49"/>
        <v>5.8903108060772237E-2</v>
      </c>
      <c r="AB81" s="122"/>
      <c r="AC81" s="244">
        <f t="shared" si="57"/>
        <v>0.16344423143056588</v>
      </c>
      <c r="AD81" s="245">
        <f t="shared" si="58"/>
        <v>113.43893763030474</v>
      </c>
      <c r="AE81" s="245">
        <f t="shared" si="59"/>
        <v>235.47470147972587</v>
      </c>
      <c r="AF81" s="245">
        <f t="shared" si="60"/>
        <v>14.82947419330368</v>
      </c>
      <c r="AG81" s="245">
        <f t="shared" si="61"/>
        <v>4.4325935544696513</v>
      </c>
      <c r="AH81" s="245">
        <f t="shared" si="50"/>
        <v>368.33915108923446</v>
      </c>
      <c r="AI81" s="247">
        <f t="shared" si="51"/>
        <v>38.959987175916837</v>
      </c>
    </row>
    <row r="82" spans="1:35">
      <c r="A82" s="122"/>
      <c r="B82" s="241">
        <v>78</v>
      </c>
      <c r="C82" s="248">
        <f>'Other parameters'!$D$30</f>
        <v>5.9392199999999992E-2</v>
      </c>
      <c r="D82" s="242">
        <f>'Other parameters'!$G$30</f>
        <v>8.6</v>
      </c>
      <c r="E82" s="234">
        <v>0</v>
      </c>
      <c r="F82" s="248">
        <f t="shared" si="38"/>
        <v>2.5194053070511275E-4</v>
      </c>
      <c r="G82" s="248">
        <f t="shared" si="39"/>
        <v>8.0000000000000016E-2</v>
      </c>
      <c r="H82" s="249">
        <f t="shared" si="40"/>
        <v>0.10269131086398368</v>
      </c>
      <c r="I82" s="122"/>
      <c r="J82" s="244">
        <v>0</v>
      </c>
      <c r="K82" s="245">
        <v>0</v>
      </c>
      <c r="L82" s="245">
        <f t="shared" si="41"/>
        <v>0.39381448492878746</v>
      </c>
      <c r="M82" s="245">
        <f t="shared" si="42"/>
        <v>9.923564635139986E-5</v>
      </c>
      <c r="N82" s="245">
        <f t="shared" si="43"/>
        <v>0.37869281260567628</v>
      </c>
      <c r="O82" s="245">
        <f t="shared" si="44"/>
        <v>1.5379346236473699E-2</v>
      </c>
      <c r="P82" s="245">
        <f t="shared" si="45"/>
        <v>7.1303422050421564E-3</v>
      </c>
      <c r="Q82" s="245">
        <f t="shared" si="46"/>
        <v>0.20488377837766891</v>
      </c>
      <c r="R82" s="243">
        <f t="shared" si="62"/>
        <v>1</v>
      </c>
      <c r="S82" s="250"/>
      <c r="T82" s="244">
        <f t="shared" si="47"/>
        <v>6.253071699250555E-2</v>
      </c>
      <c r="U82" s="246">
        <f t="shared" si="52"/>
        <v>0.53776416613554767</v>
      </c>
      <c r="V82" s="246">
        <f t="shared" si="53"/>
        <v>5.0623773563371659E-7</v>
      </c>
      <c r="W82" s="246">
        <f t="shared" si="54"/>
        <v>1.5526405316832729E-2</v>
      </c>
      <c r="X82" s="246">
        <f t="shared" si="55"/>
        <v>2.7529029763287919E-3</v>
      </c>
      <c r="Y82" s="246">
        <f t="shared" si="56"/>
        <v>4.9912395435295102E-4</v>
      </c>
      <c r="Z82" s="246">
        <f t="shared" si="48"/>
        <v>0.5565431046207977</v>
      </c>
      <c r="AA82" s="247">
        <f t="shared" si="49"/>
        <v>5.7152140965820934E-2</v>
      </c>
      <c r="AB82" s="122"/>
      <c r="AC82" s="244">
        <f t="shared" si="57"/>
        <v>0.14786111306358579</v>
      </c>
      <c r="AD82" s="245">
        <f t="shared" si="58"/>
        <v>113.41857165949079</v>
      </c>
      <c r="AE82" s="245">
        <f t="shared" si="59"/>
        <v>233.69133465896283</v>
      </c>
      <c r="AF82" s="245">
        <f t="shared" si="60"/>
        <v>14.719572282928977</v>
      </c>
      <c r="AG82" s="245">
        <f t="shared" si="61"/>
        <v>4.400134174731515</v>
      </c>
      <c r="AH82" s="245">
        <f t="shared" si="50"/>
        <v>366.37747388917774</v>
      </c>
      <c r="AI82" s="247">
        <f t="shared" si="51"/>
        <v>37.623783064714615</v>
      </c>
    </row>
    <row r="83" spans="1:35">
      <c r="A83" s="122"/>
      <c r="B83" s="241">
        <v>79</v>
      </c>
      <c r="C83" s="248">
        <f>'Other parameters'!$D$30</f>
        <v>5.9392199999999992E-2</v>
      </c>
      <c r="D83" s="242">
        <f>'Other parameters'!$G$30</f>
        <v>8.6</v>
      </c>
      <c r="E83" s="234">
        <v>0</v>
      </c>
      <c r="F83" s="248">
        <f t="shared" si="38"/>
        <v>2.2796521930182367E-4</v>
      </c>
      <c r="G83" s="248">
        <f t="shared" si="39"/>
        <v>8.0000000000000016E-2</v>
      </c>
      <c r="H83" s="249">
        <f t="shared" si="40"/>
        <v>9.9700301809692873E-2</v>
      </c>
      <c r="I83" s="122"/>
      <c r="J83" s="244">
        <v>0</v>
      </c>
      <c r="K83" s="245">
        <v>0</v>
      </c>
      <c r="L83" s="245">
        <f t="shared" si="41"/>
        <v>0.39375051019141777</v>
      </c>
      <c r="M83" s="245">
        <f t="shared" si="42"/>
        <v>8.9776005421025759E-5</v>
      </c>
      <c r="N83" s="245">
        <f t="shared" si="43"/>
        <v>0.37581805334444152</v>
      </c>
      <c r="O83" s="245">
        <f t="shared" si="44"/>
        <v>1.5264871859747115E-2</v>
      </c>
      <c r="P83" s="245">
        <f t="shared" si="45"/>
        <v>7.0778400805752957E-3</v>
      </c>
      <c r="Q83" s="245">
        <f t="shared" si="46"/>
        <v>0.2079989485183972</v>
      </c>
      <c r="R83" s="243">
        <f t="shared" si="62"/>
        <v>1</v>
      </c>
      <c r="S83" s="250"/>
      <c r="T83" s="244">
        <f t="shared" si="47"/>
        <v>6.2507370140728269E-2</v>
      </c>
      <c r="U83" s="246">
        <f t="shared" si="52"/>
        <v>0.53756338321026309</v>
      </c>
      <c r="V83" s="246">
        <f t="shared" si="53"/>
        <v>4.5798060847657532E-7</v>
      </c>
      <c r="W83" s="246">
        <f t="shared" si="54"/>
        <v>1.5408540187122103E-2</v>
      </c>
      <c r="X83" s="246">
        <f t="shared" si="55"/>
        <v>2.7324120628947333E-3</v>
      </c>
      <c r="Y83" s="246">
        <f t="shared" si="56"/>
        <v>4.9544880564027075E-4</v>
      </c>
      <c r="Z83" s="246">
        <f t="shared" si="48"/>
        <v>0.55620024224652864</v>
      </c>
      <c r="AA83" s="247">
        <f t="shared" si="49"/>
        <v>5.5453332018603196E-2</v>
      </c>
      <c r="AB83" s="122"/>
      <c r="AC83" s="244">
        <f t="shared" si="57"/>
        <v>0.13376624807732837</v>
      </c>
      <c r="AD83" s="245">
        <f t="shared" si="58"/>
        <v>113.40014693512832</v>
      </c>
      <c r="AE83" s="245">
        <f t="shared" si="59"/>
        <v>231.91732071885488</v>
      </c>
      <c r="AF83" s="245">
        <f t="shared" si="60"/>
        <v>14.610008856963963</v>
      </c>
      <c r="AG83" s="245">
        <f t="shared" si="61"/>
        <v>4.3677351137230156</v>
      </c>
      <c r="AH83" s="245">
        <f t="shared" si="50"/>
        <v>364.42897787274751</v>
      </c>
      <c r="AI83" s="247">
        <f t="shared" si="51"/>
        <v>36.333679082110812</v>
      </c>
    </row>
    <row r="84" spans="1:35">
      <c r="A84" s="122"/>
      <c r="B84" s="241">
        <v>80</v>
      </c>
      <c r="C84" s="248">
        <f>'Other parameters'!$D$31</f>
        <v>9.5447599999999994E-2</v>
      </c>
      <c r="D84" s="242">
        <f>'Other parameters'!$G$31</f>
        <v>6.2</v>
      </c>
      <c r="E84" s="234">
        <v>0</v>
      </c>
      <c r="F84" s="248">
        <f t="shared" si="38"/>
        <v>2.0627146043506334E-4</v>
      </c>
      <c r="G84" s="248">
        <f t="shared" si="39"/>
        <v>8.0000000000000016E-2</v>
      </c>
      <c r="H84" s="249">
        <f t="shared" si="40"/>
        <v>9.679640952397367E-2</v>
      </c>
      <c r="I84" s="122"/>
      <c r="J84" s="244">
        <v>0</v>
      </c>
      <c r="K84" s="245">
        <v>0</v>
      </c>
      <c r="L84" s="245">
        <f t="shared" si="41"/>
        <v>0.39369263246004299</v>
      </c>
      <c r="M84" s="245">
        <f t="shared" si="42"/>
        <v>8.1219492784235031E-5</v>
      </c>
      <c r="N84" s="245">
        <f t="shared" si="43"/>
        <v>0.37295903055922031</v>
      </c>
      <c r="O84" s="245">
        <f t="shared" si="44"/>
        <v>1.5150800239375293E-2</v>
      </c>
      <c r="P84" s="245">
        <f t="shared" si="45"/>
        <v>7.0254649341470396E-3</v>
      </c>
      <c r="Q84" s="245">
        <f t="shared" si="46"/>
        <v>0.21109085231443009</v>
      </c>
      <c r="R84" s="243">
        <f t="shared" si="62"/>
        <v>1</v>
      </c>
      <c r="S84" s="250"/>
      <c r="T84" s="244">
        <f t="shared" si="47"/>
        <v>9.8539503796032879E-2</v>
      </c>
      <c r="U84" s="246">
        <f t="shared" si="52"/>
        <v>0.61094492353540386</v>
      </c>
      <c r="V84" s="246">
        <f t="shared" si="53"/>
        <v>4.1433067277875519E-7</v>
      </c>
      <c r="W84" s="246">
        <f t="shared" si="54"/>
        <v>1.5291320252928033E-2</v>
      </c>
      <c r="X84" s="246">
        <f t="shared" si="55"/>
        <v>2.7119932428481771E-3</v>
      </c>
      <c r="Y84" s="246">
        <f t="shared" si="56"/>
        <v>4.9178254539029278E-4</v>
      </c>
      <c r="Z84" s="246">
        <f t="shared" si="48"/>
        <v>0.62944043390724314</v>
      </c>
      <c r="AA84" s="247">
        <f t="shared" si="49"/>
        <v>6.0927574011433186E-2</v>
      </c>
      <c r="AB84" s="122"/>
      <c r="AC84" s="244">
        <f t="shared" si="57"/>
        <v>0.1210170442485102</v>
      </c>
      <c r="AD84" s="245">
        <f t="shared" si="58"/>
        <v>113.38347814849239</v>
      </c>
      <c r="AE84" s="245">
        <f t="shared" si="59"/>
        <v>230.15301775809485</v>
      </c>
      <c r="AF84" s="245">
        <f t="shared" si="60"/>
        <v>14.500830909106092</v>
      </c>
      <c r="AG84" s="245">
        <f t="shared" si="61"/>
        <v>4.3354144108621382</v>
      </c>
      <c r="AH84" s="245">
        <f t="shared" si="50"/>
        <v>362.49375827080394</v>
      </c>
      <c r="AI84" s="247">
        <f t="shared" si="51"/>
        <v>35.088094275465053</v>
      </c>
    </row>
    <row r="85" spans="1:35">
      <c r="A85" s="122"/>
      <c r="B85" s="241">
        <v>81</v>
      </c>
      <c r="C85" s="248">
        <f>'Other parameters'!$D$31</f>
        <v>9.5447599999999994E-2</v>
      </c>
      <c r="D85" s="242">
        <f>'Other parameters'!$G$31</f>
        <v>6.2</v>
      </c>
      <c r="E85" s="234">
        <v>0</v>
      </c>
      <c r="F85" s="248">
        <f t="shared" si="38"/>
        <v>1.8664213567456936E-4</v>
      </c>
      <c r="G85" s="248">
        <f t="shared" si="39"/>
        <v>8.0000000000000016E-2</v>
      </c>
      <c r="H85" s="249">
        <f t="shared" si="40"/>
        <v>9.3977096625217166E-2</v>
      </c>
      <c r="I85" s="122"/>
      <c r="J85" s="244">
        <v>0</v>
      </c>
      <c r="K85" s="245">
        <v>0</v>
      </c>
      <c r="L85" s="245">
        <f t="shared" si="41"/>
        <v>0.39364026989444523</v>
      </c>
      <c r="M85" s="245">
        <f t="shared" si="42"/>
        <v>7.3479633721685716E-5</v>
      </c>
      <c r="N85" s="245">
        <f t="shared" si="43"/>
        <v>0.37011625316722674</v>
      </c>
      <c r="O85" s="245">
        <f t="shared" si="44"/>
        <v>1.5037175065680105E-2</v>
      </c>
      <c r="P85" s="245">
        <f t="shared" si="45"/>
        <v>6.9732428607159613E-3</v>
      </c>
      <c r="Q85" s="245">
        <f t="shared" si="46"/>
        <v>0.21415957937821023</v>
      </c>
      <c r="R85" s="243">
        <f t="shared" si="62"/>
        <v>1</v>
      </c>
      <c r="S85" s="250"/>
      <c r="T85" s="244">
        <f t="shared" si="47"/>
        <v>9.8516327063780149E-2</v>
      </c>
      <c r="U85" s="246">
        <f t="shared" si="52"/>
        <v>0.61080122779543689</v>
      </c>
      <c r="V85" s="246">
        <f t="shared" si="53"/>
        <v>3.7484678901309264E-7</v>
      </c>
      <c r="W85" s="246">
        <f t="shared" si="54"/>
        <v>1.5174766379856297E-2</v>
      </c>
      <c r="X85" s="246">
        <f t="shared" si="55"/>
        <v>2.6916543367567387E-3</v>
      </c>
      <c r="Y85" s="246">
        <f t="shared" si="56"/>
        <v>4.8812700025011735E-4</v>
      </c>
      <c r="Z85" s="246">
        <f t="shared" si="48"/>
        <v>0.62915615035908912</v>
      </c>
      <c r="AA85" s="247">
        <f t="shared" si="49"/>
        <v>5.9126268334645779E-2</v>
      </c>
      <c r="AB85" s="122"/>
      <c r="AC85" s="244">
        <f t="shared" si="57"/>
        <v>0.10948465424531172</v>
      </c>
      <c r="AD85" s="245">
        <f t="shared" si="58"/>
        <v>113.36839772960022</v>
      </c>
      <c r="AE85" s="245">
        <f t="shared" si="59"/>
        <v>228.39873982949564</v>
      </c>
      <c r="AF85" s="245">
        <f t="shared" si="60"/>
        <v>14.39208025536243</v>
      </c>
      <c r="AG85" s="245">
        <f t="shared" si="61"/>
        <v>4.3031881693478198</v>
      </c>
      <c r="AH85" s="245">
        <f t="shared" si="50"/>
        <v>360.57189063805146</v>
      </c>
      <c r="AI85" s="247">
        <f t="shared" si="51"/>
        <v>33.885499406829396</v>
      </c>
    </row>
    <row r="86" spans="1:35">
      <c r="A86" s="122"/>
      <c r="B86" s="241">
        <v>82</v>
      </c>
      <c r="C86" s="248">
        <f>'Other parameters'!$D$31</f>
        <v>9.5447599999999994E-2</v>
      </c>
      <c r="D86" s="242">
        <f>'Other parameters'!$G$31</f>
        <v>6.2</v>
      </c>
      <c r="E86" s="234">
        <v>0</v>
      </c>
      <c r="F86" s="248">
        <f t="shared" si="38"/>
        <v>1.6888078814049451E-4</v>
      </c>
      <c r="G86" s="248">
        <f t="shared" si="39"/>
        <v>8.0000000000000016E-2</v>
      </c>
      <c r="H86" s="249">
        <f t="shared" si="40"/>
        <v>9.1239899636133173E-2</v>
      </c>
      <c r="I86" s="122"/>
      <c r="J86" s="244">
        <v>0</v>
      </c>
      <c r="K86" s="245">
        <v>0</v>
      </c>
      <c r="L86" s="245">
        <f t="shared" si="41"/>
        <v>0.39359289632018923</v>
      </c>
      <c r="M86" s="245">
        <f t="shared" si="42"/>
        <v>6.647827902361088E-5</v>
      </c>
      <c r="N86" s="245">
        <f t="shared" si="43"/>
        <v>0.36729016570631728</v>
      </c>
      <c r="O86" s="245">
        <f t="shared" si="44"/>
        <v>1.4924035155562881E-2</v>
      </c>
      <c r="P86" s="245">
        <f t="shared" si="45"/>
        <v>6.9211971270727026E-3</v>
      </c>
      <c r="Q86" s="245">
        <f t="shared" si="46"/>
        <v>0.21720522741183423</v>
      </c>
      <c r="R86" s="243">
        <f t="shared" si="62"/>
        <v>1</v>
      </c>
      <c r="S86" s="250"/>
      <c r="T86" s="244">
        <f t="shared" si="47"/>
        <v>9.8493248033624012E-2</v>
      </c>
      <c r="U86" s="246">
        <f t="shared" si="52"/>
        <v>0.61065813780846889</v>
      </c>
      <c r="V86" s="246">
        <f t="shared" si="53"/>
        <v>3.3913028915606432E-7</v>
      </c>
      <c r="W86" s="246">
        <f t="shared" si="54"/>
        <v>1.505889679395901E-2</v>
      </c>
      <c r="X86" s="246">
        <f t="shared" si="55"/>
        <v>2.6714022928457557E-3</v>
      </c>
      <c r="Y86" s="246">
        <f t="shared" si="56"/>
        <v>4.844837988950892E-4</v>
      </c>
      <c r="Z86" s="246">
        <f t="shared" si="48"/>
        <v>0.62887325982445796</v>
      </c>
      <c r="AA86" s="247">
        <f t="shared" si="49"/>
        <v>5.7378333110231446E-2</v>
      </c>
      <c r="AB86" s="122"/>
      <c r="AC86" s="244">
        <f t="shared" si="57"/>
        <v>9.9052635745180209E-2</v>
      </c>
      <c r="AD86" s="245">
        <f t="shared" si="58"/>
        <v>113.3547541402145</v>
      </c>
      <c r="AE86" s="245">
        <f t="shared" si="59"/>
        <v>226.65476125736839</v>
      </c>
      <c r="AF86" s="245">
        <f t="shared" si="60"/>
        <v>14.283794047389234</v>
      </c>
      <c r="AG86" s="245">
        <f t="shared" si="61"/>
        <v>4.271070747116565</v>
      </c>
      <c r="AH86" s="245">
        <f t="shared" si="50"/>
        <v>358.66343282783384</v>
      </c>
      <c r="AI86" s="247">
        <f t="shared" si="51"/>
        <v>32.724415614362549</v>
      </c>
    </row>
    <row r="87" spans="1:35">
      <c r="A87" s="122"/>
      <c r="B87" s="241">
        <v>83</v>
      </c>
      <c r="C87" s="248">
        <f>'Other parameters'!$D$31</f>
        <v>9.5447599999999994E-2</v>
      </c>
      <c r="D87" s="242">
        <f>'Other parameters'!$G$31</f>
        <v>6.2</v>
      </c>
      <c r="E87" s="234">
        <v>0</v>
      </c>
      <c r="F87" s="248">
        <f t="shared" si="38"/>
        <v>1.5280965629692301E-4</v>
      </c>
      <c r="G87" s="248">
        <f t="shared" si="39"/>
        <v>8.0000000000000016E-2</v>
      </c>
      <c r="H87" s="249">
        <f t="shared" si="40"/>
        <v>8.8582426831197242E-2</v>
      </c>
      <c r="I87" s="122"/>
      <c r="J87" s="244">
        <v>0</v>
      </c>
      <c r="K87" s="245">
        <v>0</v>
      </c>
      <c r="L87" s="245">
        <f t="shared" si="41"/>
        <v>0.39355003587752779</v>
      </c>
      <c r="M87" s="245">
        <f t="shared" si="42"/>
        <v>6.0144795207598573E-5</v>
      </c>
      <c r="N87" s="245">
        <f t="shared" si="43"/>
        <v>0.36448115464951575</v>
      </c>
      <c r="O87" s="245">
        <f t="shared" si="44"/>
        <v>1.4811414935033379E-2</v>
      </c>
      <c r="P87" s="245">
        <f t="shared" si="45"/>
        <v>6.8693484506342122E-3</v>
      </c>
      <c r="Q87" s="245">
        <f t="shared" si="46"/>
        <v>0.2202279012920812</v>
      </c>
      <c r="R87" s="243">
        <f t="shared" si="62"/>
        <v>1</v>
      </c>
      <c r="S87" s="250"/>
      <c r="T87" s="244">
        <f t="shared" si="47"/>
        <v>9.847027388024697E-2</v>
      </c>
      <c r="U87" s="246">
        <f t="shared" si="52"/>
        <v>0.61051569805753125</v>
      </c>
      <c r="V87" s="246">
        <f t="shared" si="53"/>
        <v>3.0682084568917416E-7</v>
      </c>
      <c r="W87" s="246">
        <f t="shared" si="54"/>
        <v>1.4943727340630146E-2</v>
      </c>
      <c r="X87" s="246">
        <f t="shared" si="55"/>
        <v>2.6512432733709749E-3</v>
      </c>
      <c r="Y87" s="246">
        <f t="shared" si="56"/>
        <v>4.808543915443949E-4</v>
      </c>
      <c r="Z87" s="246">
        <f t="shared" si="48"/>
        <v>0.62859182988392248</v>
      </c>
      <c r="AA87" s="247">
        <f t="shared" si="49"/>
        <v>5.5682189777380944E-2</v>
      </c>
      <c r="AB87" s="122"/>
      <c r="AC87" s="244">
        <f t="shared" si="57"/>
        <v>8.9615744859321875E-2</v>
      </c>
      <c r="AD87" s="245">
        <f t="shared" si="58"/>
        <v>113.34241033272801</v>
      </c>
      <c r="AE87" s="245">
        <f t="shared" si="59"/>
        <v>224.92132053421616</v>
      </c>
      <c r="AF87" s="245">
        <f t="shared" si="60"/>
        <v>14.176005234320447</v>
      </c>
      <c r="AG87" s="245">
        <f t="shared" si="61"/>
        <v>4.2390749288863727</v>
      </c>
      <c r="AH87" s="245">
        <f t="shared" si="50"/>
        <v>356.76842677501031</v>
      </c>
      <c r="AI87" s="247">
        <f t="shared" si="51"/>
        <v>31.603413060478701</v>
      </c>
    </row>
    <row r="88" spans="1:35">
      <c r="A88" s="122"/>
      <c r="B88" s="241">
        <v>84</v>
      </c>
      <c r="C88" s="248">
        <f>'Other parameters'!$D$31</f>
        <v>9.5447599999999994E-2</v>
      </c>
      <c r="D88" s="242">
        <f>'Other parameters'!$G$31</f>
        <v>6.2</v>
      </c>
      <c r="E88" s="234">
        <v>0</v>
      </c>
      <c r="F88" s="248">
        <f t="shared" si="38"/>
        <v>1.3826789485467029E-4</v>
      </c>
      <c r="G88" s="248">
        <f t="shared" si="39"/>
        <v>8.0000000000000016E-2</v>
      </c>
      <c r="H88" s="249">
        <f t="shared" si="40"/>
        <v>8.6002356146793454E-2</v>
      </c>
      <c r="I88" s="122"/>
      <c r="J88" s="244">
        <v>0</v>
      </c>
      <c r="K88" s="245">
        <v>0</v>
      </c>
      <c r="L88" s="245">
        <f t="shared" si="41"/>
        <v>0.39351125818930099</v>
      </c>
      <c r="M88" s="245">
        <f t="shared" si="42"/>
        <v>5.4415334980765735E-5</v>
      </c>
      <c r="N88" s="245">
        <f t="shared" si="43"/>
        <v>0.36168955410545595</v>
      </c>
      <c r="O88" s="245">
        <f t="shared" si="44"/>
        <v>1.4699344873482399E-2</v>
      </c>
      <c r="P88" s="245">
        <f t="shared" si="45"/>
        <v>6.8177152506593919E-3</v>
      </c>
      <c r="Q88" s="245">
        <f t="shared" si="46"/>
        <v>0.22322771224612042</v>
      </c>
      <c r="R88" s="243">
        <f t="shared" si="62"/>
        <v>1</v>
      </c>
      <c r="S88" s="250"/>
      <c r="T88" s="244">
        <f t="shared" si="47"/>
        <v>9.8447410954039236E-2</v>
      </c>
      <c r="U88" s="246">
        <f t="shared" si="52"/>
        <v>0.61037394791504329</v>
      </c>
      <c r="V88" s="246">
        <f t="shared" si="53"/>
        <v>2.7759274995667348E-7</v>
      </c>
      <c r="W88" s="246">
        <f t="shared" si="54"/>
        <v>1.4829271718323694E-2</v>
      </c>
      <c r="X88" s="246">
        <f t="shared" si="55"/>
        <v>2.6311827323533491E-3</v>
      </c>
      <c r="Y88" s="246">
        <f t="shared" si="56"/>
        <v>4.772400675461575E-4</v>
      </c>
      <c r="Z88" s="246">
        <f t="shared" si="48"/>
        <v>0.62831192002601643</v>
      </c>
      <c r="AA88" s="247">
        <f t="shared" si="49"/>
        <v>5.403630551735307E-2</v>
      </c>
      <c r="AB88" s="122"/>
      <c r="AC88" s="244">
        <f t="shared" si="57"/>
        <v>8.1078849121340946E-2</v>
      </c>
      <c r="AD88" s="245">
        <f t="shared" si="58"/>
        <v>113.33124235851869</v>
      </c>
      <c r="AE88" s="245">
        <f t="shared" si="59"/>
        <v>223.19862383847686</v>
      </c>
      <c r="AF88" s="245">
        <f t="shared" si="60"/>
        <v>14.068742978410004</v>
      </c>
      <c r="AG88" s="245">
        <f t="shared" si="61"/>
        <v>4.2072120811819111</v>
      </c>
      <c r="AH88" s="245">
        <f t="shared" si="50"/>
        <v>354.88690010570883</v>
      </c>
      <c r="AI88" s="247">
        <f t="shared" si="51"/>
        <v>30.521109574722683</v>
      </c>
    </row>
    <row r="89" spans="1:35">
      <c r="A89" s="122"/>
      <c r="B89" s="241">
        <v>85</v>
      </c>
      <c r="C89" s="248">
        <f>'Other parameters'!$D$32</f>
        <v>0.12420580000000001</v>
      </c>
      <c r="D89" s="242">
        <f>'Other parameters'!$G$32</f>
        <v>4.5999999999999996</v>
      </c>
      <c r="E89" s="234">
        <v>0</v>
      </c>
      <c r="F89" s="248">
        <f t="shared" si="38"/>
        <v>1.2510996497756732E-4</v>
      </c>
      <c r="G89" s="248">
        <f t="shared" si="39"/>
        <v>8.0000000000000016E-2</v>
      </c>
      <c r="H89" s="249">
        <f t="shared" si="40"/>
        <v>8.3497433152226644E-2</v>
      </c>
      <c r="I89" s="122"/>
      <c r="J89" s="244">
        <v>0</v>
      </c>
      <c r="K89" s="245">
        <v>0</v>
      </c>
      <c r="L89" s="245">
        <f t="shared" si="41"/>
        <v>0.39347617399666562</v>
      </c>
      <c r="M89" s="245">
        <f t="shared" si="42"/>
        <v>4.9232179730341896E-5</v>
      </c>
      <c r="N89" s="245">
        <f t="shared" si="43"/>
        <v>0.35891565096542877</v>
      </c>
      <c r="O89" s="245">
        <f t="shared" si="44"/>
        <v>1.4587851874663748E-2</v>
      </c>
      <c r="P89" s="245">
        <f t="shared" si="45"/>
        <v>6.7663138746459619E-3</v>
      </c>
      <c r="Q89" s="245">
        <f t="shared" si="46"/>
        <v>0.22620477710886547</v>
      </c>
      <c r="R89" s="243">
        <f t="shared" si="62"/>
        <v>0.99999999999999989</v>
      </c>
      <c r="S89" s="250"/>
      <c r="T89" s="244">
        <f t="shared" si="47"/>
        <v>0.12718286486274505</v>
      </c>
      <c r="U89" s="246">
        <f t="shared" si="52"/>
        <v>0.58504117836862712</v>
      </c>
      <c r="V89" s="246">
        <f t="shared" si="53"/>
        <v>2.5115155796684005E-7</v>
      </c>
      <c r="W89" s="246">
        <f t="shared" si="54"/>
        <v>1.4715541689582581E-2</v>
      </c>
      <c r="X89" s="246">
        <f t="shared" si="55"/>
        <v>2.611225485564811E-3</v>
      </c>
      <c r="Y89" s="246">
        <f t="shared" si="56"/>
        <v>4.736419712252174E-4</v>
      </c>
      <c r="Z89" s="246">
        <f t="shared" si="48"/>
        <v>0.60284183866655772</v>
      </c>
      <c r="AA89" s="247">
        <f t="shared" si="49"/>
        <v>5.0335746125426302E-2</v>
      </c>
      <c r="AB89" s="122"/>
      <c r="AC89" s="244">
        <f t="shared" si="57"/>
        <v>7.335594779820942E-2</v>
      </c>
      <c r="AD89" s="245">
        <f t="shared" si="58"/>
        <v>113.3211381110397</v>
      </c>
      <c r="AE89" s="245">
        <f t="shared" si="59"/>
        <v>221.48684821076611</v>
      </c>
      <c r="AF89" s="245">
        <f t="shared" si="60"/>
        <v>13.962033029240674</v>
      </c>
      <c r="AG89" s="245">
        <f t="shared" si="61"/>
        <v>4.1754922920440229</v>
      </c>
      <c r="AH89" s="245">
        <f t="shared" si="50"/>
        <v>353.0188675908887</v>
      </c>
      <c r="AI89" s="247">
        <f t="shared" si="51"/>
        <v>29.476169298144978</v>
      </c>
    </row>
    <row r="90" spans="1:35">
      <c r="A90" s="122"/>
      <c r="B90" s="241">
        <v>86</v>
      </c>
      <c r="C90" s="248">
        <f>'Other parameters'!$D$32</f>
        <v>0.12420580000000001</v>
      </c>
      <c r="D90" s="242">
        <f>'Other parameters'!$G$32</f>
        <v>4.5999999999999996</v>
      </c>
      <c r="E90" s="234">
        <v>0</v>
      </c>
      <c r="F90" s="248">
        <f t="shared" si="38"/>
        <v>1.132041776808714E-4</v>
      </c>
      <c r="G90" s="248">
        <f t="shared" si="39"/>
        <v>8.0000000000000016E-2</v>
      </c>
      <c r="H90" s="249">
        <f t="shared" si="40"/>
        <v>8.1065469079831712E-2</v>
      </c>
      <c r="I90" s="122"/>
      <c r="J90" s="244">
        <v>0</v>
      </c>
      <c r="K90" s="245">
        <v>0</v>
      </c>
      <c r="L90" s="245">
        <f t="shared" si="41"/>
        <v>0.39344443121668121</v>
      </c>
      <c r="M90" s="245">
        <f t="shared" si="42"/>
        <v>4.4543146714308004E-5</v>
      </c>
      <c r="N90" s="245">
        <f t="shared" si="43"/>
        <v>0.35615968955153537</v>
      </c>
      <c r="O90" s="245">
        <f t="shared" si="44"/>
        <v>1.44769596288202E-2</v>
      </c>
      <c r="P90" s="245">
        <f t="shared" si="45"/>
        <v>6.7151588023899181E-3</v>
      </c>
      <c r="Q90" s="245">
        <f t="shared" si="46"/>
        <v>0.22915921765385891</v>
      </c>
      <c r="R90" s="243">
        <f t="shared" si="62"/>
        <v>1</v>
      </c>
      <c r="S90" s="250"/>
      <c r="T90" s="244">
        <f t="shared" si="47"/>
        <v>0.12716024054499345</v>
      </c>
      <c r="U90" s="246">
        <f t="shared" si="52"/>
        <v>0.58493710650696984</v>
      </c>
      <c r="V90" s="246">
        <f t="shared" si="53"/>
        <v>2.2723106625216852E-7</v>
      </c>
      <c r="W90" s="246">
        <f t="shared" si="54"/>
        <v>1.4602547271612951E-2</v>
      </c>
      <c r="X90" s="246">
        <f t="shared" si="55"/>
        <v>2.5913757735588159E-3</v>
      </c>
      <c r="Y90" s="246">
        <f t="shared" si="56"/>
        <v>4.7006111616729429E-4</v>
      </c>
      <c r="Z90" s="246">
        <f t="shared" si="48"/>
        <v>0.60260131789937521</v>
      </c>
      <c r="AA90" s="247">
        <f t="shared" si="49"/>
        <v>4.8850158503637643E-2</v>
      </c>
      <c r="AB90" s="122"/>
      <c r="AC90" s="244">
        <f t="shared" si="57"/>
        <v>6.6369288604318927E-2</v>
      </c>
      <c r="AD90" s="245">
        <f t="shared" si="58"/>
        <v>113.31199619040419</v>
      </c>
      <c r="AE90" s="245">
        <f t="shared" si="59"/>
        <v>219.78614442225248</v>
      </c>
      <c r="AF90" s="245">
        <f t="shared" si="60"/>
        <v>13.855898060743813</v>
      </c>
      <c r="AG90" s="245">
        <f t="shared" si="61"/>
        <v>4.1439244969548188</v>
      </c>
      <c r="AH90" s="245">
        <f t="shared" si="50"/>
        <v>351.16433245895962</v>
      </c>
      <c r="AI90" s="247">
        <f t="shared" si="51"/>
        <v>28.467301334891534</v>
      </c>
    </row>
    <row r="91" spans="1:35">
      <c r="A91" s="122"/>
      <c r="B91" s="241">
        <v>87</v>
      </c>
      <c r="C91" s="248">
        <f>'Other parameters'!$D$32</f>
        <v>0.12420580000000001</v>
      </c>
      <c r="D91" s="242">
        <f>'Other parameters'!$G$32</f>
        <v>4.5999999999999996</v>
      </c>
      <c r="E91" s="234">
        <v>0</v>
      </c>
      <c r="F91" s="248">
        <f t="shared" si="38"/>
        <v>1.0243137584364362E-4</v>
      </c>
      <c r="G91" s="248">
        <f t="shared" si="39"/>
        <v>8.0000000000000016E-2</v>
      </c>
      <c r="H91" s="249">
        <f t="shared" si="40"/>
        <v>7.8704338912457969E-2</v>
      </c>
      <c r="I91" s="122"/>
      <c r="J91" s="244">
        <v>0</v>
      </c>
      <c r="K91" s="245">
        <v>0</v>
      </c>
      <c r="L91" s="245">
        <f t="shared" si="41"/>
        <v>0.39341571138041936</v>
      </c>
      <c r="M91" s="245">
        <f t="shared" si="42"/>
        <v>4.0301054407544468E-5</v>
      </c>
      <c r="N91" s="245">
        <f t="shared" si="43"/>
        <v>0.35342187581492357</v>
      </c>
      <c r="O91" s="245">
        <f t="shared" si="44"/>
        <v>1.4366688929916252E-2</v>
      </c>
      <c r="P91" s="245">
        <f t="shared" si="45"/>
        <v>6.6642628299383513E-3</v>
      </c>
      <c r="Q91" s="245">
        <f t="shared" si="46"/>
        <v>0.23209115999039484</v>
      </c>
      <c r="R91" s="243">
        <f t="shared" si="62"/>
        <v>0.99999999999999989</v>
      </c>
      <c r="S91" s="250"/>
      <c r="T91" s="244">
        <f t="shared" si="47"/>
        <v>0.12713774233653594</v>
      </c>
      <c r="U91" s="246">
        <f t="shared" si="52"/>
        <v>0.58483361474806528</v>
      </c>
      <c r="V91" s="246">
        <f t="shared" si="53"/>
        <v>2.0559058440232276E-7</v>
      </c>
      <c r="W91" s="246">
        <f t="shared" si="54"/>
        <v>1.4490296908411866E-2</v>
      </c>
      <c r="X91" s="246">
        <f t="shared" si="55"/>
        <v>2.5716373184550092E-3</v>
      </c>
      <c r="Y91" s="246">
        <f t="shared" si="56"/>
        <v>4.6649839809568465E-4</v>
      </c>
      <c r="Z91" s="246">
        <f t="shared" si="48"/>
        <v>0.60236225296361223</v>
      </c>
      <c r="AA91" s="247">
        <f t="shared" si="49"/>
        <v>4.7408522905319876E-2</v>
      </c>
      <c r="AB91" s="122"/>
      <c r="AC91" s="244">
        <f t="shared" si="57"/>
        <v>6.0048571067241256E-2</v>
      </c>
      <c r="AD91" s="245">
        <f t="shared" si="58"/>
        <v>113.30372487756078</v>
      </c>
      <c r="AE91" s="245">
        <f t="shared" si="59"/>
        <v>218.09663956538935</v>
      </c>
      <c r="AF91" s="245">
        <f t="shared" si="60"/>
        <v>13.750357974822846</v>
      </c>
      <c r="AG91" s="245">
        <f t="shared" si="61"/>
        <v>4.1125165923549565</v>
      </c>
      <c r="AH91" s="245">
        <f t="shared" si="50"/>
        <v>349.32328758119519</v>
      </c>
      <c r="AI91" s="247">
        <f t="shared" si="51"/>
        <v>27.493258415804405</v>
      </c>
    </row>
    <row r="92" spans="1:35">
      <c r="A92" s="122"/>
      <c r="B92" s="241">
        <v>88</v>
      </c>
      <c r="C92" s="248">
        <f>'Other parameters'!$D$32</f>
        <v>0.12420580000000001</v>
      </c>
      <c r="D92" s="242">
        <f>'Other parameters'!$G$32</f>
        <v>4.5999999999999996</v>
      </c>
      <c r="E92" s="234">
        <v>0</v>
      </c>
      <c r="F92" s="248">
        <f t="shared" si="38"/>
        <v>9.2683741644233487E-5</v>
      </c>
      <c r="G92" s="248">
        <f t="shared" si="39"/>
        <v>8.0000000000000016E-2</v>
      </c>
      <c r="H92" s="249">
        <f t="shared" si="40"/>
        <v>7.6411979526658208E-2</v>
      </c>
      <c r="I92" s="122"/>
      <c r="J92" s="244">
        <v>0</v>
      </c>
      <c r="K92" s="245">
        <v>0</v>
      </c>
      <c r="L92" s="245">
        <f t="shared" si="41"/>
        <v>0.39338972641441294</v>
      </c>
      <c r="M92" s="245">
        <f t="shared" si="42"/>
        <v>3.6463240152365116E-5</v>
      </c>
      <c r="N92" s="245">
        <f t="shared" si="43"/>
        <v>0.35070238112815022</v>
      </c>
      <c r="O92" s="245">
        <f t="shared" si="44"/>
        <v>1.4257057961521035E-2</v>
      </c>
      <c r="P92" s="245">
        <f t="shared" si="45"/>
        <v>6.613637235441101E-3</v>
      </c>
      <c r="Q92" s="245">
        <f t="shared" si="46"/>
        <v>0.23500073402032223</v>
      </c>
      <c r="R92" s="243">
        <f t="shared" si="62"/>
        <v>0.99999999999999978</v>
      </c>
      <c r="S92" s="250"/>
      <c r="T92" s="244">
        <f t="shared" si="47"/>
        <v>0.1271153740299274</v>
      </c>
      <c r="U92" s="246">
        <f t="shared" si="52"/>
        <v>0.58473072053766595</v>
      </c>
      <c r="V92" s="246">
        <f t="shared" si="53"/>
        <v>1.8601247442110646E-7</v>
      </c>
      <c r="W92" s="246">
        <f t="shared" si="54"/>
        <v>1.437879762625416E-2</v>
      </c>
      <c r="X92" s="246">
        <f t="shared" si="55"/>
        <v>2.5520133751122651E-3</v>
      </c>
      <c r="Y92" s="246">
        <f t="shared" si="56"/>
        <v>4.6295460648087709E-4</v>
      </c>
      <c r="Z92" s="246">
        <f t="shared" si="48"/>
        <v>0.60212467215798759</v>
      </c>
      <c r="AA92" s="247">
        <f t="shared" si="49"/>
        <v>4.6009538121431937E-2</v>
      </c>
      <c r="AB92" s="122"/>
      <c r="AC92" s="244">
        <f t="shared" si="57"/>
        <v>5.433022782702402E-2</v>
      </c>
      <c r="AD92" s="245">
        <f t="shared" si="58"/>
        <v>113.29624120735093</v>
      </c>
      <c r="AE92" s="245">
        <f t="shared" si="59"/>
        <v>216.41843939418152</v>
      </c>
      <c r="AF92" s="245">
        <f t="shared" si="60"/>
        <v>13.645430174971782</v>
      </c>
      <c r="AG92" s="245">
        <f t="shared" si="61"/>
        <v>4.0812755379907033</v>
      </c>
      <c r="AH92" s="245">
        <f t="shared" si="50"/>
        <v>347.49571654232193</v>
      </c>
      <c r="AI92" s="247">
        <f t="shared" si="51"/>
        <v>26.552835578033328</v>
      </c>
    </row>
    <row r="93" spans="1:35">
      <c r="A93" s="122"/>
      <c r="B93" s="241">
        <v>89</v>
      </c>
      <c r="C93" s="248">
        <f>'Other parameters'!$D$32</f>
        <v>0.12420580000000001</v>
      </c>
      <c r="D93" s="242">
        <f>'Other parameters'!$G$32</f>
        <v>4.5999999999999996</v>
      </c>
      <c r="E93" s="234">
        <v>0</v>
      </c>
      <c r="F93" s="248">
        <f t="shared" ref="F93:F104" si="63">IF(B93&lt;rf2age,0,(pA2_2p*EXP(-0.1*(B93-$B$28))))</f>
        <v>8.3863717483280192E-5</v>
      </c>
      <c r="G93" s="248">
        <f t="shared" si="39"/>
        <v>8.0000000000000016E-2</v>
      </c>
      <c r="H93" s="249">
        <f t="shared" si="40"/>
        <v>7.4186387889959446E-2</v>
      </c>
      <c r="I93" s="122"/>
      <c r="J93" s="244">
        <v>0</v>
      </c>
      <c r="K93" s="245">
        <v>0</v>
      </c>
      <c r="L93" s="245">
        <f t="shared" si="41"/>
        <v>0.39336621573197572</v>
      </c>
      <c r="M93" s="245">
        <f t="shared" si="42"/>
        <v>3.2991124876843217E-5</v>
      </c>
      <c r="N93" s="245">
        <f t="shared" si="43"/>
        <v>0.34800134571129732</v>
      </c>
      <c r="O93" s="245">
        <f t="shared" si="44"/>
        <v>1.4148082554511755E-2</v>
      </c>
      <c r="P93" s="245">
        <f t="shared" si="45"/>
        <v>6.563291928704168E-3</v>
      </c>
      <c r="Q93" s="245">
        <f t="shared" si="46"/>
        <v>0.23788807294863407</v>
      </c>
      <c r="R93" s="243">
        <f t="shared" si="62"/>
        <v>1</v>
      </c>
      <c r="S93" s="250"/>
      <c r="T93" s="244">
        <f t="shared" si="47"/>
        <v>0.12709313892831184</v>
      </c>
      <c r="U93" s="246">
        <f t="shared" si="52"/>
        <v>0.58462843907023443</v>
      </c>
      <c r="V93" s="246">
        <f t="shared" si="53"/>
        <v>1.6829993019364952E-7</v>
      </c>
      <c r="W93" s="246">
        <f t="shared" si="54"/>
        <v>1.4268055174163191E-2</v>
      </c>
      <c r="X93" s="246">
        <f t="shared" si="55"/>
        <v>2.5325067772576041E-3</v>
      </c>
      <c r="Y93" s="246">
        <f t="shared" si="56"/>
        <v>4.5943043500929181E-4</v>
      </c>
      <c r="Z93" s="246">
        <f t="shared" si="48"/>
        <v>0.6018885997565947</v>
      </c>
      <c r="AA93" s="247">
        <f t="shared" si="49"/>
        <v>4.4651941128087284E-2</v>
      </c>
      <c r="AB93" s="122"/>
      <c r="AC93" s="244">
        <f t="shared" si="57"/>
        <v>4.9156776066496391E-2</v>
      </c>
      <c r="AD93" s="245">
        <f t="shared" si="58"/>
        <v>113.28947013080901</v>
      </c>
      <c r="AE93" s="245">
        <f t="shared" si="59"/>
        <v>214.75163043844159</v>
      </c>
      <c r="AF93" s="245">
        <f t="shared" si="60"/>
        <v>13.541129812923201</v>
      </c>
      <c r="AG93" s="245">
        <f t="shared" si="61"/>
        <v>4.0502074492033424</v>
      </c>
      <c r="AH93" s="245">
        <f t="shared" si="50"/>
        <v>345.68159460744369</v>
      </c>
      <c r="AI93" s="247">
        <f t="shared" si="51"/>
        <v>25.644868863967531</v>
      </c>
    </row>
    <row r="94" spans="1:35">
      <c r="A94" s="122"/>
      <c r="B94" s="241">
        <v>90</v>
      </c>
      <c r="C94" s="248">
        <f>'Other parameters'!$D$33</f>
        <v>0.15309420000000001</v>
      </c>
      <c r="D94" s="242">
        <f>'Other parameters'!$G$33</f>
        <v>3.3</v>
      </c>
      <c r="E94" s="234">
        <v>0</v>
      </c>
      <c r="F94" s="248">
        <f t="shared" si="63"/>
        <v>7.5883029594468388E-5</v>
      </c>
      <c r="G94" s="248">
        <f t="shared" si="39"/>
        <v>8.0000000000000016E-2</v>
      </c>
      <c r="H94" s="249">
        <f t="shared" si="40"/>
        <v>7.2025619310640235E-2</v>
      </c>
      <c r="I94" s="122"/>
      <c r="J94" s="244">
        <v>0</v>
      </c>
      <c r="K94" s="245">
        <v>0</v>
      </c>
      <c r="L94" s="245">
        <f t="shared" si="41"/>
        <v>0.39334494360425382</v>
      </c>
      <c r="M94" s="245">
        <f t="shared" si="42"/>
        <v>2.984982018985355E-5</v>
      </c>
      <c r="N94" s="245">
        <f t="shared" si="43"/>
        <v>0.34531888172751513</v>
      </c>
      <c r="O94" s="245">
        <f t="shared" si="44"/>
        <v>1.4039776419436014E-2</v>
      </c>
      <c r="P94" s="245">
        <f t="shared" si="45"/>
        <v>6.5132355860658296E-3</v>
      </c>
      <c r="Q94" s="245">
        <f t="shared" si="46"/>
        <v>0.24075331284253917</v>
      </c>
      <c r="R94" s="243">
        <f t="shared" si="62"/>
        <v>0.99999999999999989</v>
      </c>
      <c r="S94" s="250"/>
      <c r="T94" s="244">
        <f t="shared" si="47"/>
        <v>0.15595943989390512</v>
      </c>
      <c r="U94" s="246">
        <f t="shared" si="52"/>
        <v>0.51466615164988683</v>
      </c>
      <c r="V94" s="246">
        <f t="shared" si="53"/>
        <v>1.5227497313289676E-7</v>
      </c>
      <c r="W94" s="246">
        <f t="shared" si="54"/>
        <v>1.415807415082812E-2</v>
      </c>
      <c r="X94" s="246">
        <f t="shared" si="55"/>
        <v>2.5131199790790464E-3</v>
      </c>
      <c r="Y94" s="246">
        <f t="shared" si="56"/>
        <v>4.5592649102460812E-4</v>
      </c>
      <c r="Z94" s="246">
        <f t="shared" si="48"/>
        <v>0.53179342454579182</v>
      </c>
      <c r="AA94" s="247">
        <f t="shared" si="49"/>
        <v>3.8302750748236886E-2</v>
      </c>
      <c r="AB94" s="122"/>
      <c r="AC94" s="244">
        <f t="shared" si="57"/>
        <v>4.4476232082881789E-2</v>
      </c>
      <c r="AD94" s="245">
        <f t="shared" si="58"/>
        <v>113.2833437580251</v>
      </c>
      <c r="AE94" s="245">
        <f t="shared" si="59"/>
        <v>213.0962819140496</v>
      </c>
      <c r="AF94" s="245">
        <f t="shared" si="60"/>
        <v>13.43747001104221</v>
      </c>
      <c r="AG94" s="245">
        <f t="shared" si="61"/>
        <v>4.0193176801612234</v>
      </c>
      <c r="AH94" s="245">
        <f t="shared" si="50"/>
        <v>343.880889595361</v>
      </c>
      <c r="AI94" s="247">
        <f t="shared" si="51"/>
        <v>24.768234042199776</v>
      </c>
    </row>
    <row r="95" spans="1:35">
      <c r="A95" s="122"/>
      <c r="B95" s="241">
        <v>91</v>
      </c>
      <c r="C95" s="248">
        <f>'Other parameters'!$D$33</f>
        <v>0.15309420000000001</v>
      </c>
      <c r="D95" s="242">
        <f>'Other parameters'!$G$33</f>
        <v>3.3</v>
      </c>
      <c r="E95" s="234">
        <v>0</v>
      </c>
      <c r="F95" s="248">
        <f t="shared" si="63"/>
        <v>6.8661804571005101E-5</v>
      </c>
      <c r="G95" s="248">
        <f t="shared" si="39"/>
        <v>8.0000000000000016E-2</v>
      </c>
      <c r="H95" s="249">
        <f t="shared" si="40"/>
        <v>6.9927785738485654E-2</v>
      </c>
      <c r="I95" s="122"/>
      <c r="J95" s="244">
        <v>0</v>
      </c>
      <c r="K95" s="245">
        <v>0</v>
      </c>
      <c r="L95" s="245">
        <f t="shared" si="41"/>
        <v>0.39332569678385643</v>
      </c>
      <c r="M95" s="245">
        <f t="shared" si="42"/>
        <v>2.7007773646748299E-5</v>
      </c>
      <c r="N95" s="245">
        <f t="shared" si="43"/>
        <v>0.34265507608012252</v>
      </c>
      <c r="O95" s="245">
        <f t="shared" si="44"/>
        <v>1.3932151356075707E-2</v>
      </c>
      <c r="P95" s="245">
        <f t="shared" si="45"/>
        <v>6.4634757720529578E-3</v>
      </c>
      <c r="Q95" s="245">
        <f t="shared" si="46"/>
        <v>0.24359659223424546</v>
      </c>
      <c r="R95" s="243">
        <f t="shared" si="62"/>
        <v>0.99999999999999989</v>
      </c>
      <c r="S95" s="250"/>
      <c r="T95" s="244">
        <f t="shared" si="47"/>
        <v>0.1559374793917063</v>
      </c>
      <c r="U95" s="246">
        <f t="shared" si="52"/>
        <v>0.51459368199263078</v>
      </c>
      <c r="V95" s="246">
        <f t="shared" si="53"/>
        <v>1.3777664254861737E-7</v>
      </c>
      <c r="W95" s="246">
        <f t="shared" si="54"/>
        <v>1.4048858119285024E-2</v>
      </c>
      <c r="X95" s="246">
        <f t="shared" si="55"/>
        <v>2.4938550927375517E-3</v>
      </c>
      <c r="Y95" s="246">
        <f t="shared" si="56"/>
        <v>4.5244330404370711E-4</v>
      </c>
      <c r="Z95" s="246">
        <f t="shared" si="48"/>
        <v>0.53158897628533963</v>
      </c>
      <c r="AA95" s="247">
        <f t="shared" si="49"/>
        <v>3.7172840034622158E-2</v>
      </c>
      <c r="AB95" s="122"/>
      <c r="AC95" s="244">
        <f t="shared" si="57"/>
        <v>4.0241582733654968E-2</v>
      </c>
      <c r="AD95" s="245">
        <f t="shared" si="58"/>
        <v>113.27780067375065</v>
      </c>
      <c r="AE95" s="245">
        <f t="shared" si="59"/>
        <v>211.4524474490436</v>
      </c>
      <c r="AF95" s="245">
        <f t="shared" si="60"/>
        <v>13.334462062900061</v>
      </c>
      <c r="AG95" s="245">
        <f t="shared" si="61"/>
        <v>3.9886108989338802</v>
      </c>
      <c r="AH95" s="245">
        <f t="shared" si="50"/>
        <v>342.09356266736182</v>
      </c>
      <c r="AI95" s="247">
        <f t="shared" si="51"/>
        <v>23.921845352718492</v>
      </c>
    </row>
    <row r="96" spans="1:35">
      <c r="A96" s="122"/>
      <c r="B96" s="241">
        <v>92</v>
      </c>
      <c r="C96" s="248">
        <f>'Other parameters'!$D$33</f>
        <v>0.15309420000000001</v>
      </c>
      <c r="D96" s="242">
        <f>'Other parameters'!$G$33</f>
        <v>3.3</v>
      </c>
      <c r="E96" s="234">
        <v>0</v>
      </c>
      <c r="F96" s="248">
        <f t="shared" si="63"/>
        <v>6.2127769965717876E-5</v>
      </c>
      <c r="G96" s="248">
        <f t="shared" si="39"/>
        <v>8.0000000000000016E-2</v>
      </c>
      <c r="H96" s="249">
        <f t="shared" si="40"/>
        <v>6.7891054115034627E-2</v>
      </c>
      <c r="I96" s="122"/>
      <c r="J96" s="244">
        <v>0</v>
      </c>
      <c r="K96" s="245">
        <v>0</v>
      </c>
      <c r="L96" s="245">
        <f t="shared" si="41"/>
        <v>0.39330828235659321</v>
      </c>
      <c r="M96" s="245">
        <f t="shared" si="42"/>
        <v>2.4436448411393132E-5</v>
      </c>
      <c r="N96" s="245">
        <f t="shared" si="43"/>
        <v>0.34000999294021456</v>
      </c>
      <c r="O96" s="245">
        <f t="shared" si="44"/>
        <v>1.3825217442491759E-2</v>
      </c>
      <c r="P96" s="245">
        <f t="shared" si="45"/>
        <v>6.4140190491281755E-3</v>
      </c>
      <c r="Q96" s="245">
        <f t="shared" si="46"/>
        <v>0.2464180517631607</v>
      </c>
      <c r="R96" s="243">
        <f t="shared" si="62"/>
        <v>0.99999999999999978</v>
      </c>
      <c r="S96" s="250"/>
      <c r="T96" s="244">
        <f t="shared" si="47"/>
        <v>0.15591565952891526</v>
      </c>
      <c r="U96" s="246">
        <f t="shared" si="52"/>
        <v>0.51452167644542035</v>
      </c>
      <c r="V96" s="246">
        <f t="shared" si="53"/>
        <v>1.246593614849699E-7</v>
      </c>
      <c r="W96" s="246">
        <f t="shared" si="54"/>
        <v>1.3940409710548798E-2</v>
      </c>
      <c r="X96" s="246">
        <f t="shared" si="55"/>
        <v>2.474713922206025E-3</v>
      </c>
      <c r="Y96" s="246">
        <f t="shared" si="56"/>
        <v>4.4898133343897233E-4</v>
      </c>
      <c r="Z96" s="246">
        <f t="shared" si="48"/>
        <v>0.53138590607097558</v>
      </c>
      <c r="AA96" s="247">
        <f t="shared" si="49"/>
        <v>3.6076349305031313E-2</v>
      </c>
      <c r="AB96" s="122"/>
      <c r="AC96" s="244">
        <f t="shared" si="57"/>
        <v>3.6410308132975765E-2</v>
      </c>
      <c r="AD96" s="245">
        <f t="shared" si="58"/>
        <v>113.27278531869885</v>
      </c>
      <c r="AE96" s="245">
        <f t="shared" si="59"/>
        <v>209.82016664340642</v>
      </c>
      <c r="AF96" s="245">
        <f t="shared" si="60"/>
        <v>13.232115614208864</v>
      </c>
      <c r="AG96" s="245">
        <f t="shared" si="61"/>
        <v>3.9580911552169971</v>
      </c>
      <c r="AH96" s="245">
        <f t="shared" si="50"/>
        <v>340.31956903966409</v>
      </c>
      <c r="AI96" s="247">
        <f t="shared" si="51"/>
        <v>23.104654278077099</v>
      </c>
    </row>
    <row r="97" spans="1:35">
      <c r="A97" s="122"/>
      <c r="B97" s="241">
        <v>93</v>
      </c>
      <c r="C97" s="248">
        <f>'Other parameters'!$D$33</f>
        <v>0.15309420000000001</v>
      </c>
      <c r="D97" s="242">
        <f>'Other parameters'!$G$33</f>
        <v>3.3</v>
      </c>
      <c r="E97" s="234">
        <v>0</v>
      </c>
      <c r="F97" s="248">
        <f t="shared" si="63"/>
        <v>5.6215530964112212E-5</v>
      </c>
      <c r="G97" s="248">
        <f t="shared" si="39"/>
        <v>8.0000000000000016E-2</v>
      </c>
      <c r="H97" s="249">
        <f t="shared" si="40"/>
        <v>6.5913644771878277E-2</v>
      </c>
      <c r="I97" s="122"/>
      <c r="J97" s="244">
        <v>0</v>
      </c>
      <c r="K97" s="245">
        <v>0</v>
      </c>
      <c r="L97" s="245">
        <f t="shared" si="41"/>
        <v>0.39329252579925489</v>
      </c>
      <c r="M97" s="245">
        <f t="shared" si="42"/>
        <v>2.2110033925258856E-5</v>
      </c>
      <c r="N97" s="245">
        <f t="shared" si="43"/>
        <v>0.33738367603087421</v>
      </c>
      <c r="O97" s="245">
        <f t="shared" si="44"/>
        <v>1.3718983205593937E-2</v>
      </c>
      <c r="P97" s="245">
        <f t="shared" si="45"/>
        <v>6.3648710767066578E-3</v>
      </c>
      <c r="Q97" s="245">
        <f t="shared" si="46"/>
        <v>0.24921783385364479</v>
      </c>
      <c r="R97" s="243">
        <f t="shared" si="62"/>
        <v>0.99999999999999989</v>
      </c>
      <c r="S97" s="250"/>
      <c r="T97" s="244">
        <f t="shared" si="47"/>
        <v>0.15589398209048411</v>
      </c>
      <c r="U97" s="246">
        <f t="shared" si="52"/>
        <v>0.51445014089859753</v>
      </c>
      <c r="V97" s="246">
        <f t="shared" si="53"/>
        <v>1.1279146073652602E-7</v>
      </c>
      <c r="W97" s="246">
        <f t="shared" si="54"/>
        <v>1.3832730717265844E-2</v>
      </c>
      <c r="X97" s="246">
        <f t="shared" si="55"/>
        <v>2.4556979938013144E-3</v>
      </c>
      <c r="Y97" s="246">
        <f t="shared" si="56"/>
        <v>4.455409753694661E-4</v>
      </c>
      <c r="Z97" s="246">
        <f t="shared" si="48"/>
        <v>0.53118422337649485</v>
      </c>
      <c r="AA97" s="247">
        <f t="shared" si="49"/>
        <v>3.5012288208064325E-2</v>
      </c>
      <c r="AB97" s="122"/>
      <c r="AC97" s="244">
        <f t="shared" si="57"/>
        <v>3.2943950548635692E-2</v>
      </c>
      <c r="AD97" s="245">
        <f t="shared" si="58"/>
        <v>113.26824743018541</v>
      </c>
      <c r="AE97" s="245">
        <f t="shared" si="59"/>
        <v>208.19946647865248</v>
      </c>
      <c r="AF97" s="245">
        <f t="shared" si="60"/>
        <v>13.130438826073958</v>
      </c>
      <c r="AG97" s="245">
        <f t="shared" si="61"/>
        <v>3.9277619414356786</v>
      </c>
      <c r="AH97" s="245">
        <f t="shared" si="50"/>
        <v>338.55885862689615</v>
      </c>
      <c r="AI97" s="247">
        <f t="shared" si="51"/>
        <v>22.315648341905792</v>
      </c>
    </row>
    <row r="98" spans="1:35">
      <c r="A98" s="122"/>
      <c r="B98" s="241">
        <v>94</v>
      </c>
      <c r="C98" s="248">
        <f>'Other parameters'!$D$33</f>
        <v>0.15309420000000001</v>
      </c>
      <c r="D98" s="242">
        <f>'Other parameters'!$G$33</f>
        <v>3.3</v>
      </c>
      <c r="E98" s="234">
        <v>0</v>
      </c>
      <c r="F98" s="248">
        <f t="shared" si="63"/>
        <v>5.0865915891087854E-5</v>
      </c>
      <c r="G98" s="248">
        <f t="shared" si="39"/>
        <v>8.0000000000000016E-2</v>
      </c>
      <c r="H98" s="249">
        <f t="shared" si="40"/>
        <v>6.3993829875609989E-2</v>
      </c>
      <c r="I98" s="122"/>
      <c r="J98" s="244">
        <v>0</v>
      </c>
      <c r="K98" s="245">
        <v>0</v>
      </c>
      <c r="L98" s="245">
        <f t="shared" si="41"/>
        <v>0.39327826922353759</v>
      </c>
      <c r="M98" s="245">
        <f t="shared" si="42"/>
        <v>2.0005184537898399E-5</v>
      </c>
      <c r="N98" s="245">
        <f t="shared" si="43"/>
        <v>0.33477615069151845</v>
      </c>
      <c r="O98" s="245">
        <f t="shared" si="44"/>
        <v>1.361345577507032E-2</v>
      </c>
      <c r="P98" s="245">
        <f t="shared" si="45"/>
        <v>6.3160367005029566E-3</v>
      </c>
      <c r="Q98" s="245">
        <f t="shared" si="46"/>
        <v>0.25199608242483257</v>
      </c>
      <c r="R98" s="243">
        <f t="shared" si="62"/>
        <v>0.99999999999999978</v>
      </c>
      <c r="S98" s="250"/>
      <c r="T98" s="244">
        <f t="shared" si="47"/>
        <v>0.15587244857118776</v>
      </c>
      <c r="U98" s="246">
        <f t="shared" si="52"/>
        <v>0.51437908028491963</v>
      </c>
      <c r="V98" s="246">
        <f t="shared" si="53"/>
        <v>1.0205384550566252E-7</v>
      </c>
      <c r="W98" s="246">
        <f t="shared" si="54"/>
        <v>1.3725822178352257E-2</v>
      </c>
      <c r="X98" s="246">
        <f t="shared" si="55"/>
        <v>2.4368085837375873E-3</v>
      </c>
      <c r="Y98" s="246">
        <f t="shared" si="56"/>
        <v>4.4212256903520701E-4</v>
      </c>
      <c r="Z98" s="246">
        <f t="shared" si="48"/>
        <v>0.53098393566989022</v>
      </c>
      <c r="AA98" s="247">
        <f t="shared" si="49"/>
        <v>3.3979695645940791E-2</v>
      </c>
      <c r="AB98" s="122"/>
      <c r="AC98" s="244">
        <f t="shared" si="57"/>
        <v>2.9807724961468614E-2</v>
      </c>
      <c r="AD98" s="245">
        <f t="shared" si="58"/>
        <v>113.26414153637883</v>
      </c>
      <c r="AE98" s="245">
        <f t="shared" si="59"/>
        <v>206.59036259173604</v>
      </c>
      <c r="AF98" s="245">
        <f t="shared" si="60"/>
        <v>13.029438522319804</v>
      </c>
      <c r="AG98" s="245">
        <f t="shared" si="61"/>
        <v>3.8976262478803747</v>
      </c>
      <c r="AH98" s="245">
        <f t="shared" si="50"/>
        <v>336.81137662327654</v>
      </c>
      <c r="AI98" s="247">
        <f t="shared" si="51"/>
        <v>21.553849935799963</v>
      </c>
    </row>
    <row r="99" spans="1:35">
      <c r="A99" s="122"/>
      <c r="B99" s="241">
        <v>95</v>
      </c>
      <c r="C99" s="248">
        <f>'Other parameters'!$D$34</f>
        <v>0.17422679999999999</v>
      </c>
      <c r="D99" s="242">
        <f>'Other parameters'!$G$34</f>
        <v>2.5</v>
      </c>
      <c r="E99" s="234">
        <v>0</v>
      </c>
      <c r="F99" s="248">
        <f t="shared" si="63"/>
        <v>4.6025384000926191E-5</v>
      </c>
      <c r="G99" s="248">
        <f t="shared" si="39"/>
        <v>8.0000000000000016E-2</v>
      </c>
      <c r="H99" s="249">
        <f t="shared" si="40"/>
        <v>6.212993191806794E-2</v>
      </c>
      <c r="I99" s="122"/>
      <c r="J99" s="244">
        <v>0</v>
      </c>
      <c r="K99" s="245">
        <v>0</v>
      </c>
      <c r="L99" s="245">
        <f t="shared" si="41"/>
        <v>0.39326536978815724</v>
      </c>
      <c r="M99" s="245">
        <f t="shared" si="42"/>
        <v>1.8100783360232949E-5</v>
      </c>
      <c r="N99" s="245">
        <f t="shared" si="43"/>
        <v>0.33218742574360566</v>
      </c>
      <c r="O99" s="245">
        <f t="shared" si="44"/>
        <v>1.3508641022323698E-2</v>
      </c>
      <c r="P99" s="245">
        <f t="shared" si="45"/>
        <v>6.2675200331618521E-3</v>
      </c>
      <c r="Q99" s="245">
        <f t="shared" si="46"/>
        <v>0.25475294262939113</v>
      </c>
      <c r="R99" s="243">
        <f t="shared" si="62"/>
        <v>0.99999999999999978</v>
      </c>
      <c r="S99" s="250"/>
      <c r="T99" s="244">
        <f t="shared" si="47"/>
        <v>0.17698366020455852</v>
      </c>
      <c r="U99" s="246">
        <f t="shared" si="52"/>
        <v>0.44245915051139628</v>
      </c>
      <c r="V99" s="246">
        <f t="shared" si="53"/>
        <v>9.2338790730832213E-8</v>
      </c>
      <c r="W99" s="246">
        <f t="shared" si="54"/>
        <v>1.3619684455487833E-2</v>
      </c>
      <c r="X99" s="246">
        <f t="shared" si="55"/>
        <v>2.4180467429959418E-3</v>
      </c>
      <c r="Y99" s="246">
        <f t="shared" si="56"/>
        <v>4.3872640232132969E-4</v>
      </c>
      <c r="Z99" s="246">
        <f t="shared" si="48"/>
        <v>0.45893570045099213</v>
      </c>
      <c r="AA99" s="247">
        <f t="shared" si="49"/>
        <v>2.8513643823790964E-2</v>
      </c>
      <c r="AB99" s="122"/>
      <c r="AC99" s="244">
        <f t="shared" si="57"/>
        <v>2.6970167206747095E-2</v>
      </c>
      <c r="AD99" s="245">
        <f t="shared" si="58"/>
        <v>113.26042649898929</v>
      </c>
      <c r="AE99" s="245">
        <f t="shared" si="59"/>
        <v>204.99286042637905</v>
      </c>
      <c r="AF99" s="245">
        <f t="shared" si="60"/>
        <v>12.929120322466012</v>
      </c>
      <c r="AG99" s="245">
        <f t="shared" si="61"/>
        <v>3.8676866124641789</v>
      </c>
      <c r="AH99" s="245">
        <f t="shared" si="50"/>
        <v>335.07706402750529</v>
      </c>
      <c r="AI99" s="247">
        <f t="shared" si="51"/>
        <v>20.818315175334995</v>
      </c>
    </row>
    <row r="100" spans="1:35">
      <c r="A100" s="122"/>
      <c r="B100" s="241">
        <v>96</v>
      </c>
      <c r="C100" s="248">
        <f>'Other parameters'!$D$34</f>
        <v>0.17422679999999999</v>
      </c>
      <c r="D100" s="242">
        <f>'Other parameters'!$G$34</f>
        <v>2.5</v>
      </c>
      <c r="E100" s="234">
        <v>0</v>
      </c>
      <c r="F100" s="248">
        <f t="shared" si="63"/>
        <v>4.1645489623511628E-5</v>
      </c>
      <c r="G100" s="248">
        <f t="shared" si="39"/>
        <v>8.0000000000000016E-2</v>
      </c>
      <c r="H100" s="249">
        <f t="shared" si="40"/>
        <v>6.0320322250551395E-2</v>
      </c>
      <c r="I100" s="122"/>
      <c r="J100" s="244">
        <v>0</v>
      </c>
      <c r="K100" s="245">
        <v>0</v>
      </c>
      <c r="L100" s="245">
        <f t="shared" si="41"/>
        <v>0.39325369826295409</v>
      </c>
      <c r="M100" s="245">
        <f t="shared" si="42"/>
        <v>1.6377728876799166E-5</v>
      </c>
      <c r="N100" s="245">
        <f t="shared" si="43"/>
        <v>0.32961749517685557</v>
      </c>
      <c r="O100" s="245">
        <f t="shared" si="44"/>
        <v>1.3404543685894761E-2</v>
      </c>
      <c r="P100" s="245">
        <f t="shared" si="45"/>
        <v>6.2193245270317577E-3</v>
      </c>
      <c r="Q100" s="245">
        <f t="shared" si="46"/>
        <v>0.25748856061838682</v>
      </c>
      <c r="R100" s="243">
        <f t="shared" si="62"/>
        <v>0.99999999999999978</v>
      </c>
      <c r="S100" s="250"/>
      <c r="T100" s="244">
        <f t="shared" si="47"/>
        <v>0.17696241798899567</v>
      </c>
      <c r="U100" s="246">
        <f t="shared" si="52"/>
        <v>0.4424060449724892</v>
      </c>
      <c r="V100" s="246">
        <f t="shared" si="53"/>
        <v>8.3548852516712473E-8</v>
      </c>
      <c r="W100" s="246">
        <f t="shared" si="54"/>
        <v>1.351431730225108E-2</v>
      </c>
      <c r="X100" s="246">
        <f t="shared" si="55"/>
        <v>2.3994133197751621E-3</v>
      </c>
      <c r="Y100" s="246">
        <f t="shared" si="56"/>
        <v>4.3535271689222306E-4</v>
      </c>
      <c r="Z100" s="246">
        <f t="shared" si="48"/>
        <v>0.45875521186026014</v>
      </c>
      <c r="AA100" s="247">
        <f t="shared" si="49"/>
        <v>2.767226221353087E-2</v>
      </c>
      <c r="AB100" s="122"/>
      <c r="AC100" s="244">
        <f t="shared" si="57"/>
        <v>2.4402816026430758E-2</v>
      </c>
      <c r="AD100" s="245">
        <f t="shared" si="58"/>
        <v>113.25706509973078</v>
      </c>
      <c r="AE100" s="245">
        <f t="shared" si="59"/>
        <v>203.40695627363758</v>
      </c>
      <c r="AF100" s="245">
        <f t="shared" si="60"/>
        <v>12.829488761769875</v>
      </c>
      <c r="AG100" s="245">
        <f t="shared" si="61"/>
        <v>3.837945165631298</v>
      </c>
      <c r="AH100" s="245">
        <f t="shared" si="50"/>
        <v>333.35585811679601</v>
      </c>
      <c r="AI100" s="247">
        <f t="shared" si="51"/>
        <v>20.108132785714226</v>
      </c>
    </row>
    <row r="101" spans="1:35">
      <c r="A101" s="122"/>
      <c r="B101" s="241">
        <v>97</v>
      </c>
      <c r="C101" s="248">
        <f>'Other parameters'!$D$34</f>
        <v>0.17422679999999999</v>
      </c>
      <c r="D101" s="242">
        <f>'Other parameters'!$G$34</f>
        <v>2.5</v>
      </c>
      <c r="E101" s="234">
        <v>0</v>
      </c>
      <c r="F101" s="248">
        <f t="shared" si="63"/>
        <v>3.7682397303781592E-5</v>
      </c>
      <c r="G101" s="248">
        <f t="shared" si="39"/>
        <v>8.0000000000000016E-2</v>
      </c>
      <c r="H101" s="249">
        <f t="shared" si="40"/>
        <v>5.8563419660729518E-2</v>
      </c>
      <c r="I101" s="122"/>
      <c r="J101" s="244">
        <v>0</v>
      </c>
      <c r="K101" s="245">
        <v>0</v>
      </c>
      <c r="L101" s="245">
        <f t="shared" si="41"/>
        <v>0.3932431377303629</v>
      </c>
      <c r="M101" s="245">
        <f t="shared" si="42"/>
        <v>1.4818742099126081E-5</v>
      </c>
      <c r="N101" s="245">
        <f t="shared" si="43"/>
        <v>0.32706633967326659</v>
      </c>
      <c r="O101" s="245">
        <f t="shared" si="44"/>
        <v>1.3301167484702253E-2</v>
      </c>
      <c r="P101" s="245">
        <f t="shared" si="45"/>
        <v>6.1714530398533571E-3</v>
      </c>
      <c r="Q101" s="245">
        <f t="shared" si="46"/>
        <v>0.26020308332971548</v>
      </c>
      <c r="R101" s="243">
        <f t="shared" si="62"/>
        <v>0.99999999999999956</v>
      </c>
      <c r="S101" s="250"/>
      <c r="T101" s="244">
        <f t="shared" si="47"/>
        <v>0.17694132271132867</v>
      </c>
      <c r="U101" s="246">
        <f t="shared" si="52"/>
        <v>0.44235330677832169</v>
      </c>
      <c r="V101" s="246">
        <f t="shared" si="53"/>
        <v>7.5595884352254149E-8</v>
      </c>
      <c r="W101" s="246">
        <f t="shared" si="54"/>
        <v>1.3409719926603931E-2</v>
      </c>
      <c r="X101" s="246">
        <f t="shared" si="55"/>
        <v>2.3809089797617033E-3</v>
      </c>
      <c r="Y101" s="246">
        <f t="shared" si="56"/>
        <v>4.3200171278973506E-4</v>
      </c>
      <c r="Z101" s="246">
        <f t="shared" si="48"/>
        <v>0.45857601299336143</v>
      </c>
      <c r="AA101" s="247">
        <f>Z101*H101</f>
        <v>2.6855779495274377E-2</v>
      </c>
      <c r="AB101" s="122"/>
      <c r="AC101" s="244">
        <f t="shared" si="57"/>
        <v>2.2079925727697861E-2</v>
      </c>
      <c r="AD101" s="245">
        <f t="shared" si="58"/>
        <v>113.25402366634452</v>
      </c>
      <c r="AE101" s="245">
        <f t="shared" si="59"/>
        <v>201.83263821237281</v>
      </c>
      <c r="AF101" s="245">
        <f t="shared" si="60"/>
        <v>12.730547399608527</v>
      </c>
      <c r="AG101" s="245">
        <f t="shared" si="61"/>
        <v>3.8084036708935067</v>
      </c>
      <c r="AH101" s="245">
        <f t="shared" si="50"/>
        <v>331.64769287494704</v>
      </c>
      <c r="AI101" s="247">
        <f>AH101*H101</f>
        <v>19.422423017348258</v>
      </c>
    </row>
    <row r="102" spans="1:35">
      <c r="A102" s="122"/>
      <c r="B102" s="241">
        <v>98</v>
      </c>
      <c r="C102" s="248">
        <f>'Other parameters'!$D$34</f>
        <v>0.17422679999999999</v>
      </c>
      <c r="D102" s="242">
        <f>'Other parameters'!$G$34</f>
        <v>2.5</v>
      </c>
      <c r="E102" s="234">
        <v>0</v>
      </c>
      <c r="F102" s="248">
        <f t="shared" si="63"/>
        <v>3.4096443081758946E-5</v>
      </c>
      <c r="G102" s="248">
        <f t="shared" si="39"/>
        <v>8.0000000000000016E-2</v>
      </c>
      <c r="H102" s="249">
        <f t="shared" si="40"/>
        <v>5.6857688990999529E-2</v>
      </c>
      <c r="I102" s="122"/>
      <c r="J102" s="244">
        <v>0</v>
      </c>
      <c r="K102" s="245">
        <v>0</v>
      </c>
      <c r="L102" s="245">
        <f t="shared" si="41"/>
        <v>0.39323358241104578</v>
      </c>
      <c r="M102" s="245">
        <f t="shared" si="42"/>
        <v>1.3408192262915613E-5</v>
      </c>
      <c r="N102" s="245">
        <f t="shared" si="43"/>
        <v>0.32453392798453495</v>
      </c>
      <c r="O102" s="245">
        <f t="shared" si="44"/>
        <v>1.3198515220296258E-2</v>
      </c>
      <c r="P102" s="245">
        <f t="shared" si="45"/>
        <v>6.1239078940590937E-3</v>
      </c>
      <c r="Q102" s="245">
        <f t="shared" si="46"/>
        <v>0.26289665829780073</v>
      </c>
      <c r="R102" s="243">
        <f t="shared" si="62"/>
        <v>0.99999999999999978</v>
      </c>
      <c r="S102" s="250"/>
      <c r="T102" s="244">
        <f t="shared" si="47"/>
        <v>0.17692037496808527</v>
      </c>
      <c r="U102" s="246">
        <f t="shared" si="52"/>
        <v>0.44230093742021315</v>
      </c>
      <c r="V102" s="246">
        <f t="shared" si="53"/>
        <v>6.8400147927531168E-8</v>
      </c>
      <c r="W102" s="246">
        <f t="shared" si="54"/>
        <v>1.3305891047365934E-2</v>
      </c>
      <c r="X102" s="246">
        <f t="shared" si="55"/>
        <v>2.3625342244330302E-3</v>
      </c>
      <c r="Y102" s="246">
        <f t="shared" si="56"/>
        <v>4.2867355258413662E-4</v>
      </c>
      <c r="Z102" s="246">
        <f t="shared" si="48"/>
        <v>0.45839810464474423</v>
      </c>
      <c r="AA102" s="247">
        <f>Z102*H102</f>
        <v>2.6063456867954523E-2</v>
      </c>
      <c r="AB102" s="122"/>
      <c r="AC102" s="244">
        <f t="shared" si="57"/>
        <v>1.9978206471744264E-2</v>
      </c>
      <c r="AD102" s="245">
        <f t="shared" si="58"/>
        <v>113.25127173438119</v>
      </c>
      <c r="AE102" s="245">
        <f t="shared" si="59"/>
        <v>200.26988695925652</v>
      </c>
      <c r="AF102" s="245">
        <f t="shared" si="60"/>
        <v>12.632298917345549</v>
      </c>
      <c r="AG102" s="245">
        <f t="shared" si="61"/>
        <v>3.7790635614238668</v>
      </c>
      <c r="AH102" s="245">
        <f t="shared" si="50"/>
        <v>329.95249937887888</v>
      </c>
      <c r="AI102" s="247">
        <f>AH102*H102</f>
        <v>18.76033659148726</v>
      </c>
    </row>
    <row r="103" spans="1:35">
      <c r="A103" s="122"/>
      <c r="B103" s="241">
        <v>99</v>
      </c>
      <c r="C103" s="248">
        <f>'Other parameters'!$D$34</f>
        <v>0.17422679999999999</v>
      </c>
      <c r="D103" s="242">
        <f>'Other parameters'!$G$34</f>
        <v>2.5</v>
      </c>
      <c r="E103" s="234">
        <v>0</v>
      </c>
      <c r="F103" s="248">
        <f t="shared" si="63"/>
        <v>3.0851737522308836E-5</v>
      </c>
      <c r="G103" s="248">
        <f t="shared" si="39"/>
        <v>8.0000000000000016E-2</v>
      </c>
      <c r="H103" s="249">
        <f t="shared" si="40"/>
        <v>5.5201639797086935E-2</v>
      </c>
      <c r="I103" s="122"/>
      <c r="J103" s="244">
        <v>0</v>
      </c>
      <c r="K103" s="245">
        <v>0</v>
      </c>
      <c r="L103" s="245">
        <f t="shared" si="41"/>
        <v>0.39322493660176466</v>
      </c>
      <c r="M103" s="245">
        <f t="shared" si="42"/>
        <v>1.2131939269502785E-5</v>
      </c>
      <c r="N103" s="245">
        <f t="shared" si="43"/>
        <v>0.32202021817696408</v>
      </c>
      <c r="O103" s="245">
        <f t="shared" si="44"/>
        <v>1.3096588869200712E-2</v>
      </c>
      <c r="P103" s="245">
        <f t="shared" si="45"/>
        <v>6.0766909303098509E-3</v>
      </c>
      <c r="Q103" s="245">
        <f t="shared" si="46"/>
        <v>0.2655694334824909</v>
      </c>
      <c r="R103" s="243">
        <f t="shared" si="62"/>
        <v>0.99999999999999978</v>
      </c>
      <c r="S103" s="250"/>
      <c r="T103" s="244">
        <f t="shared" si="47"/>
        <v>0.17689957518469016</v>
      </c>
      <c r="U103" s="246">
        <f t="shared" si="52"/>
        <v>0.44224893796172537</v>
      </c>
      <c r="V103" s="246">
        <f t="shared" si="53"/>
        <v>6.1889509369353944E-8</v>
      </c>
      <c r="W103" s="246">
        <f t="shared" si="54"/>
        <v>1.3202828945255528E-2</v>
      </c>
      <c r="X103" s="246">
        <f t="shared" si="55"/>
        <v>2.3442894075869276E-3</v>
      </c>
      <c r="Y103" s="246">
        <f t="shared" si="56"/>
        <v>4.2536836512168958E-4</v>
      </c>
      <c r="Z103" s="246">
        <f t="shared" si="48"/>
        <v>0.45822148656919887</v>
      </c>
      <c r="AA103" s="247">
        <f>Z103*H103</f>
        <v>2.5294577448878624E-2</v>
      </c>
      <c r="AB103" s="122"/>
      <c r="AC103" s="244">
        <f t="shared" si="57"/>
        <v>1.807658951155915E-2</v>
      </c>
      <c r="AD103" s="245">
        <f t="shared" si="58"/>
        <v>113.24878174130822</v>
      </c>
      <c r="AE103" s="245">
        <f t="shared" si="59"/>
        <v>198.71867663700453</v>
      </c>
      <c r="AF103" s="245">
        <f t="shared" si="60"/>
        <v>12.534745206712001</v>
      </c>
      <c r="AG103" s="245">
        <f t="shared" si="61"/>
        <v>3.7499259730942089</v>
      </c>
      <c r="AH103" s="245">
        <f t="shared" si="50"/>
        <v>328.27020614763052</v>
      </c>
      <c r="AI103" s="247">
        <f>AH103*H103</f>
        <v>18.121053675876972</v>
      </c>
    </row>
    <row r="104" spans="1:35">
      <c r="A104" s="122"/>
      <c r="B104" s="235">
        <v>100</v>
      </c>
      <c r="C104" s="251">
        <f>'Other parameters'!$D$35</f>
        <v>1</v>
      </c>
      <c r="D104" s="252">
        <f>'Other parameters'!$G$35</f>
        <v>1.9</v>
      </c>
      <c r="E104" s="236">
        <v>0</v>
      </c>
      <c r="F104" s="251">
        <f t="shared" si="63"/>
        <v>2.7915806521609043E-5</v>
      </c>
      <c r="G104" s="251">
        <f t="shared" si="39"/>
        <v>8.0000000000000016E-2</v>
      </c>
      <c r="H104" s="253">
        <f t="shared" si="40"/>
        <v>5.3593825045715457E-2</v>
      </c>
      <c r="I104" s="122"/>
      <c r="J104" s="254">
        <v>0</v>
      </c>
      <c r="K104" s="255">
        <v>0</v>
      </c>
      <c r="L104" s="255">
        <f t="shared" si="41"/>
        <v>0.39321711371472506</v>
      </c>
      <c r="M104" s="255">
        <f t="shared" si="42"/>
        <v>1.0977191249646845E-5</v>
      </c>
      <c r="N104" s="255">
        <f t="shared" si="43"/>
        <v>0.3195251587565901</v>
      </c>
      <c r="O104" s="255">
        <f t="shared" si="44"/>
        <v>1.2995389666313768E-2</v>
      </c>
      <c r="P104" s="255">
        <f t="shared" si="45"/>
        <v>6.0298035558329294E-3</v>
      </c>
      <c r="Q104" s="255">
        <f t="shared" si="46"/>
        <v>0.26822155711528811</v>
      </c>
      <c r="R104" s="237">
        <f t="shared" si="62"/>
        <v>0.99999999999999956</v>
      </c>
      <c r="S104" s="250"/>
      <c r="T104" s="254">
        <v>1</v>
      </c>
      <c r="U104" s="255">
        <f t="shared" si="52"/>
        <v>1.9</v>
      </c>
      <c r="V104" s="255">
        <f t="shared" si="53"/>
        <v>5.5998712621486104E-8</v>
      </c>
      <c r="W104" s="255">
        <f t="shared" si="54"/>
        <v>1.3100531509020194E-2</v>
      </c>
      <c r="X104" s="255">
        <f t="shared" si="55"/>
        <v>2.3261747502701644E-3</v>
      </c>
      <c r="Y104" s="255">
        <f t="shared" si="56"/>
        <v>4.2208624890830511E-4</v>
      </c>
      <c r="Z104" s="255">
        <f t="shared" si="48"/>
        <v>1.9158488485069112</v>
      </c>
      <c r="AA104" s="256">
        <f>Z104*H104</f>
        <v>0.10267766800091481</v>
      </c>
      <c r="AB104" s="122"/>
      <c r="AC104" s="254">
        <f t="shared" si="57"/>
        <v>1.6356014961973798E-2</v>
      </c>
      <c r="AD104" s="255">
        <f t="shared" si="58"/>
        <v>113.24652874984082</v>
      </c>
      <c r="AE104" s="255">
        <f t="shared" si="59"/>
        <v>197.17897546869176</v>
      </c>
      <c r="AF104" s="255">
        <f t="shared" si="60"/>
        <v>12.437887449628906</v>
      </c>
      <c r="AG104" s="255">
        <f t="shared" si="61"/>
        <v>3.7209917743045007</v>
      </c>
      <c r="AH104" s="255">
        <f t="shared" si="50"/>
        <v>326.60073945742795</v>
      </c>
      <c r="AI104" s="256">
        <f>AH104*H104</f>
        <v>17.50378289028269</v>
      </c>
    </row>
    <row r="105" spans="1:35">
      <c r="A105" s="122"/>
      <c r="B105" s="122"/>
      <c r="C105" s="122"/>
      <c r="D105" s="122"/>
      <c r="E105" s="122"/>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c r="AC105" s="234"/>
      <c r="AD105" s="234"/>
      <c r="AE105" s="234"/>
      <c r="AF105" s="234"/>
      <c r="AG105" s="234"/>
      <c r="AH105" s="234"/>
      <c r="AI105" s="234"/>
    </row>
    <row r="106" spans="1:35">
      <c r="A106" s="122"/>
      <c r="B106" s="122"/>
      <c r="C106" s="122"/>
      <c r="D106" s="122"/>
      <c r="E106" s="122"/>
      <c r="F106" s="122"/>
      <c r="G106" s="122"/>
      <c r="H106" s="122"/>
      <c r="I106" s="122"/>
      <c r="J106" s="122"/>
      <c r="K106" s="122"/>
      <c r="L106" s="122"/>
      <c r="M106" s="122"/>
      <c r="N106" s="122"/>
      <c r="O106" s="122"/>
      <c r="P106" s="122"/>
      <c r="Q106" s="122"/>
      <c r="R106" s="122"/>
      <c r="S106" s="122"/>
      <c r="T106" s="122"/>
      <c r="U106" s="122"/>
      <c r="V106" s="122"/>
      <c r="W106" s="122"/>
      <c r="X106" s="122"/>
      <c r="Y106" s="122"/>
      <c r="Z106" s="238" t="s">
        <v>57</v>
      </c>
      <c r="AA106" s="240" t="s">
        <v>58</v>
      </c>
      <c r="AB106" s="122"/>
      <c r="AC106" s="234"/>
      <c r="AD106" s="234"/>
      <c r="AE106" s="234"/>
      <c r="AF106" s="234"/>
      <c r="AG106" s="234"/>
      <c r="AH106" s="238" t="s">
        <v>61</v>
      </c>
      <c r="AI106" s="240" t="s">
        <v>62</v>
      </c>
    </row>
    <row r="107" spans="1:35">
      <c r="A107" s="122"/>
      <c r="B107" s="122"/>
      <c r="C107" s="122"/>
      <c r="D107" s="122"/>
      <c r="E107" s="122"/>
      <c r="F107" s="122"/>
      <c r="G107" s="122"/>
      <c r="H107" s="122"/>
      <c r="I107" s="122"/>
      <c r="J107" s="122"/>
      <c r="K107" s="122"/>
      <c r="L107" s="122"/>
      <c r="M107" s="122"/>
      <c r="N107" s="122"/>
      <c r="O107" s="122"/>
      <c r="P107" s="122"/>
      <c r="Q107" s="122"/>
      <c r="R107" s="122"/>
      <c r="S107" s="122"/>
      <c r="T107" s="122"/>
      <c r="U107" s="122"/>
      <c r="V107" s="122"/>
      <c r="W107" s="122"/>
      <c r="X107" s="122"/>
      <c r="Y107" s="122"/>
      <c r="Z107" s="254">
        <f>SUM(Z12:Z104)</f>
        <v>36.482518587961273</v>
      </c>
      <c r="AA107" s="256">
        <f>SUM(AA12:AA104)</f>
        <v>7.5576914492600746</v>
      </c>
      <c r="AB107" s="122"/>
      <c r="AC107" s="234"/>
      <c r="AD107" s="234"/>
      <c r="AE107" s="234"/>
      <c r="AF107" s="234"/>
      <c r="AG107" s="234"/>
      <c r="AH107" s="257">
        <f>SUM(AH12:AH104)</f>
        <v>36607.309221113675</v>
      </c>
      <c r="AI107" s="258">
        <f>SUM(AI12:AI104)</f>
        <v>10448.427931122578</v>
      </c>
    </row>
  </sheetData>
  <mergeCells count="4">
    <mergeCell ref="B2:H2"/>
    <mergeCell ref="J2:R2"/>
    <mergeCell ref="T2:AA2"/>
    <mergeCell ref="AC2:AI2"/>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AM111"/>
  <sheetViews>
    <sheetView workbookViewId="0">
      <selection sqref="A1:XFD1048576"/>
    </sheetView>
  </sheetViews>
  <sheetFormatPr baseColWidth="10" defaultColWidth="11" defaultRowHeight="15" x14ac:dyDescent="0"/>
  <cols>
    <col min="1" max="1" width="11" style="35" customWidth="1"/>
    <col min="2" max="35" width="14.6640625" style="35" customWidth="1"/>
    <col min="36" max="16384" width="11" style="35"/>
  </cols>
  <sheetData>
    <row r="1" spans="1:39">
      <c r="A1" s="122"/>
      <c r="B1" s="122"/>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234"/>
      <c r="AD1" s="234"/>
      <c r="AE1" s="234"/>
      <c r="AF1" s="234"/>
      <c r="AG1" s="234"/>
      <c r="AH1" s="234"/>
      <c r="AI1" s="234"/>
      <c r="AK1" s="59"/>
      <c r="AL1" s="59"/>
      <c r="AM1" s="59"/>
    </row>
    <row r="2" spans="1:39">
      <c r="A2" s="122"/>
      <c r="B2" s="284" t="s">
        <v>152</v>
      </c>
      <c r="C2" s="285"/>
      <c r="D2" s="285"/>
      <c r="E2" s="285"/>
      <c r="F2" s="285"/>
      <c r="G2" s="285"/>
      <c r="H2" s="286"/>
      <c r="I2" s="122"/>
      <c r="J2" s="284" t="s">
        <v>153</v>
      </c>
      <c r="K2" s="285"/>
      <c r="L2" s="285"/>
      <c r="M2" s="285"/>
      <c r="N2" s="285"/>
      <c r="O2" s="285"/>
      <c r="P2" s="285"/>
      <c r="Q2" s="285"/>
      <c r="R2" s="286"/>
      <c r="S2" s="122"/>
      <c r="T2" s="284" t="s">
        <v>59</v>
      </c>
      <c r="U2" s="285"/>
      <c r="V2" s="285"/>
      <c r="W2" s="285"/>
      <c r="X2" s="285"/>
      <c r="Y2" s="285"/>
      <c r="Z2" s="285"/>
      <c r="AA2" s="287"/>
      <c r="AB2" s="122"/>
      <c r="AC2" s="284" t="s">
        <v>60</v>
      </c>
      <c r="AD2" s="285"/>
      <c r="AE2" s="285"/>
      <c r="AF2" s="285"/>
      <c r="AG2" s="285"/>
      <c r="AH2" s="285"/>
      <c r="AI2" s="286"/>
      <c r="AK2" s="59"/>
      <c r="AL2" s="59"/>
      <c r="AM2" s="59"/>
    </row>
    <row r="3" spans="1:39">
      <c r="A3" s="122"/>
      <c r="B3" s="235" t="s">
        <v>340</v>
      </c>
      <c r="C3" s="236" t="s">
        <v>339</v>
      </c>
      <c r="D3" s="236" t="s">
        <v>338</v>
      </c>
      <c r="E3" s="236" t="s">
        <v>341</v>
      </c>
      <c r="F3" s="236" t="s">
        <v>342</v>
      </c>
      <c r="G3" s="236" t="s">
        <v>343</v>
      </c>
      <c r="H3" s="237" t="s">
        <v>7</v>
      </c>
      <c r="I3" s="122"/>
      <c r="J3" s="235" t="s">
        <v>1</v>
      </c>
      <c r="K3" s="236" t="s">
        <v>344</v>
      </c>
      <c r="L3" s="236" t="s">
        <v>346</v>
      </c>
      <c r="M3" s="236" t="s">
        <v>345</v>
      </c>
      <c r="N3" s="236" t="s">
        <v>347</v>
      </c>
      <c r="O3" s="236" t="s">
        <v>348</v>
      </c>
      <c r="P3" s="236" t="s">
        <v>74</v>
      </c>
      <c r="Q3" s="236" t="s">
        <v>349</v>
      </c>
      <c r="R3" s="237" t="s">
        <v>53</v>
      </c>
      <c r="S3" s="122"/>
      <c r="T3" s="238" t="s">
        <v>304</v>
      </c>
      <c r="U3" s="239" t="s">
        <v>350</v>
      </c>
      <c r="V3" s="239" t="s">
        <v>155</v>
      </c>
      <c r="W3" s="239" t="s">
        <v>75</v>
      </c>
      <c r="X3" s="239" t="s">
        <v>76</v>
      </c>
      <c r="Y3" s="239" t="s">
        <v>351</v>
      </c>
      <c r="Z3" s="239" t="s">
        <v>352</v>
      </c>
      <c r="AA3" s="240" t="s">
        <v>353</v>
      </c>
      <c r="AB3" s="122"/>
      <c r="AC3" s="235" t="s">
        <v>2</v>
      </c>
      <c r="AD3" s="236" t="s">
        <v>78</v>
      </c>
      <c r="AE3" s="236" t="s">
        <v>3</v>
      </c>
      <c r="AF3" s="236" t="s">
        <v>4</v>
      </c>
      <c r="AG3" s="236" t="s">
        <v>77</v>
      </c>
      <c r="AH3" s="236" t="s">
        <v>5</v>
      </c>
      <c r="AI3" s="237" t="s">
        <v>6</v>
      </c>
      <c r="AK3" s="59"/>
      <c r="AL3" s="59"/>
      <c r="AM3" s="59"/>
    </row>
    <row r="4" spans="1:39">
      <c r="A4" s="122"/>
      <c r="B4" s="241">
        <v>0</v>
      </c>
      <c r="C4" s="242">
        <v>0</v>
      </c>
      <c r="D4" s="242">
        <v>0</v>
      </c>
      <c r="E4" s="234">
        <v>0</v>
      </c>
      <c r="F4" s="234">
        <v>0</v>
      </c>
      <c r="G4" s="234">
        <v>0</v>
      </c>
      <c r="H4" s="243">
        <v>0</v>
      </c>
      <c r="I4" s="122"/>
      <c r="J4" s="244">
        <v>0</v>
      </c>
      <c r="K4" s="245">
        <v>0</v>
      </c>
      <c r="L4" s="245">
        <v>0</v>
      </c>
      <c r="M4" s="245">
        <v>0</v>
      </c>
      <c r="N4" s="245">
        <v>1</v>
      </c>
      <c r="O4" s="245">
        <v>0</v>
      </c>
      <c r="P4" s="245">
        <v>0</v>
      </c>
      <c r="Q4" s="245">
        <v>0</v>
      </c>
      <c r="R4" s="243">
        <f>SUM(J4:Q4)</f>
        <v>1</v>
      </c>
      <c r="S4" s="122"/>
      <c r="T4" s="241"/>
      <c r="U4" s="246"/>
      <c r="V4" s="246"/>
      <c r="W4" s="246"/>
      <c r="X4" s="246"/>
      <c r="Y4" s="246"/>
      <c r="Z4" s="246"/>
      <c r="AA4" s="247"/>
      <c r="AB4" s="122"/>
      <c r="AC4" s="244"/>
      <c r="AD4" s="245"/>
      <c r="AE4" s="245"/>
      <c r="AF4" s="245"/>
      <c r="AG4" s="245"/>
      <c r="AH4" s="245"/>
      <c r="AI4" s="247"/>
      <c r="AK4" s="259"/>
      <c r="AL4" s="59"/>
      <c r="AM4" s="59"/>
    </row>
    <row r="5" spans="1:39">
      <c r="A5" s="122"/>
      <c r="B5" s="241">
        <v>1</v>
      </c>
      <c r="C5" s="248">
        <f>'Other parameters'!$D$15</f>
        <v>3.0620000000000001E-3</v>
      </c>
      <c r="D5" s="242">
        <f>'Other parameters'!$G$15</f>
        <v>68.400000000000006</v>
      </c>
      <c r="E5" s="248">
        <f t="shared" ref="E5:E19" si="0">IF(B5&lt;rf1age,0,pA1_3a)</f>
        <v>0</v>
      </c>
      <c r="F5" s="248">
        <f t="shared" ref="F5:F28" si="1">IF(B5&lt;rf2age,0,pA2_3a)</f>
        <v>0</v>
      </c>
      <c r="G5" s="248">
        <f t="shared" ref="G5:G36" si="2">IF(B5&lt;rhdage,0,pVS_3a)</f>
        <v>0</v>
      </c>
      <c r="H5" s="249">
        <f t="shared" ref="H5:H36" si="3">1/(1+disc)^($B5-1)</f>
        <v>1</v>
      </c>
      <c r="I5" s="122"/>
      <c r="J5" s="244">
        <v>0</v>
      </c>
      <c r="K5" s="245">
        <v>0</v>
      </c>
      <c r="L5" s="245">
        <v>0</v>
      </c>
      <c r="M5" s="245">
        <v>0</v>
      </c>
      <c r="N5" s="245">
        <f t="shared" ref="N5:N36" si="4">IF(B5&lt;rhdage,1,(K4*pARF1_RHDMild)+(M4*pARF2_RHDMild)+(N4*cpRHDMild_RHDMild)+(O4*G5))</f>
        <v>1</v>
      </c>
      <c r="O5" s="245">
        <f t="shared" ref="O5:O36" si="5">IF(B5&lt;rhdage,0,(N4*pRHDMild_RHDSevere)+(O4*(1-(G5+pRHDSevere_Death))))</f>
        <v>0</v>
      </c>
      <c r="P5" s="245">
        <f t="shared" ref="P5:P36" si="6">IF(B5&lt;rhdage,0,(N4*pRHDMild_Stroke)+(P4*(1-pStroke_Death)))</f>
        <v>0</v>
      </c>
      <c r="Q5" s="245">
        <f t="shared" ref="Q5:Q36" si="7">IF(B5&lt;rhdage,0,(K4*pARF1_Death)+(M4*pARF2_Death)+(O4*pRHDSevere_Death)+(P4*pStroke_Death)+Q4)</f>
        <v>0</v>
      </c>
      <c r="R5" s="243">
        <f t="shared" ref="R5:R11" si="8">SUM(J5:Q5)</f>
        <v>1</v>
      </c>
      <c r="S5" s="122"/>
      <c r="T5" s="244">
        <f t="shared" ref="T5:T68" si="9">((K4*pARF1_Death)+(M4*pARF2_Death)+(O4*pRHDSevere_Death)+(P4*pStroke_Death))+C5</f>
        <v>3.0620000000000001E-3</v>
      </c>
      <c r="U5" s="246">
        <f>$D5*T5*0.5</f>
        <v>0.10472040000000001</v>
      </c>
      <c r="V5" s="246">
        <f>($K5+$M5)*wAR*0.5</f>
        <v>0</v>
      </c>
      <c r="W5" s="246">
        <f>$N5*wRM*0.5</f>
        <v>2.0500000000000001E-2</v>
      </c>
      <c r="X5" s="246">
        <f>$O5*wRH*0.5</f>
        <v>0</v>
      </c>
      <c r="Y5" s="246">
        <f>$P5*wRS*0.5</f>
        <v>0</v>
      </c>
      <c r="Z5" s="246">
        <f t="shared" ref="Z5:Z68" si="10">SUM(U5:Y5)</f>
        <v>0.12522040000000001</v>
      </c>
      <c r="AA5" s="247">
        <f t="shared" ref="AA5:AA68" si="11">Z5*H5</f>
        <v>0.12522040000000001</v>
      </c>
      <c r="AB5" s="122"/>
      <c r="AC5" s="244">
        <f>($K5+$M5)*cARF*0.5</f>
        <v>0</v>
      </c>
      <c r="AD5" s="245">
        <f>$L5*cRFR*0.5</f>
        <v>0</v>
      </c>
      <c r="AE5" s="245">
        <f>$N5*cRM*0.5</f>
        <v>308.55</v>
      </c>
      <c r="AF5" s="245">
        <f>$O5*cRH*0.5</f>
        <v>0</v>
      </c>
      <c r="AG5" s="245">
        <f>$P5*cRS*0.5</f>
        <v>0</v>
      </c>
      <c r="AH5" s="245">
        <f t="shared" ref="AH5:AH68" si="12">SUM(AC5:AG5)</f>
        <v>308.55</v>
      </c>
      <c r="AI5" s="247">
        <f t="shared" ref="AI5:AI36" si="13">AH5*H5</f>
        <v>308.55</v>
      </c>
      <c r="AK5" s="259"/>
      <c r="AL5" s="59"/>
      <c r="AM5" s="59"/>
    </row>
    <row r="6" spans="1:39">
      <c r="A6" s="122"/>
      <c r="B6" s="241">
        <v>2</v>
      </c>
      <c r="C6" s="248">
        <f>'Other parameters'!$D$15</f>
        <v>3.0620000000000001E-3</v>
      </c>
      <c r="D6" s="242">
        <f>'Other parameters'!$G$15</f>
        <v>68.400000000000006</v>
      </c>
      <c r="E6" s="248">
        <f t="shared" si="0"/>
        <v>0</v>
      </c>
      <c r="F6" s="248">
        <f t="shared" si="1"/>
        <v>0</v>
      </c>
      <c r="G6" s="248">
        <f t="shared" si="2"/>
        <v>0</v>
      </c>
      <c r="H6" s="249">
        <f t="shared" si="3"/>
        <v>0.970873786407767</v>
      </c>
      <c r="I6" s="122"/>
      <c r="J6" s="244">
        <v>0</v>
      </c>
      <c r="K6" s="245">
        <v>0</v>
      </c>
      <c r="L6" s="245">
        <v>0</v>
      </c>
      <c r="M6" s="245">
        <v>0</v>
      </c>
      <c r="N6" s="245">
        <f t="shared" si="4"/>
        <v>1</v>
      </c>
      <c r="O6" s="245">
        <f t="shared" si="5"/>
        <v>0</v>
      </c>
      <c r="P6" s="245">
        <f t="shared" si="6"/>
        <v>0</v>
      </c>
      <c r="Q6" s="245">
        <f t="shared" si="7"/>
        <v>0</v>
      </c>
      <c r="R6" s="243">
        <f t="shared" si="8"/>
        <v>1</v>
      </c>
      <c r="S6" s="122"/>
      <c r="T6" s="244">
        <f t="shared" si="9"/>
        <v>3.0620000000000001E-3</v>
      </c>
      <c r="U6" s="246">
        <f t="shared" ref="U6:U69" si="14">$D6*T6</f>
        <v>0.20944080000000001</v>
      </c>
      <c r="V6" s="246">
        <f t="shared" ref="V6:V69" si="15">($K6+$M6)*wAR</f>
        <v>0</v>
      </c>
      <c r="W6" s="246">
        <f t="shared" ref="W6:W69" si="16">$N6*wRM</f>
        <v>4.1000000000000002E-2</v>
      </c>
      <c r="X6" s="246">
        <f t="shared" ref="X6:X69" si="17">$O6*wRH</f>
        <v>0</v>
      </c>
      <c r="Y6" s="246">
        <f t="shared" ref="Y6:Y69" si="18">$P6*wRS</f>
        <v>0</v>
      </c>
      <c r="Z6" s="246">
        <f t="shared" si="10"/>
        <v>0.25044080000000002</v>
      </c>
      <c r="AA6" s="247">
        <f t="shared" si="11"/>
        <v>0.24314640776699031</v>
      </c>
      <c r="AB6" s="122"/>
      <c r="AC6" s="244">
        <f t="shared" ref="AC6:AC69" si="19">($K6+$M6)*cARF</f>
        <v>0</v>
      </c>
      <c r="AD6" s="245">
        <f t="shared" ref="AD6:AD69" si="20">$L6*cRFR</f>
        <v>0</v>
      </c>
      <c r="AE6" s="245">
        <f t="shared" ref="AE6:AE69" si="21">$N6*cRM</f>
        <v>617.1</v>
      </c>
      <c r="AF6" s="245">
        <f t="shared" ref="AF6:AF69" si="22">$O6*cRH</f>
        <v>0</v>
      </c>
      <c r="AG6" s="245">
        <f t="shared" ref="AG6:AG69" si="23">$P6*cRS</f>
        <v>0</v>
      </c>
      <c r="AH6" s="245">
        <f t="shared" si="12"/>
        <v>617.1</v>
      </c>
      <c r="AI6" s="247">
        <f t="shared" si="13"/>
        <v>599.12621359223306</v>
      </c>
      <c r="AK6" s="259"/>
      <c r="AL6" s="59"/>
      <c r="AM6" s="59"/>
    </row>
    <row r="7" spans="1:39">
      <c r="A7" s="122"/>
      <c r="B7" s="241">
        <v>3</v>
      </c>
      <c r="C7" s="248">
        <f>'Other parameters'!$D$15</f>
        <v>3.0620000000000001E-3</v>
      </c>
      <c r="D7" s="242">
        <f>'Other parameters'!$G$15</f>
        <v>68.400000000000006</v>
      </c>
      <c r="E7" s="248">
        <f t="shared" si="0"/>
        <v>0</v>
      </c>
      <c r="F7" s="248">
        <f t="shared" si="1"/>
        <v>0</v>
      </c>
      <c r="G7" s="248">
        <f t="shared" si="2"/>
        <v>0</v>
      </c>
      <c r="H7" s="249">
        <f t="shared" si="3"/>
        <v>0.94259590913375435</v>
      </c>
      <c r="I7" s="122"/>
      <c r="J7" s="244">
        <v>0</v>
      </c>
      <c r="K7" s="245">
        <v>0</v>
      </c>
      <c r="L7" s="245">
        <v>0</v>
      </c>
      <c r="M7" s="245">
        <v>0</v>
      </c>
      <c r="N7" s="245">
        <f t="shared" si="4"/>
        <v>1</v>
      </c>
      <c r="O7" s="245">
        <f t="shared" si="5"/>
        <v>0</v>
      </c>
      <c r="P7" s="245">
        <f t="shared" si="6"/>
        <v>0</v>
      </c>
      <c r="Q7" s="245">
        <f t="shared" si="7"/>
        <v>0</v>
      </c>
      <c r="R7" s="243">
        <f t="shared" si="8"/>
        <v>1</v>
      </c>
      <c r="S7" s="122"/>
      <c r="T7" s="244">
        <f t="shared" si="9"/>
        <v>3.0620000000000001E-3</v>
      </c>
      <c r="U7" s="246">
        <f t="shared" si="14"/>
        <v>0.20944080000000001</v>
      </c>
      <c r="V7" s="246">
        <f t="shared" si="15"/>
        <v>0</v>
      </c>
      <c r="W7" s="246">
        <f t="shared" si="16"/>
        <v>4.1000000000000002E-2</v>
      </c>
      <c r="X7" s="246">
        <f t="shared" si="17"/>
        <v>0</v>
      </c>
      <c r="Y7" s="246">
        <f t="shared" si="18"/>
        <v>0</v>
      </c>
      <c r="Z7" s="246">
        <f t="shared" si="10"/>
        <v>0.25044080000000002</v>
      </c>
      <c r="AA7" s="247">
        <f t="shared" si="11"/>
        <v>0.23606447356018476</v>
      </c>
      <c r="AB7" s="122"/>
      <c r="AC7" s="244">
        <f t="shared" si="19"/>
        <v>0</v>
      </c>
      <c r="AD7" s="245">
        <f t="shared" si="20"/>
        <v>0</v>
      </c>
      <c r="AE7" s="245">
        <f t="shared" si="21"/>
        <v>617.1</v>
      </c>
      <c r="AF7" s="245">
        <f t="shared" si="22"/>
        <v>0</v>
      </c>
      <c r="AG7" s="245">
        <f t="shared" si="23"/>
        <v>0</v>
      </c>
      <c r="AH7" s="245">
        <f t="shared" si="12"/>
        <v>617.1</v>
      </c>
      <c r="AI7" s="247">
        <f t="shared" si="13"/>
        <v>581.67593552643984</v>
      </c>
      <c r="AK7" s="259"/>
      <c r="AL7" s="59"/>
      <c r="AM7" s="59"/>
    </row>
    <row r="8" spans="1:39">
      <c r="A8" s="122"/>
      <c r="B8" s="241">
        <v>4</v>
      </c>
      <c r="C8" s="248">
        <f>'Other parameters'!$D$15</f>
        <v>3.0620000000000001E-3</v>
      </c>
      <c r="D8" s="242">
        <f>'Other parameters'!$G$15</f>
        <v>68.400000000000006</v>
      </c>
      <c r="E8" s="248">
        <f t="shared" si="0"/>
        <v>0</v>
      </c>
      <c r="F8" s="248">
        <f t="shared" si="1"/>
        <v>0</v>
      </c>
      <c r="G8" s="248">
        <f t="shared" si="2"/>
        <v>0</v>
      </c>
      <c r="H8" s="249">
        <f t="shared" si="3"/>
        <v>0.91514165935315961</v>
      </c>
      <c r="I8" s="122"/>
      <c r="J8" s="244">
        <v>0</v>
      </c>
      <c r="K8" s="245">
        <v>0</v>
      </c>
      <c r="L8" s="245">
        <v>0</v>
      </c>
      <c r="M8" s="245">
        <v>0</v>
      </c>
      <c r="N8" s="245">
        <f t="shared" si="4"/>
        <v>1</v>
      </c>
      <c r="O8" s="245">
        <f t="shared" si="5"/>
        <v>0</v>
      </c>
      <c r="P8" s="245">
        <f t="shared" si="6"/>
        <v>0</v>
      </c>
      <c r="Q8" s="245">
        <f t="shared" si="7"/>
        <v>0</v>
      </c>
      <c r="R8" s="243">
        <f t="shared" si="8"/>
        <v>1</v>
      </c>
      <c r="S8" s="122"/>
      <c r="T8" s="244">
        <f t="shared" si="9"/>
        <v>3.0620000000000001E-3</v>
      </c>
      <c r="U8" s="246">
        <f t="shared" si="14"/>
        <v>0.20944080000000001</v>
      </c>
      <c r="V8" s="246">
        <f t="shared" si="15"/>
        <v>0</v>
      </c>
      <c r="W8" s="246">
        <f t="shared" si="16"/>
        <v>4.1000000000000002E-2</v>
      </c>
      <c r="X8" s="246">
        <f t="shared" si="17"/>
        <v>0</v>
      </c>
      <c r="Y8" s="246">
        <f t="shared" si="18"/>
        <v>0</v>
      </c>
      <c r="Z8" s="246">
        <f t="shared" si="10"/>
        <v>0.25044080000000002</v>
      </c>
      <c r="AA8" s="247">
        <f t="shared" si="11"/>
        <v>0.2291888092817328</v>
      </c>
      <c r="AB8" s="122"/>
      <c r="AC8" s="244">
        <f t="shared" si="19"/>
        <v>0</v>
      </c>
      <c r="AD8" s="245">
        <f t="shared" si="20"/>
        <v>0</v>
      </c>
      <c r="AE8" s="245">
        <f t="shared" si="21"/>
        <v>617.1</v>
      </c>
      <c r="AF8" s="245">
        <f t="shared" si="22"/>
        <v>0</v>
      </c>
      <c r="AG8" s="245">
        <f t="shared" si="23"/>
        <v>0</v>
      </c>
      <c r="AH8" s="245">
        <f t="shared" si="12"/>
        <v>617.1</v>
      </c>
      <c r="AI8" s="247">
        <f t="shared" si="13"/>
        <v>564.73391798683485</v>
      </c>
      <c r="AK8" s="259"/>
      <c r="AL8" s="59"/>
      <c r="AM8" s="59"/>
    </row>
    <row r="9" spans="1:39">
      <c r="A9" s="122"/>
      <c r="B9" s="241">
        <v>5</v>
      </c>
      <c r="C9" s="248">
        <f>'Other parameters'!$D$16</f>
        <v>2.2790000000000002E-3</v>
      </c>
      <c r="D9" s="242">
        <f>'Other parameters'!$G$16</f>
        <v>65.5</v>
      </c>
      <c r="E9" s="248">
        <f t="shared" si="0"/>
        <v>0</v>
      </c>
      <c r="F9" s="248">
        <f t="shared" si="1"/>
        <v>0</v>
      </c>
      <c r="G9" s="248">
        <f t="shared" si="2"/>
        <v>0</v>
      </c>
      <c r="H9" s="249">
        <f t="shared" si="3"/>
        <v>0.888487047915689</v>
      </c>
      <c r="I9" s="122"/>
      <c r="J9" s="244">
        <v>0</v>
      </c>
      <c r="K9" s="245">
        <v>0</v>
      </c>
      <c r="L9" s="245">
        <v>0</v>
      </c>
      <c r="M9" s="245">
        <v>0</v>
      </c>
      <c r="N9" s="245">
        <f t="shared" si="4"/>
        <v>1</v>
      </c>
      <c r="O9" s="245">
        <f t="shared" si="5"/>
        <v>0</v>
      </c>
      <c r="P9" s="245">
        <f t="shared" si="6"/>
        <v>0</v>
      </c>
      <c r="Q9" s="245">
        <f t="shared" si="7"/>
        <v>0</v>
      </c>
      <c r="R9" s="243">
        <f t="shared" si="8"/>
        <v>1</v>
      </c>
      <c r="S9" s="122"/>
      <c r="T9" s="244">
        <f t="shared" si="9"/>
        <v>2.2790000000000002E-3</v>
      </c>
      <c r="U9" s="246">
        <f t="shared" si="14"/>
        <v>0.1492745</v>
      </c>
      <c r="V9" s="246">
        <f t="shared" si="15"/>
        <v>0</v>
      </c>
      <c r="W9" s="246">
        <f t="shared" si="16"/>
        <v>4.1000000000000002E-2</v>
      </c>
      <c r="X9" s="246">
        <f t="shared" si="17"/>
        <v>0</v>
      </c>
      <c r="Y9" s="246">
        <f t="shared" si="18"/>
        <v>0</v>
      </c>
      <c r="Z9" s="246">
        <f t="shared" si="10"/>
        <v>0.19027450000000001</v>
      </c>
      <c r="AA9" s="247">
        <f t="shared" si="11"/>
        <v>0.16905642879863378</v>
      </c>
      <c r="AB9" s="122"/>
      <c r="AC9" s="244">
        <f t="shared" si="19"/>
        <v>0</v>
      </c>
      <c r="AD9" s="245">
        <f t="shared" si="20"/>
        <v>0</v>
      </c>
      <c r="AE9" s="245">
        <f t="shared" si="21"/>
        <v>617.1</v>
      </c>
      <c r="AF9" s="245">
        <f t="shared" si="22"/>
        <v>0</v>
      </c>
      <c r="AG9" s="245">
        <f t="shared" si="23"/>
        <v>0</v>
      </c>
      <c r="AH9" s="245">
        <f t="shared" si="12"/>
        <v>617.1</v>
      </c>
      <c r="AI9" s="247">
        <f t="shared" si="13"/>
        <v>548.28535726877169</v>
      </c>
      <c r="AK9" s="259"/>
      <c r="AL9" s="59"/>
      <c r="AM9" s="59"/>
    </row>
    <row r="10" spans="1:39">
      <c r="A10" s="122"/>
      <c r="B10" s="241">
        <v>6</v>
      </c>
      <c r="C10" s="248">
        <f>'Other parameters'!$D$16</f>
        <v>2.2790000000000002E-3</v>
      </c>
      <c r="D10" s="242">
        <f>'Other parameters'!$G$16</f>
        <v>65.5</v>
      </c>
      <c r="E10" s="248">
        <f t="shared" si="0"/>
        <v>0</v>
      </c>
      <c r="F10" s="248">
        <f t="shared" si="1"/>
        <v>0</v>
      </c>
      <c r="G10" s="248">
        <f t="shared" si="2"/>
        <v>0</v>
      </c>
      <c r="H10" s="249">
        <f t="shared" si="3"/>
        <v>0.86260878438416411</v>
      </c>
      <c r="I10" s="122"/>
      <c r="J10" s="244">
        <v>0</v>
      </c>
      <c r="K10" s="245">
        <v>0</v>
      </c>
      <c r="L10" s="245">
        <v>0</v>
      </c>
      <c r="M10" s="245">
        <v>0</v>
      </c>
      <c r="N10" s="245">
        <f t="shared" si="4"/>
        <v>1</v>
      </c>
      <c r="O10" s="245">
        <f t="shared" si="5"/>
        <v>0</v>
      </c>
      <c r="P10" s="245">
        <f t="shared" si="6"/>
        <v>0</v>
      </c>
      <c r="Q10" s="245">
        <f t="shared" si="7"/>
        <v>0</v>
      </c>
      <c r="R10" s="243">
        <f t="shared" si="8"/>
        <v>1</v>
      </c>
      <c r="S10" s="122"/>
      <c r="T10" s="244">
        <f t="shared" si="9"/>
        <v>2.2790000000000002E-3</v>
      </c>
      <c r="U10" s="246">
        <f t="shared" si="14"/>
        <v>0.1492745</v>
      </c>
      <c r="V10" s="246">
        <f t="shared" si="15"/>
        <v>0</v>
      </c>
      <c r="W10" s="246">
        <f t="shared" si="16"/>
        <v>4.1000000000000002E-2</v>
      </c>
      <c r="X10" s="246">
        <f t="shared" si="17"/>
        <v>0</v>
      </c>
      <c r="Y10" s="246">
        <f t="shared" si="18"/>
        <v>0</v>
      </c>
      <c r="Z10" s="246">
        <f t="shared" si="10"/>
        <v>0.19027450000000001</v>
      </c>
      <c r="AA10" s="247">
        <f t="shared" si="11"/>
        <v>0.16413245514430463</v>
      </c>
      <c r="AB10" s="122"/>
      <c r="AC10" s="244">
        <f t="shared" si="19"/>
        <v>0</v>
      </c>
      <c r="AD10" s="245">
        <f t="shared" si="20"/>
        <v>0</v>
      </c>
      <c r="AE10" s="245">
        <f t="shared" si="21"/>
        <v>617.1</v>
      </c>
      <c r="AF10" s="245">
        <f t="shared" si="22"/>
        <v>0</v>
      </c>
      <c r="AG10" s="245">
        <f t="shared" si="23"/>
        <v>0</v>
      </c>
      <c r="AH10" s="245">
        <f t="shared" si="12"/>
        <v>617.1</v>
      </c>
      <c r="AI10" s="247">
        <f t="shared" si="13"/>
        <v>532.31588084346765</v>
      </c>
      <c r="AK10" s="259"/>
      <c r="AL10" s="59"/>
      <c r="AM10" s="59"/>
    </row>
    <row r="11" spans="1:39">
      <c r="A11" s="122"/>
      <c r="B11" s="241">
        <v>7</v>
      </c>
      <c r="C11" s="248">
        <f>'Other parameters'!$D$16</f>
        <v>2.2790000000000002E-3</v>
      </c>
      <c r="D11" s="242">
        <f>'Other parameters'!$G$16</f>
        <v>65.5</v>
      </c>
      <c r="E11" s="248">
        <f t="shared" si="0"/>
        <v>0</v>
      </c>
      <c r="F11" s="248">
        <f t="shared" si="1"/>
        <v>0</v>
      </c>
      <c r="G11" s="248">
        <f t="shared" si="2"/>
        <v>0</v>
      </c>
      <c r="H11" s="249">
        <f t="shared" si="3"/>
        <v>0.83748425668365445</v>
      </c>
      <c r="I11" s="122"/>
      <c r="J11" s="244">
        <v>0</v>
      </c>
      <c r="K11" s="245">
        <v>0</v>
      </c>
      <c r="L11" s="245">
        <v>0</v>
      </c>
      <c r="M11" s="245">
        <v>0</v>
      </c>
      <c r="N11" s="245">
        <f t="shared" si="4"/>
        <v>1</v>
      </c>
      <c r="O11" s="245">
        <f t="shared" si="5"/>
        <v>0</v>
      </c>
      <c r="P11" s="245">
        <f t="shared" si="6"/>
        <v>0</v>
      </c>
      <c r="Q11" s="245">
        <f t="shared" si="7"/>
        <v>0</v>
      </c>
      <c r="R11" s="243">
        <f t="shared" si="8"/>
        <v>1</v>
      </c>
      <c r="S11" s="122"/>
      <c r="T11" s="244">
        <f t="shared" si="9"/>
        <v>2.2790000000000002E-3</v>
      </c>
      <c r="U11" s="246">
        <f t="shared" si="14"/>
        <v>0.1492745</v>
      </c>
      <c r="V11" s="246">
        <f t="shared" si="15"/>
        <v>0</v>
      </c>
      <c r="W11" s="246">
        <f t="shared" si="16"/>
        <v>4.1000000000000002E-2</v>
      </c>
      <c r="X11" s="246">
        <f t="shared" si="17"/>
        <v>0</v>
      </c>
      <c r="Y11" s="246">
        <f t="shared" si="18"/>
        <v>0</v>
      </c>
      <c r="Z11" s="246">
        <f t="shared" si="10"/>
        <v>0.19027450000000001</v>
      </c>
      <c r="AA11" s="247">
        <f t="shared" si="11"/>
        <v>0.15935189819835402</v>
      </c>
      <c r="AB11" s="122"/>
      <c r="AC11" s="244">
        <f t="shared" si="19"/>
        <v>0</v>
      </c>
      <c r="AD11" s="245">
        <f t="shared" si="20"/>
        <v>0</v>
      </c>
      <c r="AE11" s="245">
        <f t="shared" si="21"/>
        <v>617.1</v>
      </c>
      <c r="AF11" s="245">
        <f t="shared" si="22"/>
        <v>0</v>
      </c>
      <c r="AG11" s="245">
        <f t="shared" si="23"/>
        <v>0</v>
      </c>
      <c r="AH11" s="245">
        <f t="shared" si="12"/>
        <v>617.1</v>
      </c>
      <c r="AI11" s="247">
        <f t="shared" si="13"/>
        <v>516.81153479948318</v>
      </c>
      <c r="AK11" s="259"/>
      <c r="AL11" s="59"/>
      <c r="AM11" s="59"/>
    </row>
    <row r="12" spans="1:39">
      <c r="A12" s="122"/>
      <c r="B12" s="241">
        <v>8</v>
      </c>
      <c r="C12" s="248">
        <f>'Other parameters'!$D$16</f>
        <v>2.2790000000000002E-3</v>
      </c>
      <c r="D12" s="242">
        <f>'Other parameters'!$G$16</f>
        <v>65.5</v>
      </c>
      <c r="E12" s="248">
        <f t="shared" si="0"/>
        <v>4.194E-4</v>
      </c>
      <c r="F12" s="248">
        <f t="shared" si="1"/>
        <v>0</v>
      </c>
      <c r="G12" s="248">
        <f t="shared" si="2"/>
        <v>0</v>
      </c>
      <c r="H12" s="249">
        <f t="shared" si="3"/>
        <v>0.81309151134335378</v>
      </c>
      <c r="I12" s="122"/>
      <c r="J12" s="244">
        <v>0</v>
      </c>
      <c r="K12" s="245">
        <v>0</v>
      </c>
      <c r="L12" s="245">
        <v>0</v>
      </c>
      <c r="M12" s="245">
        <v>0</v>
      </c>
      <c r="N12" s="245">
        <f t="shared" si="4"/>
        <v>1</v>
      </c>
      <c r="O12" s="245">
        <f t="shared" si="5"/>
        <v>0</v>
      </c>
      <c r="P12" s="245">
        <f t="shared" si="6"/>
        <v>0</v>
      </c>
      <c r="Q12" s="245">
        <f t="shared" si="7"/>
        <v>0</v>
      </c>
      <c r="R12" s="243">
        <f>SUM(J12:Q12)</f>
        <v>1</v>
      </c>
      <c r="S12" s="122"/>
      <c r="T12" s="244">
        <f t="shared" si="9"/>
        <v>2.2790000000000002E-3</v>
      </c>
      <c r="U12" s="246">
        <f t="shared" si="14"/>
        <v>0.1492745</v>
      </c>
      <c r="V12" s="246">
        <f t="shared" si="15"/>
        <v>0</v>
      </c>
      <c r="W12" s="246">
        <f t="shared" si="16"/>
        <v>4.1000000000000002E-2</v>
      </c>
      <c r="X12" s="246">
        <f t="shared" si="17"/>
        <v>0</v>
      </c>
      <c r="Y12" s="246">
        <f t="shared" si="18"/>
        <v>0</v>
      </c>
      <c r="Z12" s="246">
        <f t="shared" si="10"/>
        <v>0.19027450000000001</v>
      </c>
      <c r="AA12" s="247">
        <f t="shared" si="11"/>
        <v>0.15471058077510097</v>
      </c>
      <c r="AB12" s="122"/>
      <c r="AC12" s="244">
        <f t="shared" si="19"/>
        <v>0</v>
      </c>
      <c r="AD12" s="245">
        <f t="shared" si="20"/>
        <v>0</v>
      </c>
      <c r="AE12" s="245">
        <f t="shared" si="21"/>
        <v>617.1</v>
      </c>
      <c r="AF12" s="245">
        <f t="shared" si="22"/>
        <v>0</v>
      </c>
      <c r="AG12" s="245">
        <f t="shared" si="23"/>
        <v>0</v>
      </c>
      <c r="AH12" s="245">
        <f t="shared" si="12"/>
        <v>617.1</v>
      </c>
      <c r="AI12" s="247">
        <f t="shared" si="13"/>
        <v>501.75877164998366</v>
      </c>
      <c r="AK12" s="259"/>
      <c r="AL12" s="59"/>
      <c r="AM12" s="59"/>
    </row>
    <row r="13" spans="1:39">
      <c r="A13" s="122"/>
      <c r="B13" s="241">
        <v>9</v>
      </c>
      <c r="C13" s="248">
        <f>'Other parameters'!$D$16</f>
        <v>2.2790000000000002E-3</v>
      </c>
      <c r="D13" s="242">
        <f>'Other parameters'!$G$16</f>
        <v>65.5</v>
      </c>
      <c r="E13" s="248">
        <f t="shared" si="0"/>
        <v>4.194E-4</v>
      </c>
      <c r="F13" s="248">
        <f t="shared" si="1"/>
        <v>0</v>
      </c>
      <c r="G13" s="248">
        <f t="shared" si="2"/>
        <v>0</v>
      </c>
      <c r="H13" s="249">
        <f t="shared" si="3"/>
        <v>0.78940923431393573</v>
      </c>
      <c r="I13" s="122"/>
      <c r="J13" s="244">
        <v>0</v>
      </c>
      <c r="K13" s="245">
        <v>0</v>
      </c>
      <c r="L13" s="245">
        <v>0</v>
      </c>
      <c r="M13" s="245">
        <v>0</v>
      </c>
      <c r="N13" s="245">
        <f t="shared" si="4"/>
        <v>1</v>
      </c>
      <c r="O13" s="245">
        <f t="shared" si="5"/>
        <v>0</v>
      </c>
      <c r="P13" s="245">
        <f t="shared" si="6"/>
        <v>0</v>
      </c>
      <c r="Q13" s="245">
        <f t="shared" si="7"/>
        <v>0</v>
      </c>
      <c r="R13" s="243">
        <f t="shared" ref="R13:R76" si="24">SUM(J13:Q13)</f>
        <v>1</v>
      </c>
      <c r="S13" s="122"/>
      <c r="T13" s="244">
        <f t="shared" si="9"/>
        <v>2.2790000000000002E-3</v>
      </c>
      <c r="U13" s="246">
        <f t="shared" si="14"/>
        <v>0.1492745</v>
      </c>
      <c r="V13" s="246">
        <f t="shared" si="15"/>
        <v>0</v>
      </c>
      <c r="W13" s="246">
        <f t="shared" si="16"/>
        <v>4.1000000000000002E-2</v>
      </c>
      <c r="X13" s="246">
        <f t="shared" si="17"/>
        <v>0</v>
      </c>
      <c r="Y13" s="246">
        <f t="shared" si="18"/>
        <v>0</v>
      </c>
      <c r="Z13" s="246">
        <f t="shared" si="10"/>
        <v>0.19027450000000001</v>
      </c>
      <c r="AA13" s="247">
        <f t="shared" si="11"/>
        <v>0.15020444735446697</v>
      </c>
      <c r="AB13" s="122"/>
      <c r="AC13" s="244">
        <f t="shared" si="19"/>
        <v>0</v>
      </c>
      <c r="AD13" s="245">
        <f t="shared" si="20"/>
        <v>0</v>
      </c>
      <c r="AE13" s="245">
        <f t="shared" si="21"/>
        <v>617.1</v>
      </c>
      <c r="AF13" s="245">
        <f t="shared" si="22"/>
        <v>0</v>
      </c>
      <c r="AG13" s="245">
        <f t="shared" si="23"/>
        <v>0</v>
      </c>
      <c r="AH13" s="245">
        <f t="shared" si="12"/>
        <v>617.1</v>
      </c>
      <c r="AI13" s="247">
        <f t="shared" si="13"/>
        <v>487.14443849512975</v>
      </c>
      <c r="AK13" s="259"/>
      <c r="AL13" s="59"/>
      <c r="AM13" s="59"/>
    </row>
    <row r="14" spans="1:39">
      <c r="A14" s="122"/>
      <c r="B14" s="241">
        <v>10</v>
      </c>
      <c r="C14" s="248">
        <f>'Other parameters'!$D$17</f>
        <v>1.7776000000000001E-3</v>
      </c>
      <c r="D14" s="242">
        <f>'Other parameters'!$G$17</f>
        <v>61.2</v>
      </c>
      <c r="E14" s="248">
        <f t="shared" si="0"/>
        <v>4.194E-4</v>
      </c>
      <c r="F14" s="248">
        <f t="shared" si="1"/>
        <v>0</v>
      </c>
      <c r="G14" s="248">
        <f t="shared" si="2"/>
        <v>0</v>
      </c>
      <c r="H14" s="249">
        <f t="shared" si="3"/>
        <v>0.76641673234362695</v>
      </c>
      <c r="I14" s="122"/>
      <c r="J14" s="244">
        <v>0</v>
      </c>
      <c r="K14" s="245">
        <v>0</v>
      </c>
      <c r="L14" s="245">
        <v>0</v>
      </c>
      <c r="M14" s="245">
        <v>0</v>
      </c>
      <c r="N14" s="245">
        <f t="shared" si="4"/>
        <v>1</v>
      </c>
      <c r="O14" s="245">
        <f t="shared" si="5"/>
        <v>0</v>
      </c>
      <c r="P14" s="245">
        <f t="shared" si="6"/>
        <v>0</v>
      </c>
      <c r="Q14" s="245">
        <f t="shared" si="7"/>
        <v>0</v>
      </c>
      <c r="R14" s="243">
        <f t="shared" si="24"/>
        <v>1</v>
      </c>
      <c r="S14" s="122"/>
      <c r="T14" s="244">
        <f t="shared" si="9"/>
        <v>1.7776000000000001E-3</v>
      </c>
      <c r="U14" s="246">
        <f t="shared" si="14"/>
        <v>0.10878912</v>
      </c>
      <c r="V14" s="246">
        <f t="shared" si="15"/>
        <v>0</v>
      </c>
      <c r="W14" s="246">
        <f t="shared" si="16"/>
        <v>4.1000000000000002E-2</v>
      </c>
      <c r="X14" s="246">
        <f t="shared" si="17"/>
        <v>0</v>
      </c>
      <c r="Y14" s="246">
        <f t="shared" si="18"/>
        <v>0</v>
      </c>
      <c r="Z14" s="246">
        <f t="shared" si="10"/>
        <v>0.14978912</v>
      </c>
      <c r="AA14" s="247">
        <f t="shared" si="11"/>
        <v>0.11480088789102742</v>
      </c>
      <c r="AB14" s="122"/>
      <c r="AC14" s="244">
        <f t="shared" si="19"/>
        <v>0</v>
      </c>
      <c r="AD14" s="245">
        <f t="shared" si="20"/>
        <v>0</v>
      </c>
      <c r="AE14" s="245">
        <f t="shared" si="21"/>
        <v>617.1</v>
      </c>
      <c r="AF14" s="245">
        <f t="shared" si="22"/>
        <v>0</v>
      </c>
      <c r="AG14" s="245">
        <f t="shared" si="23"/>
        <v>0</v>
      </c>
      <c r="AH14" s="245">
        <f t="shared" si="12"/>
        <v>617.1</v>
      </c>
      <c r="AI14" s="247">
        <f t="shared" si="13"/>
        <v>472.95576552925223</v>
      </c>
      <c r="AK14" s="259"/>
      <c r="AL14" s="59"/>
      <c r="AM14" s="59"/>
    </row>
    <row r="15" spans="1:39">
      <c r="A15" s="122"/>
      <c r="B15" s="241">
        <v>11</v>
      </c>
      <c r="C15" s="248">
        <f>'Other parameters'!$D$17</f>
        <v>1.7776000000000001E-3</v>
      </c>
      <c r="D15" s="242">
        <f>'Other parameters'!$G$17</f>
        <v>61.2</v>
      </c>
      <c r="E15" s="248">
        <f t="shared" si="0"/>
        <v>4.194E-4</v>
      </c>
      <c r="F15" s="248">
        <f t="shared" si="1"/>
        <v>0</v>
      </c>
      <c r="G15" s="248">
        <f t="shared" si="2"/>
        <v>0</v>
      </c>
      <c r="H15" s="249">
        <f t="shared" si="3"/>
        <v>0.74409391489672516</v>
      </c>
      <c r="I15" s="122"/>
      <c r="J15" s="244">
        <v>0</v>
      </c>
      <c r="K15" s="245">
        <v>0</v>
      </c>
      <c r="L15" s="245">
        <v>0</v>
      </c>
      <c r="M15" s="245">
        <v>0</v>
      </c>
      <c r="N15" s="245">
        <f t="shared" si="4"/>
        <v>1</v>
      </c>
      <c r="O15" s="245">
        <f t="shared" si="5"/>
        <v>0</v>
      </c>
      <c r="P15" s="245">
        <f t="shared" si="6"/>
        <v>0</v>
      </c>
      <c r="Q15" s="245">
        <f t="shared" si="7"/>
        <v>0</v>
      </c>
      <c r="R15" s="243">
        <f t="shared" si="24"/>
        <v>1</v>
      </c>
      <c r="S15" s="122"/>
      <c r="T15" s="244">
        <f t="shared" si="9"/>
        <v>1.7776000000000001E-3</v>
      </c>
      <c r="U15" s="246">
        <f t="shared" si="14"/>
        <v>0.10878912</v>
      </c>
      <c r="V15" s="246">
        <f t="shared" si="15"/>
        <v>0</v>
      </c>
      <c r="W15" s="246">
        <f t="shared" si="16"/>
        <v>4.1000000000000002E-2</v>
      </c>
      <c r="X15" s="246">
        <f t="shared" si="17"/>
        <v>0</v>
      </c>
      <c r="Y15" s="246">
        <f t="shared" si="18"/>
        <v>0</v>
      </c>
      <c r="Z15" s="246">
        <f t="shared" si="10"/>
        <v>0.14978912</v>
      </c>
      <c r="AA15" s="247">
        <f t="shared" si="11"/>
        <v>0.11145717270973535</v>
      </c>
      <c r="AB15" s="122"/>
      <c r="AC15" s="244">
        <f t="shared" si="19"/>
        <v>0</v>
      </c>
      <c r="AD15" s="245">
        <f t="shared" si="20"/>
        <v>0</v>
      </c>
      <c r="AE15" s="245">
        <f t="shared" si="21"/>
        <v>617.1</v>
      </c>
      <c r="AF15" s="245">
        <f t="shared" si="22"/>
        <v>0</v>
      </c>
      <c r="AG15" s="245">
        <f t="shared" si="23"/>
        <v>0</v>
      </c>
      <c r="AH15" s="245">
        <f t="shared" si="12"/>
        <v>617.1</v>
      </c>
      <c r="AI15" s="247">
        <f t="shared" si="13"/>
        <v>459.18035488276911</v>
      </c>
      <c r="AK15" s="259"/>
      <c r="AL15" s="59"/>
      <c r="AM15" s="59"/>
    </row>
    <row r="16" spans="1:39">
      <c r="A16" s="122"/>
      <c r="B16" s="241">
        <v>12</v>
      </c>
      <c r="C16" s="248">
        <f>'Other parameters'!$D$17</f>
        <v>1.7776000000000001E-3</v>
      </c>
      <c r="D16" s="242">
        <f>'Other parameters'!$G$17</f>
        <v>61.2</v>
      </c>
      <c r="E16" s="248">
        <f t="shared" si="0"/>
        <v>4.194E-4</v>
      </c>
      <c r="F16" s="248">
        <f t="shared" si="1"/>
        <v>0.10631249999999999</v>
      </c>
      <c r="G16" s="248">
        <f t="shared" si="2"/>
        <v>0</v>
      </c>
      <c r="H16" s="249">
        <f t="shared" si="3"/>
        <v>0.72242127659876232</v>
      </c>
      <c r="I16" s="122"/>
      <c r="J16" s="244">
        <v>0</v>
      </c>
      <c r="K16" s="245">
        <v>0</v>
      </c>
      <c r="L16" s="245">
        <v>0</v>
      </c>
      <c r="M16" s="245">
        <v>0</v>
      </c>
      <c r="N16" s="245">
        <f t="shared" si="4"/>
        <v>1</v>
      </c>
      <c r="O16" s="245">
        <f t="shared" si="5"/>
        <v>0</v>
      </c>
      <c r="P16" s="245">
        <f t="shared" si="6"/>
        <v>0</v>
      </c>
      <c r="Q16" s="245">
        <f t="shared" si="7"/>
        <v>0</v>
      </c>
      <c r="R16" s="243">
        <f t="shared" si="24"/>
        <v>1</v>
      </c>
      <c r="S16" s="122"/>
      <c r="T16" s="244">
        <f t="shared" si="9"/>
        <v>1.7776000000000001E-3</v>
      </c>
      <c r="U16" s="246">
        <f t="shared" si="14"/>
        <v>0.10878912</v>
      </c>
      <c r="V16" s="246">
        <f t="shared" si="15"/>
        <v>0</v>
      </c>
      <c r="W16" s="246">
        <f t="shared" si="16"/>
        <v>4.1000000000000002E-2</v>
      </c>
      <c r="X16" s="246">
        <f t="shared" si="17"/>
        <v>0</v>
      </c>
      <c r="Y16" s="246">
        <f t="shared" si="18"/>
        <v>0</v>
      </c>
      <c r="Z16" s="246">
        <f t="shared" si="10"/>
        <v>0.14978912</v>
      </c>
      <c r="AA16" s="247">
        <f t="shared" si="11"/>
        <v>0.1082108472910052</v>
      </c>
      <c r="AB16" s="122"/>
      <c r="AC16" s="244">
        <f t="shared" si="19"/>
        <v>0</v>
      </c>
      <c r="AD16" s="245">
        <f t="shared" si="20"/>
        <v>0</v>
      </c>
      <c r="AE16" s="245">
        <f t="shared" si="21"/>
        <v>617.1</v>
      </c>
      <c r="AF16" s="245">
        <f t="shared" si="22"/>
        <v>0</v>
      </c>
      <c r="AG16" s="245">
        <f t="shared" si="23"/>
        <v>0</v>
      </c>
      <c r="AH16" s="245">
        <f t="shared" si="12"/>
        <v>617.1</v>
      </c>
      <c r="AI16" s="247">
        <f t="shared" si="13"/>
        <v>445.80616978909626</v>
      </c>
      <c r="AK16" s="259"/>
      <c r="AL16" s="59"/>
      <c r="AM16" s="59"/>
    </row>
    <row r="17" spans="1:39">
      <c r="A17" s="122"/>
      <c r="B17" s="241">
        <v>13</v>
      </c>
      <c r="C17" s="248">
        <f>'Other parameters'!$D$17</f>
        <v>1.7776000000000001E-3</v>
      </c>
      <c r="D17" s="242">
        <f>'Other parameters'!$G$17</f>
        <v>61.2</v>
      </c>
      <c r="E17" s="248">
        <f t="shared" si="0"/>
        <v>4.194E-4</v>
      </c>
      <c r="F17" s="248">
        <f t="shared" si="1"/>
        <v>0.10631249999999999</v>
      </c>
      <c r="G17" s="248">
        <f t="shared" si="2"/>
        <v>0</v>
      </c>
      <c r="H17" s="249">
        <f t="shared" si="3"/>
        <v>0.70137988019297326</v>
      </c>
      <c r="I17" s="122"/>
      <c r="J17" s="244">
        <v>0</v>
      </c>
      <c r="K17" s="245">
        <v>0</v>
      </c>
      <c r="L17" s="245">
        <v>0</v>
      </c>
      <c r="M17" s="245">
        <v>0</v>
      </c>
      <c r="N17" s="245">
        <f t="shared" si="4"/>
        <v>1</v>
      </c>
      <c r="O17" s="245">
        <f t="shared" si="5"/>
        <v>0</v>
      </c>
      <c r="P17" s="245">
        <f t="shared" si="6"/>
        <v>0</v>
      </c>
      <c r="Q17" s="245">
        <f t="shared" si="7"/>
        <v>0</v>
      </c>
      <c r="R17" s="243">
        <f t="shared" si="24"/>
        <v>1</v>
      </c>
      <c r="S17" s="122"/>
      <c r="T17" s="244">
        <f t="shared" si="9"/>
        <v>1.7776000000000001E-3</v>
      </c>
      <c r="U17" s="246">
        <f t="shared" si="14"/>
        <v>0.10878912</v>
      </c>
      <c r="V17" s="246">
        <f t="shared" si="15"/>
        <v>0</v>
      </c>
      <c r="W17" s="246">
        <f t="shared" si="16"/>
        <v>4.1000000000000002E-2</v>
      </c>
      <c r="X17" s="246">
        <f t="shared" si="17"/>
        <v>0</v>
      </c>
      <c r="Y17" s="246">
        <f t="shared" si="18"/>
        <v>0</v>
      </c>
      <c r="Z17" s="246">
        <f t="shared" si="10"/>
        <v>0.14978912</v>
      </c>
      <c r="AA17" s="247">
        <f t="shared" si="11"/>
        <v>0.10505907503981089</v>
      </c>
      <c r="AB17" s="122"/>
      <c r="AC17" s="244">
        <f t="shared" si="19"/>
        <v>0</v>
      </c>
      <c r="AD17" s="245">
        <f t="shared" si="20"/>
        <v>0</v>
      </c>
      <c r="AE17" s="245">
        <f t="shared" si="21"/>
        <v>617.1</v>
      </c>
      <c r="AF17" s="245">
        <f t="shared" si="22"/>
        <v>0</v>
      </c>
      <c r="AG17" s="245">
        <f t="shared" si="23"/>
        <v>0</v>
      </c>
      <c r="AH17" s="245">
        <f t="shared" si="12"/>
        <v>617.1</v>
      </c>
      <c r="AI17" s="247">
        <f t="shared" si="13"/>
        <v>432.82152406708383</v>
      </c>
      <c r="AK17" s="259"/>
      <c r="AL17" s="59"/>
      <c r="AM17" s="59"/>
    </row>
    <row r="18" spans="1:39">
      <c r="A18" s="122"/>
      <c r="B18" s="241">
        <v>14</v>
      </c>
      <c r="C18" s="248">
        <f>'Other parameters'!$D$17</f>
        <v>1.7776000000000001E-3</v>
      </c>
      <c r="D18" s="242">
        <f>'Other parameters'!$G$17</f>
        <v>61.2</v>
      </c>
      <c r="E18" s="248">
        <f t="shared" si="0"/>
        <v>4.194E-4</v>
      </c>
      <c r="F18" s="248">
        <f t="shared" si="1"/>
        <v>0.10631249999999999</v>
      </c>
      <c r="G18" s="248">
        <f t="shared" si="2"/>
        <v>0</v>
      </c>
      <c r="H18" s="249">
        <f t="shared" si="3"/>
        <v>0.68095133999317792</v>
      </c>
      <c r="I18" s="122"/>
      <c r="J18" s="244">
        <v>0</v>
      </c>
      <c r="K18" s="245">
        <v>0</v>
      </c>
      <c r="L18" s="245">
        <v>0</v>
      </c>
      <c r="M18" s="245">
        <v>0</v>
      </c>
      <c r="N18" s="245">
        <f t="shared" si="4"/>
        <v>1</v>
      </c>
      <c r="O18" s="245">
        <f t="shared" si="5"/>
        <v>0</v>
      </c>
      <c r="P18" s="245">
        <f t="shared" si="6"/>
        <v>0</v>
      </c>
      <c r="Q18" s="245">
        <f t="shared" si="7"/>
        <v>0</v>
      </c>
      <c r="R18" s="243">
        <f t="shared" si="24"/>
        <v>1</v>
      </c>
      <c r="S18" s="122"/>
      <c r="T18" s="244">
        <f t="shared" si="9"/>
        <v>1.7776000000000001E-3</v>
      </c>
      <c r="U18" s="246">
        <f t="shared" si="14"/>
        <v>0.10878912</v>
      </c>
      <c r="V18" s="246">
        <f t="shared" si="15"/>
        <v>0</v>
      </c>
      <c r="W18" s="246">
        <f t="shared" si="16"/>
        <v>4.1000000000000002E-2</v>
      </c>
      <c r="X18" s="246">
        <f t="shared" si="17"/>
        <v>0</v>
      </c>
      <c r="Y18" s="246">
        <f t="shared" si="18"/>
        <v>0</v>
      </c>
      <c r="Z18" s="246">
        <f t="shared" si="10"/>
        <v>0.14978912</v>
      </c>
      <c r="AA18" s="247">
        <f t="shared" si="11"/>
        <v>0.10199910198039892</v>
      </c>
      <c r="AB18" s="122"/>
      <c r="AC18" s="244">
        <f t="shared" si="19"/>
        <v>0</v>
      </c>
      <c r="AD18" s="245">
        <f t="shared" si="20"/>
        <v>0</v>
      </c>
      <c r="AE18" s="245">
        <f t="shared" si="21"/>
        <v>617.1</v>
      </c>
      <c r="AF18" s="245">
        <f t="shared" si="22"/>
        <v>0</v>
      </c>
      <c r="AG18" s="245">
        <f t="shared" si="23"/>
        <v>0</v>
      </c>
      <c r="AH18" s="245">
        <f t="shared" si="12"/>
        <v>617.1</v>
      </c>
      <c r="AI18" s="247">
        <f t="shared" si="13"/>
        <v>420.21507190979008</v>
      </c>
      <c r="AK18" s="259"/>
      <c r="AL18" s="59"/>
      <c r="AM18" s="59"/>
    </row>
    <row r="19" spans="1:39">
      <c r="A19" s="122"/>
      <c r="B19" s="241">
        <v>15</v>
      </c>
      <c r="C19" s="248">
        <f>'Other parameters'!$D$18</f>
        <v>1.9608E-3</v>
      </c>
      <c r="D19" s="242">
        <f>'Other parameters'!$G$18</f>
        <v>56.7</v>
      </c>
      <c r="E19" s="248">
        <f t="shared" si="0"/>
        <v>4.194E-4</v>
      </c>
      <c r="F19" s="248">
        <f t="shared" si="1"/>
        <v>0.10631249999999999</v>
      </c>
      <c r="G19" s="248">
        <f t="shared" si="2"/>
        <v>0</v>
      </c>
      <c r="H19" s="249">
        <f t="shared" si="3"/>
        <v>0.66111780581861923</v>
      </c>
      <c r="I19" s="122"/>
      <c r="J19" s="244">
        <v>0</v>
      </c>
      <c r="K19" s="245">
        <v>0</v>
      </c>
      <c r="L19" s="245">
        <v>0</v>
      </c>
      <c r="M19" s="245">
        <v>0</v>
      </c>
      <c r="N19" s="245">
        <f t="shared" si="4"/>
        <v>1</v>
      </c>
      <c r="O19" s="245">
        <f t="shared" si="5"/>
        <v>0</v>
      </c>
      <c r="P19" s="245">
        <f t="shared" si="6"/>
        <v>0</v>
      </c>
      <c r="Q19" s="245">
        <f t="shared" si="7"/>
        <v>0</v>
      </c>
      <c r="R19" s="243">
        <f t="shared" si="24"/>
        <v>1</v>
      </c>
      <c r="S19" s="250"/>
      <c r="T19" s="244">
        <f t="shared" si="9"/>
        <v>1.9608E-3</v>
      </c>
      <c r="U19" s="246">
        <f t="shared" si="14"/>
        <v>0.11117736</v>
      </c>
      <c r="V19" s="246">
        <f t="shared" si="15"/>
        <v>0</v>
      </c>
      <c r="W19" s="246">
        <f t="shared" si="16"/>
        <v>4.1000000000000002E-2</v>
      </c>
      <c r="X19" s="246">
        <f t="shared" si="17"/>
        <v>0</v>
      </c>
      <c r="Y19" s="246">
        <f t="shared" si="18"/>
        <v>0</v>
      </c>
      <c r="Z19" s="246">
        <f t="shared" si="10"/>
        <v>0.15217736000000001</v>
      </c>
      <c r="AA19" s="247">
        <f t="shared" si="11"/>
        <v>0.10060716233847013</v>
      </c>
      <c r="AB19" s="122"/>
      <c r="AC19" s="244">
        <f t="shared" si="19"/>
        <v>0</v>
      </c>
      <c r="AD19" s="245">
        <f t="shared" si="20"/>
        <v>0</v>
      </c>
      <c r="AE19" s="245">
        <f t="shared" si="21"/>
        <v>617.1</v>
      </c>
      <c r="AF19" s="245">
        <f t="shared" si="22"/>
        <v>0</v>
      </c>
      <c r="AG19" s="245">
        <f t="shared" si="23"/>
        <v>0</v>
      </c>
      <c r="AH19" s="245">
        <f t="shared" si="12"/>
        <v>617.1</v>
      </c>
      <c r="AI19" s="247">
        <f t="shared" si="13"/>
        <v>407.97579797066993</v>
      </c>
      <c r="AK19" s="259"/>
      <c r="AL19" s="59"/>
      <c r="AM19" s="59"/>
    </row>
    <row r="20" spans="1:39">
      <c r="A20" s="122"/>
      <c r="B20" s="241">
        <v>16</v>
      </c>
      <c r="C20" s="248">
        <f>'Other parameters'!$D$18</f>
        <v>1.9608E-3</v>
      </c>
      <c r="D20" s="242">
        <f>'Other parameters'!$G$18</f>
        <v>56.7</v>
      </c>
      <c r="E20" s="248">
        <f t="shared" ref="E20:E39" si="25">IF(B20&lt;rf1age,0,(pA1_3a*EXP(-0.1*(B20-$B$19))))</f>
        <v>3.7948881312428143E-4</v>
      </c>
      <c r="F20" s="248">
        <f t="shared" si="1"/>
        <v>0.10631249999999999</v>
      </c>
      <c r="G20" s="248">
        <f t="shared" si="2"/>
        <v>0</v>
      </c>
      <c r="H20" s="249">
        <f t="shared" si="3"/>
        <v>0.64186194739671765</v>
      </c>
      <c r="I20" s="122"/>
      <c r="J20" s="244">
        <v>0</v>
      </c>
      <c r="K20" s="245">
        <v>0</v>
      </c>
      <c r="L20" s="245">
        <v>0</v>
      </c>
      <c r="M20" s="245">
        <v>0</v>
      </c>
      <c r="N20" s="245">
        <f t="shared" si="4"/>
        <v>1</v>
      </c>
      <c r="O20" s="245">
        <f t="shared" si="5"/>
        <v>0</v>
      </c>
      <c r="P20" s="245">
        <f t="shared" si="6"/>
        <v>0</v>
      </c>
      <c r="Q20" s="245">
        <f t="shared" si="7"/>
        <v>0</v>
      </c>
      <c r="R20" s="243">
        <f t="shared" si="24"/>
        <v>1</v>
      </c>
      <c r="S20" s="250"/>
      <c r="T20" s="244">
        <f t="shared" si="9"/>
        <v>1.9608E-3</v>
      </c>
      <c r="U20" s="246">
        <f t="shared" si="14"/>
        <v>0.11117736</v>
      </c>
      <c r="V20" s="246">
        <f t="shared" si="15"/>
        <v>0</v>
      </c>
      <c r="W20" s="246">
        <f t="shared" si="16"/>
        <v>4.1000000000000002E-2</v>
      </c>
      <c r="X20" s="246">
        <f t="shared" si="17"/>
        <v>0</v>
      </c>
      <c r="Y20" s="246">
        <f t="shared" si="18"/>
        <v>0</v>
      </c>
      <c r="Z20" s="246">
        <f t="shared" si="10"/>
        <v>0.15217736000000001</v>
      </c>
      <c r="AA20" s="247">
        <f t="shared" si="11"/>
        <v>9.7676856639291376E-2</v>
      </c>
      <c r="AB20" s="122"/>
      <c r="AC20" s="244">
        <f t="shared" si="19"/>
        <v>0</v>
      </c>
      <c r="AD20" s="245">
        <f t="shared" si="20"/>
        <v>0</v>
      </c>
      <c r="AE20" s="245">
        <f t="shared" si="21"/>
        <v>617.1</v>
      </c>
      <c r="AF20" s="245">
        <f t="shared" si="22"/>
        <v>0</v>
      </c>
      <c r="AG20" s="245">
        <f t="shared" si="23"/>
        <v>0</v>
      </c>
      <c r="AH20" s="245">
        <f t="shared" si="12"/>
        <v>617.1</v>
      </c>
      <c r="AI20" s="247">
        <f t="shared" si="13"/>
        <v>396.09300773851447</v>
      </c>
      <c r="AK20" s="259"/>
      <c r="AL20" s="59"/>
      <c r="AM20" s="59"/>
    </row>
    <row r="21" spans="1:39">
      <c r="A21" s="122"/>
      <c r="B21" s="241">
        <v>17</v>
      </c>
      <c r="C21" s="248">
        <f>'Other parameters'!$D$18</f>
        <v>1.9608E-3</v>
      </c>
      <c r="D21" s="242">
        <f>'Other parameters'!$G$18</f>
        <v>56.7</v>
      </c>
      <c r="E21" s="248">
        <f t="shared" si="25"/>
        <v>3.4337567784090557E-4</v>
      </c>
      <c r="F21" s="248">
        <f t="shared" si="1"/>
        <v>0.10631249999999999</v>
      </c>
      <c r="G21" s="248">
        <f t="shared" si="2"/>
        <v>0</v>
      </c>
      <c r="H21" s="249">
        <f t="shared" si="3"/>
        <v>0.62316693922011435</v>
      </c>
      <c r="I21" s="122"/>
      <c r="J21" s="244">
        <v>0</v>
      </c>
      <c r="K21" s="245">
        <v>0</v>
      </c>
      <c r="L21" s="245">
        <v>0</v>
      </c>
      <c r="M21" s="245">
        <v>0</v>
      </c>
      <c r="N21" s="245">
        <f t="shared" si="4"/>
        <v>1</v>
      </c>
      <c r="O21" s="245">
        <f t="shared" si="5"/>
        <v>0</v>
      </c>
      <c r="P21" s="245">
        <f t="shared" si="6"/>
        <v>0</v>
      </c>
      <c r="Q21" s="245">
        <f t="shared" si="7"/>
        <v>0</v>
      </c>
      <c r="R21" s="243">
        <f t="shared" si="24"/>
        <v>1</v>
      </c>
      <c r="S21" s="250"/>
      <c r="T21" s="244">
        <f t="shared" si="9"/>
        <v>1.9608E-3</v>
      </c>
      <c r="U21" s="246">
        <f t="shared" si="14"/>
        <v>0.11117736</v>
      </c>
      <c r="V21" s="246">
        <f t="shared" si="15"/>
        <v>0</v>
      </c>
      <c r="W21" s="246">
        <f t="shared" si="16"/>
        <v>4.1000000000000002E-2</v>
      </c>
      <c r="X21" s="246">
        <f t="shared" si="17"/>
        <v>0</v>
      </c>
      <c r="Y21" s="246">
        <f t="shared" si="18"/>
        <v>0</v>
      </c>
      <c r="Z21" s="246">
        <f t="shared" si="10"/>
        <v>0.15217736000000001</v>
      </c>
      <c r="AA21" s="247">
        <f t="shared" si="11"/>
        <v>9.4831899649797463E-2</v>
      </c>
      <c r="AB21" s="122"/>
      <c r="AC21" s="244">
        <f t="shared" si="19"/>
        <v>0</v>
      </c>
      <c r="AD21" s="245">
        <f t="shared" si="20"/>
        <v>0</v>
      </c>
      <c r="AE21" s="245">
        <f t="shared" si="21"/>
        <v>617.1</v>
      </c>
      <c r="AF21" s="245">
        <f t="shared" si="22"/>
        <v>0</v>
      </c>
      <c r="AG21" s="245">
        <f t="shared" si="23"/>
        <v>0</v>
      </c>
      <c r="AH21" s="245">
        <f t="shared" si="12"/>
        <v>617.1</v>
      </c>
      <c r="AI21" s="247">
        <f t="shared" si="13"/>
        <v>384.55631819273259</v>
      </c>
      <c r="AK21" s="259"/>
      <c r="AL21" s="59"/>
      <c r="AM21" s="59"/>
    </row>
    <row r="22" spans="1:39">
      <c r="A22" s="122"/>
      <c r="B22" s="241">
        <v>18</v>
      </c>
      <c r="C22" s="248">
        <f>'Other parameters'!$D$18</f>
        <v>1.9608E-3</v>
      </c>
      <c r="D22" s="242">
        <f>'Other parameters'!$G$18</f>
        <v>56.7</v>
      </c>
      <c r="E22" s="248">
        <f t="shared" si="25"/>
        <v>3.1069916175391246E-4</v>
      </c>
      <c r="F22" s="248">
        <f t="shared" si="1"/>
        <v>0.10631249999999999</v>
      </c>
      <c r="G22" s="248">
        <f t="shared" si="2"/>
        <v>0</v>
      </c>
      <c r="H22" s="249">
        <f t="shared" si="3"/>
        <v>0.60501644584477121</v>
      </c>
      <c r="I22" s="122"/>
      <c r="J22" s="244">
        <v>0</v>
      </c>
      <c r="K22" s="245">
        <v>0</v>
      </c>
      <c r="L22" s="245">
        <v>0</v>
      </c>
      <c r="M22" s="245">
        <v>0</v>
      </c>
      <c r="N22" s="245">
        <f t="shared" si="4"/>
        <v>1</v>
      </c>
      <c r="O22" s="245">
        <f t="shared" si="5"/>
        <v>0</v>
      </c>
      <c r="P22" s="245">
        <f t="shared" si="6"/>
        <v>0</v>
      </c>
      <c r="Q22" s="245">
        <f t="shared" si="7"/>
        <v>0</v>
      </c>
      <c r="R22" s="243">
        <f t="shared" si="24"/>
        <v>1</v>
      </c>
      <c r="S22" s="250"/>
      <c r="T22" s="244">
        <f t="shared" si="9"/>
        <v>1.9608E-3</v>
      </c>
      <c r="U22" s="246">
        <f t="shared" si="14"/>
        <v>0.11117736</v>
      </c>
      <c r="V22" s="246">
        <f t="shared" si="15"/>
        <v>0</v>
      </c>
      <c r="W22" s="246">
        <f t="shared" si="16"/>
        <v>4.1000000000000002E-2</v>
      </c>
      <c r="X22" s="246">
        <f t="shared" si="17"/>
        <v>0</v>
      </c>
      <c r="Y22" s="246">
        <f t="shared" si="18"/>
        <v>0</v>
      </c>
      <c r="Z22" s="246">
        <f t="shared" si="10"/>
        <v>0.15217736000000001</v>
      </c>
      <c r="AA22" s="247">
        <f t="shared" si="11"/>
        <v>9.2069805485240255E-2</v>
      </c>
      <c r="AB22" s="122"/>
      <c r="AC22" s="244">
        <f t="shared" si="19"/>
        <v>0</v>
      </c>
      <c r="AD22" s="245">
        <f t="shared" si="20"/>
        <v>0</v>
      </c>
      <c r="AE22" s="245">
        <f t="shared" si="21"/>
        <v>617.1</v>
      </c>
      <c r="AF22" s="245">
        <f t="shared" si="22"/>
        <v>0</v>
      </c>
      <c r="AG22" s="245">
        <f t="shared" si="23"/>
        <v>0</v>
      </c>
      <c r="AH22" s="245">
        <f t="shared" si="12"/>
        <v>617.1</v>
      </c>
      <c r="AI22" s="247">
        <f t="shared" si="13"/>
        <v>373.35564873080835</v>
      </c>
      <c r="AK22" s="259"/>
      <c r="AL22" s="59"/>
      <c r="AM22" s="59"/>
    </row>
    <row r="23" spans="1:39">
      <c r="A23" s="122"/>
      <c r="B23" s="241">
        <v>19</v>
      </c>
      <c r="C23" s="248">
        <f>'Other parameters'!$D$18</f>
        <v>1.9608E-3</v>
      </c>
      <c r="D23" s="242">
        <f>'Other parameters'!$G$18</f>
        <v>56.7</v>
      </c>
      <c r="E23" s="248">
        <f t="shared" si="25"/>
        <v>2.8113222730734712E-4</v>
      </c>
      <c r="F23" s="248">
        <f t="shared" si="1"/>
        <v>0.10631249999999999</v>
      </c>
      <c r="G23" s="248">
        <f t="shared" si="2"/>
        <v>0</v>
      </c>
      <c r="H23" s="249">
        <f t="shared" si="3"/>
        <v>0.5873946076162827</v>
      </c>
      <c r="I23" s="122"/>
      <c r="J23" s="244">
        <v>0</v>
      </c>
      <c r="K23" s="245">
        <v>0</v>
      </c>
      <c r="L23" s="245">
        <v>0</v>
      </c>
      <c r="M23" s="245">
        <v>0</v>
      </c>
      <c r="N23" s="245">
        <f t="shared" si="4"/>
        <v>1</v>
      </c>
      <c r="O23" s="245">
        <f t="shared" si="5"/>
        <v>0</v>
      </c>
      <c r="P23" s="245">
        <f t="shared" si="6"/>
        <v>0</v>
      </c>
      <c r="Q23" s="245">
        <f t="shared" si="7"/>
        <v>0</v>
      </c>
      <c r="R23" s="243">
        <f t="shared" si="24"/>
        <v>1</v>
      </c>
      <c r="S23" s="250"/>
      <c r="T23" s="244">
        <f t="shared" si="9"/>
        <v>1.9608E-3</v>
      </c>
      <c r="U23" s="246">
        <f t="shared" si="14"/>
        <v>0.11117736</v>
      </c>
      <c r="V23" s="246">
        <f t="shared" si="15"/>
        <v>0</v>
      </c>
      <c r="W23" s="246">
        <f t="shared" si="16"/>
        <v>4.1000000000000002E-2</v>
      </c>
      <c r="X23" s="246">
        <f t="shared" si="17"/>
        <v>0</v>
      </c>
      <c r="Y23" s="246">
        <f t="shared" si="18"/>
        <v>0</v>
      </c>
      <c r="Z23" s="246">
        <f t="shared" si="10"/>
        <v>0.15217736000000001</v>
      </c>
      <c r="AA23" s="247">
        <f t="shared" si="11"/>
        <v>8.9388160665281796E-2</v>
      </c>
      <c r="AB23" s="122"/>
      <c r="AC23" s="244">
        <f t="shared" si="19"/>
        <v>0</v>
      </c>
      <c r="AD23" s="245">
        <f t="shared" si="20"/>
        <v>0</v>
      </c>
      <c r="AE23" s="245">
        <f t="shared" si="21"/>
        <v>617.1</v>
      </c>
      <c r="AF23" s="245">
        <f t="shared" si="22"/>
        <v>0</v>
      </c>
      <c r="AG23" s="245">
        <f t="shared" si="23"/>
        <v>0</v>
      </c>
      <c r="AH23" s="245">
        <f t="shared" si="12"/>
        <v>617.1</v>
      </c>
      <c r="AI23" s="247">
        <f t="shared" si="13"/>
        <v>362.48121236000804</v>
      </c>
      <c r="AK23" s="259"/>
      <c r="AL23" s="59"/>
      <c r="AM23" s="59"/>
    </row>
    <row r="24" spans="1:39">
      <c r="A24" s="122"/>
      <c r="B24" s="241">
        <v>20</v>
      </c>
      <c r="C24" s="248">
        <f>'Other parameters'!$D$19</f>
        <v>2.3103999999999998E-3</v>
      </c>
      <c r="D24" s="242">
        <f>'Other parameters'!$G$19</f>
        <v>52.3</v>
      </c>
      <c r="E24" s="248">
        <f t="shared" si="25"/>
        <v>2.5437895868347845E-4</v>
      </c>
      <c r="F24" s="248">
        <f t="shared" si="1"/>
        <v>0.10631249999999999</v>
      </c>
      <c r="G24" s="248">
        <f t="shared" si="2"/>
        <v>0</v>
      </c>
      <c r="H24" s="249">
        <f t="shared" si="3"/>
        <v>0.57028602681192497</v>
      </c>
      <c r="I24" s="122"/>
      <c r="J24" s="244">
        <v>0</v>
      </c>
      <c r="K24" s="245">
        <v>0</v>
      </c>
      <c r="L24" s="245">
        <v>0</v>
      </c>
      <c r="M24" s="245">
        <v>0</v>
      </c>
      <c r="N24" s="245">
        <f t="shared" si="4"/>
        <v>1</v>
      </c>
      <c r="O24" s="245">
        <f t="shared" si="5"/>
        <v>0</v>
      </c>
      <c r="P24" s="245">
        <f t="shared" si="6"/>
        <v>0</v>
      </c>
      <c r="Q24" s="245">
        <f t="shared" si="7"/>
        <v>0</v>
      </c>
      <c r="R24" s="243">
        <f t="shared" si="24"/>
        <v>1</v>
      </c>
      <c r="S24" s="250"/>
      <c r="T24" s="244">
        <f t="shared" si="9"/>
        <v>2.3103999999999998E-3</v>
      </c>
      <c r="U24" s="246">
        <f t="shared" si="14"/>
        <v>0.12083391999999998</v>
      </c>
      <c r="V24" s="246">
        <f t="shared" si="15"/>
        <v>0</v>
      </c>
      <c r="W24" s="246">
        <f t="shared" si="16"/>
        <v>4.1000000000000002E-2</v>
      </c>
      <c r="X24" s="246">
        <f t="shared" si="17"/>
        <v>0</v>
      </c>
      <c r="Y24" s="246">
        <f t="shared" si="18"/>
        <v>0</v>
      </c>
      <c r="Z24" s="246">
        <f t="shared" si="10"/>
        <v>0.16183391999999999</v>
      </c>
      <c r="AA24" s="247">
        <f t="shared" si="11"/>
        <v>9.2291623240198919E-2</v>
      </c>
      <c r="AB24" s="122"/>
      <c r="AC24" s="244">
        <f t="shared" si="19"/>
        <v>0</v>
      </c>
      <c r="AD24" s="245">
        <f t="shared" si="20"/>
        <v>0</v>
      </c>
      <c r="AE24" s="245">
        <f t="shared" si="21"/>
        <v>617.1</v>
      </c>
      <c r="AF24" s="245">
        <f t="shared" si="22"/>
        <v>0</v>
      </c>
      <c r="AG24" s="245">
        <f t="shared" si="23"/>
        <v>0</v>
      </c>
      <c r="AH24" s="245">
        <f t="shared" si="12"/>
        <v>617.1</v>
      </c>
      <c r="AI24" s="247">
        <f t="shared" si="13"/>
        <v>351.92350714563889</v>
      </c>
      <c r="AK24" s="259"/>
      <c r="AL24" s="59"/>
      <c r="AM24" s="59"/>
    </row>
    <row r="25" spans="1:39">
      <c r="A25" s="122"/>
      <c r="B25" s="241">
        <v>21</v>
      </c>
      <c r="C25" s="248">
        <f>'Other parameters'!$D$19</f>
        <v>2.3103999999999998E-3</v>
      </c>
      <c r="D25" s="242">
        <f>'Other parameters'!$G$19</f>
        <v>52.3</v>
      </c>
      <c r="E25" s="248">
        <f t="shared" si="25"/>
        <v>2.3017160017783467E-4</v>
      </c>
      <c r="F25" s="248">
        <f t="shared" si="1"/>
        <v>0.10631249999999999</v>
      </c>
      <c r="G25" s="248">
        <f t="shared" si="2"/>
        <v>0</v>
      </c>
      <c r="H25" s="249">
        <f t="shared" si="3"/>
        <v>0.55367575418633497</v>
      </c>
      <c r="I25" s="122"/>
      <c r="J25" s="244">
        <v>0</v>
      </c>
      <c r="K25" s="245">
        <v>0</v>
      </c>
      <c r="L25" s="245">
        <v>0</v>
      </c>
      <c r="M25" s="245">
        <v>0</v>
      </c>
      <c r="N25" s="245">
        <f t="shared" si="4"/>
        <v>1</v>
      </c>
      <c r="O25" s="245">
        <f t="shared" si="5"/>
        <v>0</v>
      </c>
      <c r="P25" s="245">
        <f t="shared" si="6"/>
        <v>0</v>
      </c>
      <c r="Q25" s="245">
        <f t="shared" si="7"/>
        <v>0</v>
      </c>
      <c r="R25" s="243">
        <f t="shared" si="24"/>
        <v>1</v>
      </c>
      <c r="S25" s="250"/>
      <c r="T25" s="244">
        <f t="shared" si="9"/>
        <v>2.3103999999999998E-3</v>
      </c>
      <c r="U25" s="246">
        <f t="shared" si="14"/>
        <v>0.12083391999999998</v>
      </c>
      <c r="V25" s="246">
        <f t="shared" si="15"/>
        <v>0</v>
      </c>
      <c r="W25" s="246">
        <f t="shared" si="16"/>
        <v>4.1000000000000002E-2</v>
      </c>
      <c r="X25" s="246">
        <f t="shared" si="17"/>
        <v>0</v>
      </c>
      <c r="Y25" s="246">
        <f t="shared" si="18"/>
        <v>0</v>
      </c>
      <c r="Z25" s="246">
        <f t="shared" si="10"/>
        <v>0.16183391999999999</v>
      </c>
      <c r="AA25" s="247">
        <f t="shared" si="11"/>
        <v>8.9603517708930991E-2</v>
      </c>
      <c r="AB25" s="122"/>
      <c r="AC25" s="244">
        <f t="shared" si="19"/>
        <v>0</v>
      </c>
      <c r="AD25" s="245">
        <f t="shared" si="20"/>
        <v>0</v>
      </c>
      <c r="AE25" s="245">
        <f t="shared" si="21"/>
        <v>617.1</v>
      </c>
      <c r="AF25" s="245">
        <f t="shared" si="22"/>
        <v>0</v>
      </c>
      <c r="AG25" s="245">
        <f t="shared" si="23"/>
        <v>0</v>
      </c>
      <c r="AH25" s="245">
        <f t="shared" si="12"/>
        <v>617.1</v>
      </c>
      <c r="AI25" s="247">
        <f t="shared" si="13"/>
        <v>341.6733079083873</v>
      </c>
      <c r="AK25" s="259"/>
      <c r="AL25" s="59"/>
      <c r="AM25" s="59"/>
    </row>
    <row r="26" spans="1:39">
      <c r="A26" s="122"/>
      <c r="B26" s="241">
        <v>22</v>
      </c>
      <c r="C26" s="248">
        <f>'Other parameters'!$D$19</f>
        <v>2.3103999999999998E-3</v>
      </c>
      <c r="D26" s="242">
        <f>'Other parameters'!$G$19</f>
        <v>52.3</v>
      </c>
      <c r="E26" s="248">
        <f t="shared" si="25"/>
        <v>2.0826787641011713E-4</v>
      </c>
      <c r="F26" s="248">
        <f t="shared" si="1"/>
        <v>0.10631249999999999</v>
      </c>
      <c r="G26" s="248">
        <f t="shared" si="2"/>
        <v>0</v>
      </c>
      <c r="H26" s="249">
        <f t="shared" si="3"/>
        <v>0.5375492759090631</v>
      </c>
      <c r="I26" s="122"/>
      <c r="J26" s="244">
        <v>0</v>
      </c>
      <c r="K26" s="245">
        <v>0</v>
      </c>
      <c r="L26" s="245">
        <v>0</v>
      </c>
      <c r="M26" s="245">
        <v>0</v>
      </c>
      <c r="N26" s="245">
        <f t="shared" si="4"/>
        <v>1</v>
      </c>
      <c r="O26" s="245">
        <f t="shared" si="5"/>
        <v>0</v>
      </c>
      <c r="P26" s="245">
        <f t="shared" si="6"/>
        <v>0</v>
      </c>
      <c r="Q26" s="245">
        <f t="shared" si="7"/>
        <v>0</v>
      </c>
      <c r="R26" s="243">
        <f t="shared" si="24"/>
        <v>1</v>
      </c>
      <c r="S26" s="250"/>
      <c r="T26" s="244">
        <f t="shared" si="9"/>
        <v>2.3103999999999998E-3</v>
      </c>
      <c r="U26" s="246">
        <f t="shared" si="14"/>
        <v>0.12083391999999998</v>
      </c>
      <c r="V26" s="246">
        <f t="shared" si="15"/>
        <v>0</v>
      </c>
      <c r="W26" s="246">
        <f t="shared" si="16"/>
        <v>4.1000000000000002E-2</v>
      </c>
      <c r="X26" s="246">
        <f t="shared" si="17"/>
        <v>0</v>
      </c>
      <c r="Y26" s="246">
        <f t="shared" si="18"/>
        <v>0</v>
      </c>
      <c r="Z26" s="246">
        <f t="shared" si="10"/>
        <v>0.16183391999999999</v>
      </c>
      <c r="AA26" s="247">
        <f t="shared" si="11"/>
        <v>8.699370651352524E-2</v>
      </c>
      <c r="AB26" s="122"/>
      <c r="AC26" s="244">
        <f t="shared" si="19"/>
        <v>0</v>
      </c>
      <c r="AD26" s="245">
        <f t="shared" si="20"/>
        <v>0</v>
      </c>
      <c r="AE26" s="245">
        <f t="shared" si="21"/>
        <v>617.1</v>
      </c>
      <c r="AF26" s="245">
        <f t="shared" si="22"/>
        <v>0</v>
      </c>
      <c r="AG26" s="245">
        <f t="shared" si="23"/>
        <v>0</v>
      </c>
      <c r="AH26" s="245">
        <f t="shared" si="12"/>
        <v>617.1</v>
      </c>
      <c r="AI26" s="247">
        <f t="shared" si="13"/>
        <v>331.72165816348286</v>
      </c>
      <c r="AK26" s="259"/>
      <c r="AL26" s="59"/>
      <c r="AM26" s="59"/>
    </row>
    <row r="27" spans="1:39">
      <c r="A27" s="122"/>
      <c r="B27" s="241">
        <v>23</v>
      </c>
      <c r="C27" s="248">
        <f>'Other parameters'!$D$19</f>
        <v>2.3103999999999998E-3</v>
      </c>
      <c r="D27" s="242">
        <f>'Other parameters'!$G$19</f>
        <v>52.3</v>
      </c>
      <c r="E27" s="248">
        <f t="shared" si="25"/>
        <v>1.8844856755076273E-4</v>
      </c>
      <c r="F27" s="248">
        <f t="shared" si="1"/>
        <v>0.10631249999999999</v>
      </c>
      <c r="G27" s="248">
        <f t="shared" si="2"/>
        <v>0</v>
      </c>
      <c r="H27" s="249">
        <f t="shared" si="3"/>
        <v>0.52189250088258554</v>
      </c>
      <c r="I27" s="122"/>
      <c r="J27" s="244">
        <v>0</v>
      </c>
      <c r="K27" s="245">
        <v>0</v>
      </c>
      <c r="L27" s="245">
        <v>0</v>
      </c>
      <c r="M27" s="245">
        <v>0</v>
      </c>
      <c r="N27" s="245">
        <f t="shared" si="4"/>
        <v>1</v>
      </c>
      <c r="O27" s="245">
        <f t="shared" si="5"/>
        <v>0</v>
      </c>
      <c r="P27" s="245">
        <f t="shared" si="6"/>
        <v>0</v>
      </c>
      <c r="Q27" s="245">
        <f t="shared" si="7"/>
        <v>0</v>
      </c>
      <c r="R27" s="243">
        <f t="shared" si="24"/>
        <v>1</v>
      </c>
      <c r="S27" s="250"/>
      <c r="T27" s="244">
        <f t="shared" si="9"/>
        <v>2.3103999999999998E-3</v>
      </c>
      <c r="U27" s="246">
        <f t="shared" si="14"/>
        <v>0.12083391999999998</v>
      </c>
      <c r="V27" s="246">
        <f t="shared" si="15"/>
        <v>0</v>
      </c>
      <c r="W27" s="246">
        <f t="shared" si="16"/>
        <v>4.1000000000000002E-2</v>
      </c>
      <c r="X27" s="246">
        <f t="shared" si="17"/>
        <v>0</v>
      </c>
      <c r="Y27" s="246">
        <f t="shared" si="18"/>
        <v>0</v>
      </c>
      <c r="Z27" s="246">
        <f t="shared" si="10"/>
        <v>0.16183391999999999</v>
      </c>
      <c r="AA27" s="247">
        <f t="shared" si="11"/>
        <v>8.4459909236432276E-2</v>
      </c>
      <c r="AB27" s="122"/>
      <c r="AC27" s="244">
        <f t="shared" si="19"/>
        <v>0</v>
      </c>
      <c r="AD27" s="245">
        <f t="shared" si="20"/>
        <v>0</v>
      </c>
      <c r="AE27" s="245">
        <f t="shared" si="21"/>
        <v>617.1</v>
      </c>
      <c r="AF27" s="245">
        <f t="shared" si="22"/>
        <v>0</v>
      </c>
      <c r="AG27" s="245">
        <f t="shared" si="23"/>
        <v>0</v>
      </c>
      <c r="AH27" s="245">
        <f t="shared" si="12"/>
        <v>617.1</v>
      </c>
      <c r="AI27" s="247">
        <f t="shared" si="13"/>
        <v>322.05986229464355</v>
      </c>
      <c r="AK27" s="259"/>
      <c r="AL27" s="59"/>
      <c r="AM27" s="59"/>
    </row>
    <row r="28" spans="1:39">
      <c r="A28" s="122"/>
      <c r="B28" s="241">
        <v>24</v>
      </c>
      <c r="C28" s="248">
        <f>'Other parameters'!$D$19</f>
        <v>2.3103999999999998E-3</v>
      </c>
      <c r="D28" s="242">
        <f>'Other parameters'!$G$19</f>
        <v>52.3</v>
      </c>
      <c r="E28" s="248">
        <f t="shared" si="25"/>
        <v>1.7051531529520728E-4</v>
      </c>
      <c r="F28" s="248">
        <f t="shared" si="1"/>
        <v>0.10631249999999999</v>
      </c>
      <c r="G28" s="248">
        <f t="shared" si="2"/>
        <v>8.0000000000000016E-2</v>
      </c>
      <c r="H28" s="249">
        <f t="shared" si="3"/>
        <v>0.50669174842969467</v>
      </c>
      <c r="I28" s="122"/>
      <c r="J28" s="244">
        <v>0</v>
      </c>
      <c r="K28" s="245">
        <v>0</v>
      </c>
      <c r="L28" s="245">
        <v>0</v>
      </c>
      <c r="M28" s="245">
        <v>0</v>
      </c>
      <c r="N28" s="245">
        <f t="shared" si="4"/>
        <v>0.9889711225391683</v>
      </c>
      <c r="O28" s="245">
        <f t="shared" si="5"/>
        <v>8.0231034247650879E-3</v>
      </c>
      <c r="P28" s="245">
        <f t="shared" si="6"/>
        <v>3.0057740360666108E-3</v>
      </c>
      <c r="Q28" s="245">
        <f t="shared" si="7"/>
        <v>0</v>
      </c>
      <c r="R28" s="243">
        <f t="shared" si="24"/>
        <v>1</v>
      </c>
      <c r="S28" s="250"/>
      <c r="T28" s="244">
        <f t="shared" si="9"/>
        <v>2.3103999999999998E-3</v>
      </c>
      <c r="U28" s="246">
        <f t="shared" si="14"/>
        <v>0.12083391999999998</v>
      </c>
      <c r="V28" s="246">
        <f t="shared" si="15"/>
        <v>0</v>
      </c>
      <c r="W28" s="246">
        <f t="shared" si="16"/>
        <v>4.0547816024105905E-2</v>
      </c>
      <c r="X28" s="246">
        <f t="shared" si="17"/>
        <v>1.4361355130329506E-3</v>
      </c>
      <c r="Y28" s="246">
        <f t="shared" si="18"/>
        <v>2.1040418252466278E-4</v>
      </c>
      <c r="Z28" s="246">
        <f t="shared" si="10"/>
        <v>0.1630282757196635</v>
      </c>
      <c r="AA28" s="247">
        <f t="shared" si="11"/>
        <v>8.2605082067874633E-2</v>
      </c>
      <c r="AB28" s="122"/>
      <c r="AC28" s="244">
        <f t="shared" si="19"/>
        <v>0</v>
      </c>
      <c r="AD28" s="245">
        <f t="shared" si="20"/>
        <v>0</v>
      </c>
      <c r="AE28" s="245">
        <f t="shared" si="21"/>
        <v>610.29407971892078</v>
      </c>
      <c r="AF28" s="245">
        <f t="shared" si="22"/>
        <v>7.6789122878426657</v>
      </c>
      <c r="AG28" s="245">
        <f t="shared" si="23"/>
        <v>1.8548631576567056</v>
      </c>
      <c r="AH28" s="245">
        <f t="shared" si="12"/>
        <v>619.82785516442016</v>
      </c>
      <c r="AI28" s="247">
        <f t="shared" si="13"/>
        <v>314.06165965868757</v>
      </c>
      <c r="AK28" s="259"/>
      <c r="AL28" s="59"/>
      <c r="AM28" s="59"/>
    </row>
    <row r="29" spans="1:39">
      <c r="A29" s="122"/>
      <c r="B29" s="241">
        <v>25</v>
      </c>
      <c r="C29" s="248">
        <f>'Other parameters'!$D$20</f>
        <v>2.8233999999999998E-3</v>
      </c>
      <c r="D29" s="242">
        <f>'Other parameters'!$G$20</f>
        <v>47.9</v>
      </c>
      <c r="E29" s="248">
        <f t="shared" si="25"/>
        <v>1.5428863762730291E-4</v>
      </c>
      <c r="F29" s="248">
        <f t="shared" ref="F29:F60" si="26">IF(B29&lt;rf2age,0,(pA2_3a*EXP(-0.1*(B29-$B$28))))</f>
        <v>9.6195528004947933E-2</v>
      </c>
      <c r="G29" s="248">
        <f t="shared" si="2"/>
        <v>8.0000000000000016E-2</v>
      </c>
      <c r="H29" s="249">
        <f t="shared" si="3"/>
        <v>0.49193373633950943</v>
      </c>
      <c r="I29" s="122"/>
      <c r="J29" s="244">
        <v>0</v>
      </c>
      <c r="K29" s="245">
        <v>0</v>
      </c>
      <c r="L29" s="245">
        <v>0</v>
      </c>
      <c r="M29" s="245">
        <v>0</v>
      </c>
      <c r="N29" s="245">
        <f t="shared" si="4"/>
        <v>0.97870572949036383</v>
      </c>
      <c r="O29" s="245">
        <f t="shared" si="5"/>
        <v>1.4312984822926018E-2</v>
      </c>
      <c r="P29" s="245">
        <f t="shared" si="6"/>
        <v>5.4764334945913689E-3</v>
      </c>
      <c r="Q29" s="245">
        <f t="shared" si="7"/>
        <v>1.50485219211876E-3</v>
      </c>
      <c r="R29" s="243">
        <f t="shared" si="24"/>
        <v>0.99999999999999989</v>
      </c>
      <c r="S29" s="250"/>
      <c r="T29" s="244">
        <f t="shared" si="9"/>
        <v>4.3282521921187596E-3</v>
      </c>
      <c r="U29" s="246">
        <f t="shared" si="14"/>
        <v>0.20732328000248859</v>
      </c>
      <c r="V29" s="246">
        <f t="shared" si="15"/>
        <v>0</v>
      </c>
      <c r="W29" s="246">
        <f t="shared" si="16"/>
        <v>4.0126934909104919E-2</v>
      </c>
      <c r="X29" s="246">
        <f t="shared" si="17"/>
        <v>2.5620242833037572E-3</v>
      </c>
      <c r="Y29" s="246">
        <f t="shared" si="18"/>
        <v>3.8335034462139584E-4</v>
      </c>
      <c r="Z29" s="246">
        <f t="shared" si="10"/>
        <v>0.25039558953951868</v>
      </c>
      <c r="AA29" s="247">
        <f t="shared" si="11"/>
        <v>0.1231780379251096</v>
      </c>
      <c r="AB29" s="122"/>
      <c r="AC29" s="244">
        <f t="shared" si="19"/>
        <v>0</v>
      </c>
      <c r="AD29" s="245">
        <f t="shared" si="20"/>
        <v>0</v>
      </c>
      <c r="AE29" s="245">
        <f t="shared" si="21"/>
        <v>603.95930566850359</v>
      </c>
      <c r="AF29" s="245">
        <f t="shared" si="22"/>
        <v>13.698957774022492</v>
      </c>
      <c r="AG29" s="245">
        <f t="shared" si="23"/>
        <v>3.3795071095123337</v>
      </c>
      <c r="AH29" s="245">
        <f t="shared" si="12"/>
        <v>621.03777055203841</v>
      </c>
      <c r="AI29" s="247">
        <f t="shared" si="13"/>
        <v>305.5094308756232</v>
      </c>
      <c r="AK29" s="259"/>
      <c r="AL29" s="59"/>
      <c r="AM29" s="59"/>
    </row>
    <row r="30" spans="1:39">
      <c r="A30" s="122"/>
      <c r="B30" s="241">
        <v>26</v>
      </c>
      <c r="C30" s="248">
        <f>'Other parameters'!$D$20</f>
        <v>2.8233999999999998E-3</v>
      </c>
      <c r="D30" s="242">
        <f>'Other parameters'!$G$20</f>
        <v>47.9</v>
      </c>
      <c r="E30" s="248">
        <f t="shared" si="25"/>
        <v>1.3960613250297457E-4</v>
      </c>
      <c r="F30" s="248">
        <f t="shared" si="26"/>
        <v>8.7041313186602937E-2</v>
      </c>
      <c r="G30" s="248">
        <f t="shared" si="2"/>
        <v>8.0000000000000016E-2</v>
      </c>
      <c r="H30" s="249">
        <f t="shared" si="3"/>
        <v>0.47760556926165965</v>
      </c>
      <c r="I30" s="122"/>
      <c r="J30" s="244">
        <v>0</v>
      </c>
      <c r="K30" s="245">
        <v>0</v>
      </c>
      <c r="L30" s="245">
        <v>0</v>
      </c>
      <c r="M30" s="245">
        <v>0</v>
      </c>
      <c r="N30" s="245">
        <f t="shared" si="4"/>
        <v>0.96905674271543474</v>
      </c>
      <c r="O30" s="245">
        <f t="shared" si="5"/>
        <v>1.9231080224337532E-2</v>
      </c>
      <c r="P30" s="245">
        <f t="shared" si="6"/>
        <v>7.5036373716463774E-3</v>
      </c>
      <c r="Q30" s="245">
        <f t="shared" si="7"/>
        <v>4.2085396885812709E-3</v>
      </c>
      <c r="R30" s="243">
        <f t="shared" si="24"/>
        <v>0.99999999999999989</v>
      </c>
      <c r="S30" s="250"/>
      <c r="T30" s="244">
        <f t="shared" si="9"/>
        <v>5.5270874964625108E-3</v>
      </c>
      <c r="U30" s="246">
        <f t="shared" si="14"/>
        <v>0.26474749108055429</v>
      </c>
      <c r="V30" s="246">
        <f t="shared" si="15"/>
        <v>0</v>
      </c>
      <c r="W30" s="246">
        <f t="shared" si="16"/>
        <v>3.9731326451332823E-2</v>
      </c>
      <c r="X30" s="246">
        <f t="shared" si="17"/>
        <v>3.4423633601564181E-3</v>
      </c>
      <c r="Y30" s="246">
        <f t="shared" si="18"/>
        <v>5.2525461601524647E-4</v>
      </c>
      <c r="Z30" s="246">
        <f t="shared" si="10"/>
        <v>0.30844643550805878</v>
      </c>
      <c r="AA30" s="247">
        <f t="shared" si="11"/>
        <v>0.14731573541755622</v>
      </c>
      <c r="AB30" s="122"/>
      <c r="AC30" s="244">
        <f t="shared" si="19"/>
        <v>0</v>
      </c>
      <c r="AD30" s="245">
        <f t="shared" si="20"/>
        <v>0</v>
      </c>
      <c r="AE30" s="245">
        <f t="shared" si="21"/>
        <v>598.00491592969479</v>
      </c>
      <c r="AF30" s="245">
        <f t="shared" si="22"/>
        <v>18.406066882713453</v>
      </c>
      <c r="AG30" s="245">
        <f t="shared" si="23"/>
        <v>4.6304946220429795</v>
      </c>
      <c r="AH30" s="245">
        <f t="shared" si="12"/>
        <v>621.04147743445128</v>
      </c>
      <c r="AI30" s="247">
        <f t="shared" si="13"/>
        <v>296.61286836518326</v>
      </c>
      <c r="AK30" s="259"/>
      <c r="AL30" s="59"/>
      <c r="AM30" s="59"/>
    </row>
    <row r="31" spans="1:39">
      <c r="A31" s="122"/>
      <c r="B31" s="241">
        <v>27</v>
      </c>
      <c r="C31" s="248">
        <f>'Other parameters'!$D$20</f>
        <v>2.8233999999999998E-3</v>
      </c>
      <c r="D31" s="242">
        <f>'Other parameters'!$G$20</f>
        <v>47.9</v>
      </c>
      <c r="E31" s="248">
        <f t="shared" si="25"/>
        <v>1.2632085247597753E-4</v>
      </c>
      <c r="F31" s="248">
        <f t="shared" si="26"/>
        <v>7.8758237086225119E-2</v>
      </c>
      <c r="G31" s="248">
        <f t="shared" si="2"/>
        <v>8.0000000000000016E-2</v>
      </c>
      <c r="H31" s="249">
        <f t="shared" si="3"/>
        <v>0.46369472743850448</v>
      </c>
      <c r="I31" s="122"/>
      <c r="J31" s="244">
        <v>0</v>
      </c>
      <c r="K31" s="245">
        <v>0</v>
      </c>
      <c r="L31" s="245">
        <v>0</v>
      </c>
      <c r="M31" s="245">
        <v>0</v>
      </c>
      <c r="N31" s="245">
        <f t="shared" si="4"/>
        <v>0.95990762106538041</v>
      </c>
      <c r="O31" s="245">
        <f t="shared" si="5"/>
        <v>2.3063551249620243E-2</v>
      </c>
      <c r="P31" s="245">
        <f t="shared" si="6"/>
        <v>9.1632955273107664E-3</v>
      </c>
      <c r="Q31" s="245">
        <f t="shared" si="7"/>
        <v>7.8655321576884072E-3</v>
      </c>
      <c r="R31" s="243">
        <f t="shared" si="24"/>
        <v>0.99999999999999978</v>
      </c>
      <c r="S31" s="250"/>
      <c r="T31" s="244">
        <f t="shared" si="9"/>
        <v>6.4803924691071366E-3</v>
      </c>
      <c r="U31" s="246">
        <f t="shared" si="14"/>
        <v>0.31041079927023185</v>
      </c>
      <c r="V31" s="246">
        <f t="shared" si="15"/>
        <v>0</v>
      </c>
      <c r="W31" s="246">
        <f t="shared" si="16"/>
        <v>3.9356212463680595E-2</v>
      </c>
      <c r="X31" s="246">
        <f t="shared" si="17"/>
        <v>4.1283756736820235E-3</v>
      </c>
      <c r="Y31" s="246">
        <f t="shared" si="18"/>
        <v>6.4143068691175373E-4</v>
      </c>
      <c r="Z31" s="246">
        <f t="shared" si="10"/>
        <v>0.35453681809450621</v>
      </c>
      <c r="AA31" s="247">
        <f t="shared" si="11"/>
        <v>0.16439685323324671</v>
      </c>
      <c r="AB31" s="122"/>
      <c r="AC31" s="244">
        <f t="shared" si="19"/>
        <v>0</v>
      </c>
      <c r="AD31" s="245">
        <f t="shared" si="20"/>
        <v>0</v>
      </c>
      <c r="AE31" s="245">
        <f t="shared" si="21"/>
        <v>592.35899295944625</v>
      </c>
      <c r="AF31" s="245">
        <f t="shared" si="22"/>
        <v>22.074124901011533</v>
      </c>
      <c r="AG31" s="245">
        <f t="shared" si="23"/>
        <v>5.6546696699034742</v>
      </c>
      <c r="AH31" s="245">
        <f t="shared" si="12"/>
        <v>620.0877875303612</v>
      </c>
      <c r="AI31" s="247">
        <f t="shared" si="13"/>
        <v>287.53143762683612</v>
      </c>
      <c r="AK31" s="259"/>
      <c r="AL31" s="59"/>
      <c r="AM31" s="59"/>
    </row>
    <row r="32" spans="1:39">
      <c r="A32" s="122"/>
      <c r="B32" s="241">
        <v>28</v>
      </c>
      <c r="C32" s="248">
        <f>'Other parameters'!$D$20</f>
        <v>2.8233999999999998E-3</v>
      </c>
      <c r="D32" s="242">
        <f>'Other parameters'!$G$20</f>
        <v>47.9</v>
      </c>
      <c r="E32" s="248">
        <f t="shared" si="25"/>
        <v>1.1429983399846488E-4</v>
      </c>
      <c r="F32" s="248">
        <f t="shared" si="26"/>
        <v>7.1263399894163901E-2</v>
      </c>
      <c r="G32" s="248">
        <f t="shared" si="2"/>
        <v>8.0000000000000016E-2</v>
      </c>
      <c r="H32" s="249">
        <f t="shared" si="3"/>
        <v>0.45018905576553836</v>
      </c>
      <c r="I32" s="122"/>
      <c r="J32" s="244">
        <v>0</v>
      </c>
      <c r="K32" s="245">
        <v>0</v>
      </c>
      <c r="L32" s="245">
        <v>0</v>
      </c>
      <c r="M32" s="245">
        <v>0</v>
      </c>
      <c r="N32" s="245">
        <f t="shared" si="4"/>
        <v>0.95116600163890153</v>
      </c>
      <c r="O32" s="245">
        <f t="shared" si="5"/>
        <v>2.6036961365475852E-2</v>
      </c>
      <c r="P32" s="245">
        <f t="shared" si="6"/>
        <v>1.0518290578670656E-2</v>
      </c>
      <c r="Q32" s="245">
        <f t="shared" si="7"/>
        <v>1.2278746416951836E-2</v>
      </c>
      <c r="R32" s="243">
        <f t="shared" si="24"/>
        <v>0.99999999999999989</v>
      </c>
      <c r="S32" s="250"/>
      <c r="T32" s="244">
        <f t="shared" si="9"/>
        <v>7.236614259263429E-3</v>
      </c>
      <c r="U32" s="246">
        <f t="shared" si="14"/>
        <v>0.34663382301871826</v>
      </c>
      <c r="V32" s="246">
        <f t="shared" si="15"/>
        <v>0</v>
      </c>
      <c r="W32" s="246">
        <f t="shared" si="16"/>
        <v>3.8997806067194961E-2</v>
      </c>
      <c r="X32" s="246">
        <f t="shared" si="17"/>
        <v>4.6606160844201777E-3</v>
      </c>
      <c r="Y32" s="246">
        <f t="shared" si="18"/>
        <v>7.3628034050694595E-4</v>
      </c>
      <c r="Z32" s="246">
        <f t="shared" si="10"/>
        <v>0.39102852551084033</v>
      </c>
      <c r="AA32" s="247">
        <f t="shared" si="11"/>
        <v>0.17603676267711593</v>
      </c>
      <c r="AB32" s="122"/>
      <c r="AC32" s="244">
        <f t="shared" si="19"/>
        <v>0</v>
      </c>
      <c r="AD32" s="245">
        <f t="shared" si="20"/>
        <v>0</v>
      </c>
      <c r="AE32" s="245">
        <f t="shared" si="21"/>
        <v>586.96453961136615</v>
      </c>
      <c r="AF32" s="245">
        <f t="shared" si="22"/>
        <v>24.91997572289694</v>
      </c>
      <c r="AG32" s="245">
        <f t="shared" si="23"/>
        <v>6.4908371160976621</v>
      </c>
      <c r="AH32" s="245">
        <f t="shared" si="12"/>
        <v>618.37535245036077</v>
      </c>
      <c r="AI32" s="247">
        <f t="shared" si="13"/>
        <v>278.38581602830988</v>
      </c>
      <c r="AK32" s="259"/>
      <c r="AL32" s="59"/>
      <c r="AM32" s="59"/>
    </row>
    <row r="33" spans="1:39">
      <c r="A33" s="122"/>
      <c r="B33" s="241">
        <v>29</v>
      </c>
      <c r="C33" s="248">
        <f>'Other parameters'!$D$20</f>
        <v>2.8233999999999998E-3</v>
      </c>
      <c r="D33" s="242">
        <f>'Other parameters'!$G$20</f>
        <v>47.9</v>
      </c>
      <c r="E33" s="248">
        <f t="shared" si="25"/>
        <v>1.0342276667710974E-4</v>
      </c>
      <c r="F33" s="248">
        <f t="shared" si="26"/>
        <v>6.4481790760699334E-2</v>
      </c>
      <c r="G33" s="248">
        <f t="shared" si="2"/>
        <v>8.0000000000000016E-2</v>
      </c>
      <c r="H33" s="249">
        <f t="shared" si="3"/>
        <v>0.4370767531704256</v>
      </c>
      <c r="I33" s="122"/>
      <c r="J33" s="244">
        <v>0</v>
      </c>
      <c r="K33" s="245">
        <v>0</v>
      </c>
      <c r="L33" s="245">
        <v>0</v>
      </c>
      <c r="M33" s="245">
        <v>0</v>
      </c>
      <c r="N33" s="245">
        <f t="shared" si="4"/>
        <v>0.94275866527115493</v>
      </c>
      <c r="O33" s="245">
        <f t="shared" si="5"/>
        <v>2.8330687490822487E-2</v>
      </c>
      <c r="P33" s="245">
        <f t="shared" si="6"/>
        <v>1.1620726123748159E-2</v>
      </c>
      <c r="Q33" s="245">
        <f t="shared" si="7"/>
        <v>1.7289921114274319E-2</v>
      </c>
      <c r="R33" s="243">
        <f t="shared" si="24"/>
        <v>0.99999999999999989</v>
      </c>
      <c r="S33" s="250"/>
      <c r="T33" s="244">
        <f t="shared" si="9"/>
        <v>7.8345746973224814E-3</v>
      </c>
      <c r="U33" s="246">
        <f t="shared" si="14"/>
        <v>0.37527612800174687</v>
      </c>
      <c r="V33" s="246">
        <f t="shared" si="15"/>
        <v>0</v>
      </c>
      <c r="W33" s="246">
        <f t="shared" si="16"/>
        <v>3.8653105276117351E-2</v>
      </c>
      <c r="X33" s="246">
        <f t="shared" si="17"/>
        <v>5.0711930608572254E-3</v>
      </c>
      <c r="Y33" s="246">
        <f t="shared" si="18"/>
        <v>8.1345082866237121E-4</v>
      </c>
      <c r="Z33" s="246">
        <f t="shared" si="10"/>
        <v>0.41981387716738383</v>
      </c>
      <c r="AA33" s="247">
        <f t="shared" si="11"/>
        <v>0.18349088636820798</v>
      </c>
      <c r="AB33" s="122"/>
      <c r="AC33" s="244">
        <f t="shared" si="19"/>
        <v>0</v>
      </c>
      <c r="AD33" s="245">
        <f t="shared" si="20"/>
        <v>0</v>
      </c>
      <c r="AE33" s="245">
        <f t="shared" si="21"/>
        <v>581.77637233882967</v>
      </c>
      <c r="AF33" s="245">
        <f t="shared" si="22"/>
        <v>27.115300997466203</v>
      </c>
      <c r="AG33" s="245">
        <f t="shared" si="23"/>
        <v>7.1711500909649892</v>
      </c>
      <c r="AH33" s="245">
        <f t="shared" si="12"/>
        <v>616.06282342726081</v>
      </c>
      <c r="AI33" s="247">
        <f t="shared" si="13"/>
        <v>269.26673861259235</v>
      </c>
      <c r="AK33" s="259"/>
      <c r="AL33" s="59"/>
      <c r="AM33" s="59"/>
    </row>
    <row r="34" spans="1:39">
      <c r="A34" s="122"/>
      <c r="B34" s="241">
        <v>30</v>
      </c>
      <c r="C34" s="248">
        <f>'Other parameters'!$D$21</f>
        <v>3.3604000000000004E-3</v>
      </c>
      <c r="D34" s="242">
        <f>'Other parameters'!$G$21</f>
        <v>43.5</v>
      </c>
      <c r="E34" s="248">
        <f t="shared" si="25"/>
        <v>9.3580789166251466E-5</v>
      </c>
      <c r="F34" s="248">
        <f t="shared" si="26"/>
        <v>5.8345537062246176E-2</v>
      </c>
      <c r="G34" s="248">
        <f t="shared" si="2"/>
        <v>8.0000000000000016E-2</v>
      </c>
      <c r="H34" s="249">
        <f t="shared" si="3"/>
        <v>0.42434636230138412</v>
      </c>
      <c r="I34" s="122"/>
      <c r="J34" s="244">
        <v>0</v>
      </c>
      <c r="K34" s="245">
        <v>0</v>
      </c>
      <c r="L34" s="245">
        <v>0</v>
      </c>
      <c r="M34" s="245">
        <v>0</v>
      </c>
      <c r="N34" s="245">
        <f t="shared" si="4"/>
        <v>0.93462755047600787</v>
      </c>
      <c r="O34" s="245">
        <f t="shared" si="5"/>
        <v>3.0086746831267844E-2</v>
      </c>
      <c r="P34" s="245">
        <f t="shared" si="6"/>
        <v>1.2513784379431066E-2</v>
      </c>
      <c r="Q34" s="245">
        <f t="shared" si="7"/>
        <v>2.2771918313293074E-2</v>
      </c>
      <c r="R34" s="243">
        <f t="shared" si="24"/>
        <v>0.99999999999999989</v>
      </c>
      <c r="S34" s="250"/>
      <c r="T34" s="244">
        <f t="shared" si="9"/>
        <v>8.8423971990187547E-3</v>
      </c>
      <c r="U34" s="246">
        <f t="shared" si="14"/>
        <v>0.38464427815731583</v>
      </c>
      <c r="V34" s="246">
        <f t="shared" si="15"/>
        <v>0</v>
      </c>
      <c r="W34" s="246">
        <f t="shared" si="16"/>
        <v>3.8319729569516327E-2</v>
      </c>
      <c r="X34" s="246">
        <f t="shared" si="17"/>
        <v>5.3855276827969442E-3</v>
      </c>
      <c r="Y34" s="246">
        <f t="shared" si="18"/>
        <v>8.7596490656017471E-4</v>
      </c>
      <c r="Z34" s="246">
        <f t="shared" si="10"/>
        <v>0.42922550031618928</v>
      </c>
      <c r="AA34" s="247">
        <f t="shared" si="11"/>
        <v>0.18214027966616653</v>
      </c>
      <c r="AB34" s="122"/>
      <c r="AC34" s="244">
        <f t="shared" si="19"/>
        <v>0</v>
      </c>
      <c r="AD34" s="245">
        <f t="shared" si="20"/>
        <v>0</v>
      </c>
      <c r="AE34" s="245">
        <f t="shared" si="21"/>
        <v>576.75866139874449</v>
      </c>
      <c r="AF34" s="245">
        <f t="shared" si="22"/>
        <v>28.796025392206452</v>
      </c>
      <c r="AG34" s="245">
        <f t="shared" si="23"/>
        <v>7.7222563405469113</v>
      </c>
      <c r="AH34" s="245">
        <f t="shared" si="12"/>
        <v>613.27694313149789</v>
      </c>
      <c r="AI34" s="247">
        <f t="shared" si="13"/>
        <v>260.24183990116393</v>
      </c>
      <c r="AK34" s="259"/>
      <c r="AL34" s="59"/>
      <c r="AM34" s="59"/>
    </row>
    <row r="35" spans="1:39">
      <c r="A35" s="122"/>
      <c r="B35" s="241">
        <v>31</v>
      </c>
      <c r="C35" s="248">
        <f>'Other parameters'!$D$21</f>
        <v>3.3604000000000004E-3</v>
      </c>
      <c r="D35" s="242">
        <f>'Other parameters'!$G$21</f>
        <v>43.5</v>
      </c>
      <c r="E35" s="248">
        <f t="shared" si="25"/>
        <v>8.4675399646958469E-5</v>
      </c>
      <c r="F35" s="248">
        <f t="shared" si="26"/>
        <v>5.2793225109324216E-2</v>
      </c>
      <c r="G35" s="248">
        <f t="shared" si="2"/>
        <v>8.0000000000000016E-2</v>
      </c>
      <c r="H35" s="249">
        <f t="shared" si="3"/>
        <v>0.41198675951590691</v>
      </c>
      <c r="I35" s="122"/>
      <c r="J35" s="244">
        <v>0</v>
      </c>
      <c r="K35" s="245">
        <v>0</v>
      </c>
      <c r="L35" s="245">
        <v>0</v>
      </c>
      <c r="M35" s="245">
        <v>0</v>
      </c>
      <c r="N35" s="245">
        <f t="shared" si="4"/>
        <v>0.92672659749679209</v>
      </c>
      <c r="O35" s="245">
        <f t="shared" si="5"/>
        <v>3.1417577231961799E-2</v>
      </c>
      <c r="P35" s="245">
        <f t="shared" si="6"/>
        <v>1.3233261612679398E-2</v>
      </c>
      <c r="Q35" s="245">
        <f t="shared" si="7"/>
        <v>2.8622563658566542E-2</v>
      </c>
      <c r="R35" s="243">
        <f t="shared" si="24"/>
        <v>0.99999999999999978</v>
      </c>
      <c r="S35" s="250"/>
      <c r="T35" s="244">
        <f t="shared" si="9"/>
        <v>9.2110453452734688E-3</v>
      </c>
      <c r="U35" s="246">
        <f t="shared" si="14"/>
        <v>0.40068047251939587</v>
      </c>
      <c r="V35" s="246">
        <f t="shared" si="15"/>
        <v>0</v>
      </c>
      <c r="W35" s="246">
        <f t="shared" si="16"/>
        <v>3.7995790497368474E-2</v>
      </c>
      <c r="X35" s="246">
        <f t="shared" si="17"/>
        <v>5.6237463245211615E-3</v>
      </c>
      <c r="Y35" s="246">
        <f t="shared" si="18"/>
        <v>9.2632831288755801E-4</v>
      </c>
      <c r="Z35" s="246">
        <f t="shared" si="10"/>
        <v>0.44522633765417308</v>
      </c>
      <c r="AA35" s="247">
        <f t="shared" si="11"/>
        <v>0.18342735610127778</v>
      </c>
      <c r="AB35" s="122"/>
      <c r="AC35" s="244">
        <f t="shared" si="19"/>
        <v>0</v>
      </c>
      <c r="AD35" s="245">
        <f t="shared" si="20"/>
        <v>0</v>
      </c>
      <c r="AE35" s="245">
        <f t="shared" si="21"/>
        <v>571.88298331527039</v>
      </c>
      <c r="AF35" s="245">
        <f t="shared" si="22"/>
        <v>30.06976316871064</v>
      </c>
      <c r="AG35" s="245">
        <f t="shared" si="23"/>
        <v>8.1662457411844578</v>
      </c>
      <c r="AH35" s="245">
        <f t="shared" si="12"/>
        <v>610.11899222516547</v>
      </c>
      <c r="AI35" s="247">
        <f t="shared" si="13"/>
        <v>251.36094652595673</v>
      </c>
      <c r="AK35" s="259"/>
      <c r="AL35" s="59"/>
      <c r="AM35" s="59"/>
    </row>
    <row r="36" spans="1:39">
      <c r="A36" s="122"/>
      <c r="B36" s="241">
        <v>32</v>
      </c>
      <c r="C36" s="248">
        <f>'Other parameters'!$D$21</f>
        <v>3.3604000000000004E-3</v>
      </c>
      <c r="D36" s="242">
        <f>'Other parameters'!$G$21</f>
        <v>43.5</v>
      </c>
      <c r="E36" s="248">
        <f t="shared" si="25"/>
        <v>7.6617469987716891E-5</v>
      </c>
      <c r="F36" s="248">
        <f t="shared" si="26"/>
        <v>4.7769285497712116E-2</v>
      </c>
      <c r="G36" s="248">
        <f t="shared" si="2"/>
        <v>8.0000000000000016E-2</v>
      </c>
      <c r="H36" s="249">
        <f t="shared" si="3"/>
        <v>0.39998714516107459</v>
      </c>
      <c r="I36" s="122"/>
      <c r="J36" s="244">
        <v>0</v>
      </c>
      <c r="K36" s="245">
        <v>0</v>
      </c>
      <c r="L36" s="245">
        <v>0</v>
      </c>
      <c r="M36" s="245">
        <v>0</v>
      </c>
      <c r="N36" s="245">
        <f t="shared" si="4"/>
        <v>0.91901924959186343</v>
      </c>
      <c r="O36" s="245">
        <f t="shared" si="5"/>
        <v>3.2412197237607042E-2</v>
      </c>
      <c r="P36" s="245">
        <f t="shared" si="6"/>
        <v>1.3808837668650147E-2</v>
      </c>
      <c r="Q36" s="245">
        <f t="shared" si="7"/>
        <v>3.4759715501879229E-2</v>
      </c>
      <c r="R36" s="243">
        <f t="shared" si="24"/>
        <v>0.99999999999999978</v>
      </c>
      <c r="S36" s="250"/>
      <c r="T36" s="244">
        <f t="shared" si="9"/>
        <v>9.4975518433126835E-3</v>
      </c>
      <c r="U36" s="246">
        <f t="shared" si="14"/>
        <v>0.41314350518410176</v>
      </c>
      <c r="V36" s="246">
        <f t="shared" si="15"/>
        <v>0</v>
      </c>
      <c r="W36" s="246">
        <f t="shared" si="16"/>
        <v>3.7679789233266404E-2</v>
      </c>
      <c r="X36" s="246">
        <f t="shared" si="17"/>
        <v>5.8017833055316603E-3</v>
      </c>
      <c r="Y36" s="246">
        <f t="shared" si="18"/>
        <v>9.6661863680551038E-4</v>
      </c>
      <c r="Z36" s="246">
        <f t="shared" si="10"/>
        <v>0.45759169635970537</v>
      </c>
      <c r="AA36" s="247">
        <f t="shared" si="11"/>
        <v>0.18303079627633184</v>
      </c>
      <c r="AB36" s="122"/>
      <c r="AC36" s="244">
        <f t="shared" si="19"/>
        <v>0</v>
      </c>
      <c r="AD36" s="245">
        <f t="shared" si="20"/>
        <v>0</v>
      </c>
      <c r="AE36" s="245">
        <f t="shared" si="21"/>
        <v>567.126778923139</v>
      </c>
      <c r="AF36" s="245">
        <f t="shared" si="22"/>
        <v>31.021713976113702</v>
      </c>
      <c r="AG36" s="245">
        <f t="shared" si="23"/>
        <v>8.5214337253240053</v>
      </c>
      <c r="AH36" s="245">
        <f t="shared" si="12"/>
        <v>606.66992662457665</v>
      </c>
      <c r="AI36" s="247">
        <f t="shared" si="13"/>
        <v>242.66017200564301</v>
      </c>
      <c r="AK36" s="259"/>
      <c r="AL36" s="59"/>
      <c r="AM36" s="59"/>
    </row>
    <row r="37" spans="1:39">
      <c r="A37" s="122"/>
      <c r="B37" s="241">
        <v>33</v>
      </c>
      <c r="C37" s="248">
        <f>'Other parameters'!$D$21</f>
        <v>3.3604000000000004E-3</v>
      </c>
      <c r="D37" s="242">
        <f>'Other parameters'!$G$21</f>
        <v>43.5</v>
      </c>
      <c r="E37" s="248">
        <f t="shared" si="25"/>
        <v>6.9326353720133391E-5</v>
      </c>
      <c r="F37" s="248">
        <f t="shared" si="26"/>
        <v>4.3223436951172436E-2</v>
      </c>
      <c r="G37" s="248">
        <f t="shared" ref="G37:G68" si="27">IF(B37&lt;rhdage,0,pVS_3a)</f>
        <v>8.0000000000000016E-2</v>
      </c>
      <c r="H37" s="249">
        <f t="shared" ref="H37:H68" si="28">1/(1+disc)^($B37-1)</f>
        <v>0.38833703413696569</v>
      </c>
      <c r="I37" s="122"/>
      <c r="J37" s="244">
        <v>0</v>
      </c>
      <c r="K37" s="245">
        <v>0</v>
      </c>
      <c r="L37" s="245">
        <v>0</v>
      </c>
      <c r="M37" s="245">
        <v>0</v>
      </c>
      <c r="N37" s="245">
        <f t="shared" ref="N37:N68" si="29">IF(B37&lt;rhdage,1,(K36*pARF1_RHDMild)+(M36*pARF2_RHDMild)+(N36*cpRHDMild_RHDMild)+(O36*G37))</f>
        <v>0.91147647468297777</v>
      </c>
      <c r="O37" s="245">
        <f t="shared" ref="O37:O68" si="30">IF(B37&lt;rhdage,0,(N36*pRHDMild_RHDSevere)+(O36*(1-(G37+pRHDSevere_Death))))</f>
        <v>3.3141083292723118E-2</v>
      </c>
      <c r="P37" s="245">
        <f t="shared" ref="P37:P68" si="31">IF(B37&lt;rhdage,0,(N36*pRHDMild_Stroke)+(P36*(1-pStroke_Death)))</f>
        <v>1.4265125977054215E-2</v>
      </c>
      <c r="Q37" s="245">
        <f t="shared" ref="Q37:Q68" si="32">IF(B37&lt;rhdage,0,(K36*pARF1_Death)+(M36*pARF2_Death)+(O36*pRHDSevere_Death)+(P36*pStroke_Death)+Q36)</f>
        <v>4.1117316047244681E-2</v>
      </c>
      <c r="R37" s="243">
        <f t="shared" si="24"/>
        <v>0.99999999999999978</v>
      </c>
      <c r="S37" s="250"/>
      <c r="T37" s="244">
        <f t="shared" si="9"/>
        <v>9.7180005453654551E-3</v>
      </c>
      <c r="U37" s="246">
        <f t="shared" si="14"/>
        <v>0.42273302372339727</v>
      </c>
      <c r="V37" s="246">
        <f t="shared" si="15"/>
        <v>0</v>
      </c>
      <c r="W37" s="246">
        <f t="shared" si="16"/>
        <v>3.7370535462002093E-2</v>
      </c>
      <c r="X37" s="246">
        <f t="shared" si="17"/>
        <v>5.9322539093974377E-3</v>
      </c>
      <c r="Y37" s="246">
        <f t="shared" si="18"/>
        <v>9.9855881839379509E-4</v>
      </c>
      <c r="Z37" s="246">
        <f t="shared" si="10"/>
        <v>0.46703437191319058</v>
      </c>
      <c r="AA37" s="247">
        <f t="shared" si="11"/>
        <v>0.18136674282878901</v>
      </c>
      <c r="AB37" s="122"/>
      <c r="AC37" s="244">
        <f t="shared" si="19"/>
        <v>0</v>
      </c>
      <c r="AD37" s="245">
        <f t="shared" si="20"/>
        <v>0</v>
      </c>
      <c r="AE37" s="245">
        <f t="shared" si="21"/>
        <v>562.47213252686561</v>
      </c>
      <c r="AF37" s="245">
        <f t="shared" si="22"/>
        <v>31.719330819465299</v>
      </c>
      <c r="AG37" s="245">
        <f t="shared" si="23"/>
        <v>8.8030092404401561</v>
      </c>
      <c r="AH37" s="245">
        <f t="shared" si="12"/>
        <v>602.99447258677105</v>
      </c>
      <c r="AI37" s="247">
        <f t="shared" ref="AI37:AI68" si="33">AH37*H37</f>
        <v>234.16508508533053</v>
      </c>
      <c r="AK37" s="259"/>
      <c r="AL37" s="59"/>
      <c r="AM37" s="59"/>
    </row>
    <row r="38" spans="1:39">
      <c r="A38" s="122"/>
      <c r="B38" s="241">
        <v>34</v>
      </c>
      <c r="C38" s="248">
        <f>'Other parameters'!$D$21</f>
        <v>3.3604000000000004E-3</v>
      </c>
      <c r="D38" s="242">
        <f>'Other parameters'!$G$21</f>
        <v>43.5</v>
      </c>
      <c r="E38" s="248">
        <f t="shared" si="25"/>
        <v>6.2729078901973133E-5</v>
      </c>
      <c r="F38" s="248">
        <f t="shared" si="26"/>
        <v>3.9110183089538959E-2</v>
      </c>
      <c r="G38" s="248">
        <f t="shared" si="27"/>
        <v>8.0000000000000016E-2</v>
      </c>
      <c r="H38" s="249">
        <f t="shared" si="28"/>
        <v>0.37702624673491814</v>
      </c>
      <c r="I38" s="122"/>
      <c r="J38" s="244">
        <v>0</v>
      </c>
      <c r="K38" s="245">
        <v>0</v>
      </c>
      <c r="L38" s="245">
        <v>0</v>
      </c>
      <c r="M38" s="245">
        <v>0</v>
      </c>
      <c r="N38" s="245">
        <f t="shared" si="29"/>
        <v>0.90407519899868616</v>
      </c>
      <c r="O38" s="245">
        <f t="shared" si="30"/>
        <v>3.3660031243336684E-2</v>
      </c>
      <c r="P38" s="245">
        <f t="shared" si="31"/>
        <v>1.4622542260973781E-2</v>
      </c>
      <c r="Q38" s="245">
        <f t="shared" si="32"/>
        <v>4.7642227497003128E-2</v>
      </c>
      <c r="R38" s="243">
        <f t="shared" si="24"/>
        <v>0.99999999999999978</v>
      </c>
      <c r="S38" s="250"/>
      <c r="T38" s="244">
        <f t="shared" si="9"/>
        <v>9.8853114497584431E-3</v>
      </c>
      <c r="U38" s="246">
        <f t="shared" si="14"/>
        <v>0.43001104806449225</v>
      </c>
      <c r="V38" s="246">
        <f t="shared" si="15"/>
        <v>0</v>
      </c>
      <c r="W38" s="246">
        <f t="shared" si="16"/>
        <v>3.7067083158946135E-2</v>
      </c>
      <c r="X38" s="246">
        <f t="shared" si="17"/>
        <v>6.0251455925572663E-3</v>
      </c>
      <c r="Y38" s="246">
        <f t="shared" si="18"/>
        <v>1.0235779582681648E-3</v>
      </c>
      <c r="Z38" s="246">
        <f t="shared" si="10"/>
        <v>0.47412685477426386</v>
      </c>
      <c r="AA38" s="247">
        <f t="shared" si="11"/>
        <v>0.17875826853177232</v>
      </c>
      <c r="AB38" s="122"/>
      <c r="AC38" s="244">
        <f t="shared" si="19"/>
        <v>0</v>
      </c>
      <c r="AD38" s="245">
        <f t="shared" si="20"/>
        <v>0</v>
      </c>
      <c r="AE38" s="245">
        <f t="shared" si="21"/>
        <v>557.90480530208924</v>
      </c>
      <c r="AF38" s="245">
        <f t="shared" si="22"/>
        <v>32.21601590299754</v>
      </c>
      <c r="AG38" s="245">
        <f t="shared" si="23"/>
        <v>9.0235708292469212</v>
      </c>
      <c r="AH38" s="245">
        <f t="shared" si="12"/>
        <v>599.1443920343338</v>
      </c>
      <c r="AI38" s="247">
        <f t="shared" si="33"/>
        <v>225.89316138097925</v>
      </c>
      <c r="AK38" s="259"/>
      <c r="AL38" s="59"/>
      <c r="AM38" s="59"/>
    </row>
    <row r="39" spans="1:39">
      <c r="A39" s="122"/>
      <c r="B39" s="241">
        <v>35</v>
      </c>
      <c r="C39" s="248">
        <f>'Other parameters'!$D$22</f>
        <v>4.1983999999999997E-3</v>
      </c>
      <c r="D39" s="242">
        <f>'Other parameters'!$G$22</f>
        <v>39.200000000000003</v>
      </c>
      <c r="E39" s="248">
        <f t="shared" si="25"/>
        <v>5.6759617789435369E-5</v>
      </c>
      <c r="F39" s="248">
        <f t="shared" si="26"/>
        <v>3.5388357085652078E-2</v>
      </c>
      <c r="G39" s="248">
        <f t="shared" si="27"/>
        <v>8.0000000000000016E-2</v>
      </c>
      <c r="H39" s="249">
        <f t="shared" si="28"/>
        <v>0.36604489974263904</v>
      </c>
      <c r="I39" s="122"/>
      <c r="J39" s="244">
        <v>0</v>
      </c>
      <c r="K39" s="245">
        <v>0</v>
      </c>
      <c r="L39" s="245">
        <v>0</v>
      </c>
      <c r="M39" s="245">
        <v>0</v>
      </c>
      <c r="N39" s="245">
        <f t="shared" si="29"/>
        <v>0.89679706691301952</v>
      </c>
      <c r="O39" s="245">
        <f t="shared" si="30"/>
        <v>3.4013213663784195E-2</v>
      </c>
      <c r="P39" s="245">
        <f t="shared" si="31"/>
        <v>1.4898023463193164E-2</v>
      </c>
      <c r="Q39" s="245">
        <f t="shared" si="32"/>
        <v>5.4291695960002835E-2</v>
      </c>
      <c r="R39" s="243">
        <f t="shared" si="24"/>
        <v>0.99999999999999967</v>
      </c>
      <c r="S39" s="250"/>
      <c r="T39" s="244">
        <f t="shared" si="9"/>
        <v>1.0847868462999706E-2</v>
      </c>
      <c r="U39" s="246">
        <f t="shared" si="14"/>
        <v>0.42523644374958852</v>
      </c>
      <c r="V39" s="246">
        <f t="shared" si="15"/>
        <v>0</v>
      </c>
      <c r="W39" s="246">
        <f t="shared" si="16"/>
        <v>3.6768679743433799E-2</v>
      </c>
      <c r="X39" s="246">
        <f t="shared" si="17"/>
        <v>6.0883652458173709E-3</v>
      </c>
      <c r="Y39" s="246">
        <f t="shared" si="18"/>
        <v>1.0428616424235217E-3</v>
      </c>
      <c r="Z39" s="246">
        <f t="shared" si="10"/>
        <v>0.46913635038126317</v>
      </c>
      <c r="AA39" s="247">
        <f t="shared" si="11"/>
        <v>0.17172496834093706</v>
      </c>
      <c r="AB39" s="122"/>
      <c r="AC39" s="244">
        <f t="shared" si="19"/>
        <v>0</v>
      </c>
      <c r="AD39" s="245">
        <f t="shared" si="20"/>
        <v>0</v>
      </c>
      <c r="AE39" s="245">
        <f t="shared" si="21"/>
        <v>553.41346999202437</v>
      </c>
      <c r="AF39" s="245">
        <f t="shared" si="22"/>
        <v>32.554046797607853</v>
      </c>
      <c r="AG39" s="245">
        <f t="shared" si="23"/>
        <v>9.1935702791365017</v>
      </c>
      <c r="AH39" s="245">
        <f t="shared" si="12"/>
        <v>595.16108706876867</v>
      </c>
      <c r="AI39" s="247">
        <f t="shared" si="33"/>
        <v>217.8556804468075</v>
      </c>
      <c r="AK39" s="259"/>
      <c r="AL39" s="59"/>
      <c r="AM39" s="59"/>
    </row>
    <row r="40" spans="1:39">
      <c r="A40" s="122"/>
      <c r="B40" s="241">
        <v>36</v>
      </c>
      <c r="C40" s="248">
        <f>'Other parameters'!$D$22</f>
        <v>4.1983999999999997E-3</v>
      </c>
      <c r="D40" s="242">
        <f>'Other parameters'!$G$22</f>
        <v>39.200000000000003</v>
      </c>
      <c r="E40" s="234">
        <v>0</v>
      </c>
      <c r="F40" s="248">
        <f t="shared" si="26"/>
        <v>3.2020709653915978E-2</v>
      </c>
      <c r="G40" s="248">
        <f t="shared" si="27"/>
        <v>8.0000000000000016E-2</v>
      </c>
      <c r="H40" s="249">
        <f t="shared" si="28"/>
        <v>0.35538339780838735</v>
      </c>
      <c r="I40" s="122"/>
      <c r="J40" s="244">
        <v>0</v>
      </c>
      <c r="K40" s="245">
        <v>0</v>
      </c>
      <c r="L40" s="245">
        <v>0</v>
      </c>
      <c r="M40" s="245">
        <v>0</v>
      </c>
      <c r="N40" s="245">
        <f t="shared" si="29"/>
        <v>0.8896274590479053</v>
      </c>
      <c r="O40" s="245">
        <f t="shared" si="30"/>
        <v>3.4235600481577567E-2</v>
      </c>
      <c r="P40" s="245">
        <f t="shared" si="31"/>
        <v>1.510562288418775E-2</v>
      </c>
      <c r="Q40" s="245">
        <f t="shared" si="32"/>
        <v>6.1031317586329119E-2</v>
      </c>
      <c r="R40" s="243">
        <f t="shared" si="24"/>
        <v>0.99999999999999967</v>
      </c>
      <c r="S40" s="250"/>
      <c r="T40" s="244">
        <f t="shared" si="9"/>
        <v>1.0938021626326282E-2</v>
      </c>
      <c r="U40" s="246">
        <f t="shared" si="14"/>
        <v>0.42877044775199025</v>
      </c>
      <c r="V40" s="246">
        <f t="shared" si="15"/>
        <v>0</v>
      </c>
      <c r="W40" s="246">
        <f t="shared" si="16"/>
        <v>3.6474725820964116E-2</v>
      </c>
      <c r="X40" s="246">
        <f t="shared" si="17"/>
        <v>6.1281724862023842E-3</v>
      </c>
      <c r="Y40" s="246">
        <f t="shared" si="18"/>
        <v>1.0573936018931425E-3</v>
      </c>
      <c r="Z40" s="246">
        <f t="shared" si="10"/>
        <v>0.47243073966104993</v>
      </c>
      <c r="AA40" s="247">
        <f t="shared" si="11"/>
        <v>0.16789404148987358</v>
      </c>
      <c r="AB40" s="122"/>
      <c r="AC40" s="244">
        <f t="shared" si="19"/>
        <v>0</v>
      </c>
      <c r="AD40" s="245">
        <f t="shared" si="20"/>
        <v>0</v>
      </c>
      <c r="AE40" s="245">
        <f t="shared" si="21"/>
        <v>548.98910497846236</v>
      </c>
      <c r="AF40" s="245">
        <f t="shared" si="22"/>
        <v>32.766893220917893</v>
      </c>
      <c r="AG40" s="245">
        <f t="shared" si="23"/>
        <v>9.3216798818322602</v>
      </c>
      <c r="AH40" s="245">
        <f t="shared" si="12"/>
        <v>591.07767808121241</v>
      </c>
      <c r="AI40" s="247">
        <f t="shared" si="33"/>
        <v>210.05919360519343</v>
      </c>
      <c r="AK40" s="259"/>
      <c r="AL40" s="59"/>
      <c r="AM40" s="59"/>
    </row>
    <row r="41" spans="1:39">
      <c r="A41" s="122"/>
      <c r="B41" s="241">
        <v>37</v>
      </c>
      <c r="C41" s="248">
        <f>'Other parameters'!$D$22</f>
        <v>4.1983999999999997E-3</v>
      </c>
      <c r="D41" s="242">
        <f>'Other parameters'!$G$22</f>
        <v>39.200000000000003</v>
      </c>
      <c r="E41" s="234">
        <v>0</v>
      </c>
      <c r="F41" s="248">
        <f t="shared" si="26"/>
        <v>2.8973536246928461E-2</v>
      </c>
      <c r="G41" s="248">
        <f t="shared" si="27"/>
        <v>8.0000000000000016E-2</v>
      </c>
      <c r="H41" s="249">
        <f t="shared" si="28"/>
        <v>0.34503242505668674</v>
      </c>
      <c r="I41" s="122"/>
      <c r="J41" s="244">
        <v>0</v>
      </c>
      <c r="K41" s="245">
        <v>0</v>
      </c>
      <c r="L41" s="245">
        <v>0</v>
      </c>
      <c r="M41" s="245">
        <v>0</v>
      </c>
      <c r="N41" s="245">
        <f t="shared" si="29"/>
        <v>0.88255471485480108</v>
      </c>
      <c r="O41" s="245">
        <f t="shared" si="30"/>
        <v>3.4354875496306475E-2</v>
      </c>
      <c r="P41" s="245">
        <f t="shared" si="31"/>
        <v>1.5257002980706501E-2</v>
      </c>
      <c r="Q41" s="245">
        <f t="shared" si="32"/>
        <v>6.7833406668185672E-2</v>
      </c>
      <c r="R41" s="243">
        <f t="shared" si="24"/>
        <v>0.99999999999999978</v>
      </c>
      <c r="S41" s="250"/>
      <c r="T41" s="244">
        <f t="shared" si="9"/>
        <v>1.100048908185655E-2</v>
      </c>
      <c r="U41" s="246">
        <f t="shared" si="14"/>
        <v>0.4312191720087768</v>
      </c>
      <c r="V41" s="246">
        <f t="shared" si="15"/>
        <v>0</v>
      </c>
      <c r="W41" s="246">
        <f t="shared" si="16"/>
        <v>3.6184743309046849E-2</v>
      </c>
      <c r="X41" s="246">
        <f t="shared" si="17"/>
        <v>6.1495227138388588E-3</v>
      </c>
      <c r="Y41" s="246">
        <f t="shared" si="18"/>
        <v>1.0679902086494551E-3</v>
      </c>
      <c r="Z41" s="246">
        <f t="shared" si="10"/>
        <v>0.47462142824031195</v>
      </c>
      <c r="AA41" s="247">
        <f t="shared" si="11"/>
        <v>0.16375978236962305</v>
      </c>
      <c r="AB41" s="122"/>
      <c r="AC41" s="244">
        <f t="shared" si="19"/>
        <v>0</v>
      </c>
      <c r="AD41" s="245">
        <f t="shared" si="20"/>
        <v>0</v>
      </c>
      <c r="AE41" s="245">
        <f t="shared" si="21"/>
        <v>544.62451453689778</v>
      </c>
      <c r="AF41" s="245">
        <f t="shared" si="22"/>
        <v>32.881051337514926</v>
      </c>
      <c r="AG41" s="245">
        <f t="shared" si="23"/>
        <v>9.4150965393939821</v>
      </c>
      <c r="AH41" s="245">
        <f t="shared" si="12"/>
        <v>586.92066241380667</v>
      </c>
      <c r="AI41" s="247">
        <f t="shared" si="33"/>
        <v>202.50665946851268</v>
      </c>
      <c r="AK41" s="259"/>
      <c r="AL41" s="59"/>
      <c r="AM41" s="59"/>
    </row>
    <row r="42" spans="1:39">
      <c r="A42" s="122"/>
      <c r="B42" s="241">
        <v>38</v>
      </c>
      <c r="C42" s="248">
        <f>'Other parameters'!$D$22</f>
        <v>4.1983999999999997E-3</v>
      </c>
      <c r="D42" s="242">
        <f>'Other parameters'!$G$22</f>
        <v>39.200000000000003</v>
      </c>
      <c r="E42" s="234">
        <v>0</v>
      </c>
      <c r="F42" s="248">
        <f t="shared" si="26"/>
        <v>2.6216339729042033E-2</v>
      </c>
      <c r="G42" s="248">
        <f t="shared" si="27"/>
        <v>8.0000000000000016E-2</v>
      </c>
      <c r="H42" s="249">
        <f t="shared" si="28"/>
        <v>0.33498293694823961</v>
      </c>
      <c r="I42" s="122"/>
      <c r="J42" s="244">
        <v>0</v>
      </c>
      <c r="K42" s="245">
        <v>0</v>
      </c>
      <c r="L42" s="245">
        <v>0</v>
      </c>
      <c r="M42" s="245">
        <v>0</v>
      </c>
      <c r="N42" s="245">
        <f t="shared" si="29"/>
        <v>0.87556951709189268</v>
      </c>
      <c r="O42" s="245">
        <f t="shared" si="30"/>
        <v>3.4392953774857772E-2</v>
      </c>
      <c r="P42" s="245">
        <f t="shared" si="31"/>
        <v>1.5361843530247247E-2</v>
      </c>
      <c r="Q42" s="245">
        <f t="shared" si="32"/>
        <v>7.4675685603001973E-2</v>
      </c>
      <c r="R42" s="243">
        <f t="shared" si="24"/>
        <v>0.99999999999999967</v>
      </c>
      <c r="S42" s="250"/>
      <c r="T42" s="244">
        <f t="shared" si="9"/>
        <v>1.1040678934816296E-2</v>
      </c>
      <c r="U42" s="246">
        <f t="shared" si="14"/>
        <v>0.43279461424479881</v>
      </c>
      <c r="V42" s="246">
        <f t="shared" si="15"/>
        <v>0</v>
      </c>
      <c r="W42" s="246">
        <f t="shared" si="16"/>
        <v>3.5898350200767599E-2</v>
      </c>
      <c r="X42" s="246">
        <f t="shared" si="17"/>
        <v>6.1563387256995412E-3</v>
      </c>
      <c r="Y42" s="246">
        <f t="shared" si="18"/>
        <v>1.0753290471173073E-3</v>
      </c>
      <c r="Z42" s="246">
        <f t="shared" si="10"/>
        <v>0.47592463221838327</v>
      </c>
      <c r="AA42" s="247">
        <f t="shared" si="11"/>
        <v>0.1594266310665248</v>
      </c>
      <c r="AB42" s="122"/>
      <c r="AC42" s="244">
        <f t="shared" si="19"/>
        <v>0</v>
      </c>
      <c r="AD42" s="245">
        <f t="shared" si="20"/>
        <v>0</v>
      </c>
      <c r="AE42" s="245">
        <f t="shared" si="21"/>
        <v>540.31394899740701</v>
      </c>
      <c r="AF42" s="245">
        <f t="shared" si="22"/>
        <v>32.917496057916374</v>
      </c>
      <c r="AG42" s="245">
        <f t="shared" si="23"/>
        <v>9.4797936425155758</v>
      </c>
      <c r="AH42" s="245">
        <f t="shared" si="12"/>
        <v>582.71123869783901</v>
      </c>
      <c r="AI42" s="247">
        <f t="shared" si="33"/>
        <v>195.1983221317488</v>
      </c>
      <c r="AK42" s="259"/>
      <c r="AL42" s="59"/>
      <c r="AM42" s="59"/>
    </row>
    <row r="43" spans="1:39">
      <c r="A43" s="122"/>
      <c r="B43" s="241">
        <v>39</v>
      </c>
      <c r="C43" s="248">
        <f>'Other parameters'!$D$22</f>
        <v>4.1983999999999997E-3</v>
      </c>
      <c r="D43" s="242">
        <f>'Other parameters'!$G$22</f>
        <v>39.200000000000003</v>
      </c>
      <c r="E43" s="234">
        <v>0</v>
      </c>
      <c r="F43" s="248">
        <f t="shared" si="26"/>
        <v>2.3721525150779944E-2</v>
      </c>
      <c r="G43" s="248">
        <f t="shared" si="27"/>
        <v>8.0000000000000016E-2</v>
      </c>
      <c r="H43" s="249">
        <f t="shared" si="28"/>
        <v>0.3252261523769317</v>
      </c>
      <c r="I43" s="122"/>
      <c r="J43" s="244">
        <v>0</v>
      </c>
      <c r="K43" s="245">
        <v>0</v>
      </c>
      <c r="L43" s="245">
        <v>0</v>
      </c>
      <c r="M43" s="245">
        <v>0</v>
      </c>
      <c r="N43" s="245">
        <f t="shared" si="29"/>
        <v>0.86866440448143523</v>
      </c>
      <c r="O43" s="245">
        <f t="shared" si="30"/>
        <v>3.4367183042211806E-2</v>
      </c>
      <c r="P43" s="245">
        <f t="shared" si="31"/>
        <v>1.5428179781942148E-2</v>
      </c>
      <c r="Q43" s="245">
        <f t="shared" si="32"/>
        <v>8.1540232694410492E-2</v>
      </c>
      <c r="R43" s="243">
        <f t="shared" si="24"/>
        <v>0.99999999999999956</v>
      </c>
      <c r="S43" s="250"/>
      <c r="T43" s="244">
        <f t="shared" si="9"/>
        <v>1.1062947091408511E-2</v>
      </c>
      <c r="U43" s="246">
        <f t="shared" si="14"/>
        <v>0.43366752598321368</v>
      </c>
      <c r="V43" s="246">
        <f t="shared" si="15"/>
        <v>0</v>
      </c>
      <c r="W43" s="246">
        <f t="shared" si="16"/>
        <v>3.5615240583738848E-2</v>
      </c>
      <c r="X43" s="246">
        <f t="shared" si="17"/>
        <v>6.1517257645559128E-3</v>
      </c>
      <c r="Y43" s="246">
        <f t="shared" si="18"/>
        <v>1.0799725847359504E-3</v>
      </c>
      <c r="Z43" s="246">
        <f t="shared" si="10"/>
        <v>0.47651446491624438</v>
      </c>
      <c r="AA43" s="247">
        <f t="shared" si="11"/>
        <v>0.15497496597666258</v>
      </c>
      <c r="AB43" s="122"/>
      <c r="AC43" s="244">
        <f t="shared" si="19"/>
        <v>0</v>
      </c>
      <c r="AD43" s="245">
        <f t="shared" si="20"/>
        <v>0</v>
      </c>
      <c r="AE43" s="245">
        <f t="shared" si="21"/>
        <v>536.05280400549373</v>
      </c>
      <c r="AF43" s="245">
        <f t="shared" si="22"/>
        <v>32.892830889700917</v>
      </c>
      <c r="AG43" s="245">
        <f t="shared" si="23"/>
        <v>9.5207297434364992</v>
      </c>
      <c r="AH43" s="245">
        <f t="shared" si="12"/>
        <v>578.46636463863115</v>
      </c>
      <c r="AI43" s="247">
        <f t="shared" si="33"/>
        <v>188.13239005089318</v>
      </c>
      <c r="AK43" s="259"/>
      <c r="AL43" s="59"/>
      <c r="AM43" s="59"/>
    </row>
    <row r="44" spans="1:39">
      <c r="A44" s="122"/>
      <c r="B44" s="241">
        <v>40</v>
      </c>
      <c r="C44" s="248">
        <f>'Other parameters'!$D$23</f>
        <v>5.1936000000000005E-3</v>
      </c>
      <c r="D44" s="242">
        <f>'Other parameters'!$G$23</f>
        <v>35</v>
      </c>
      <c r="E44" s="234">
        <v>0</v>
      </c>
      <c r="F44" s="248">
        <f t="shared" si="26"/>
        <v>2.1464123569306798E-2</v>
      </c>
      <c r="G44" s="248">
        <f t="shared" si="27"/>
        <v>8.0000000000000016E-2</v>
      </c>
      <c r="H44" s="249">
        <f t="shared" si="28"/>
        <v>0.31575354599702099</v>
      </c>
      <c r="I44" s="122"/>
      <c r="J44" s="244">
        <v>0</v>
      </c>
      <c r="K44" s="245">
        <v>0</v>
      </c>
      <c r="L44" s="245">
        <v>0</v>
      </c>
      <c r="M44" s="245">
        <v>0</v>
      </c>
      <c r="N44" s="245">
        <f t="shared" si="29"/>
        <v>0.86183338585320013</v>
      </c>
      <c r="O44" s="245">
        <f t="shared" si="30"/>
        <v>3.4291294877124914E-2</v>
      </c>
      <c r="P44" s="245">
        <f t="shared" si="31"/>
        <v>1.5462682671403372E-2</v>
      </c>
      <c r="Q44" s="245">
        <f t="shared" si="32"/>
        <v>8.841263659827131E-2</v>
      </c>
      <c r="R44" s="243">
        <f t="shared" si="24"/>
        <v>0.99999999999999978</v>
      </c>
      <c r="S44" s="250"/>
      <c r="T44" s="244">
        <f t="shared" si="9"/>
        <v>1.2066003903860815E-2</v>
      </c>
      <c r="U44" s="246">
        <f t="shared" si="14"/>
        <v>0.42231013663512851</v>
      </c>
      <c r="V44" s="246">
        <f t="shared" si="15"/>
        <v>0</v>
      </c>
      <c r="W44" s="246">
        <f t="shared" si="16"/>
        <v>3.5335168819981208E-2</v>
      </c>
      <c r="X44" s="246">
        <f t="shared" si="17"/>
        <v>6.1381417830053591E-3</v>
      </c>
      <c r="Y44" s="246">
        <f t="shared" si="18"/>
        <v>1.0823877869982361E-3</v>
      </c>
      <c r="Z44" s="246">
        <f t="shared" si="10"/>
        <v>0.46486583502511336</v>
      </c>
      <c r="AA44" s="247">
        <f t="shared" si="11"/>
        <v>0.14678303582204572</v>
      </c>
      <c r="AB44" s="122"/>
      <c r="AC44" s="244">
        <f t="shared" si="19"/>
        <v>0</v>
      </c>
      <c r="AD44" s="245">
        <f t="shared" si="20"/>
        <v>0</v>
      </c>
      <c r="AE44" s="245">
        <f t="shared" si="21"/>
        <v>531.83738241000981</v>
      </c>
      <c r="AF44" s="245">
        <f t="shared" si="22"/>
        <v>32.820198326896254</v>
      </c>
      <c r="AG44" s="245">
        <f t="shared" si="23"/>
        <v>9.542021476523022</v>
      </c>
      <c r="AH44" s="245">
        <f t="shared" si="12"/>
        <v>574.1996022134291</v>
      </c>
      <c r="AI44" s="247">
        <f t="shared" si="33"/>
        <v>181.30556050896914</v>
      </c>
      <c r="AK44" s="259"/>
      <c r="AL44" s="59"/>
      <c r="AM44" s="59"/>
    </row>
    <row r="45" spans="1:39">
      <c r="A45" s="122"/>
      <c r="B45" s="241">
        <v>41</v>
      </c>
      <c r="C45" s="248">
        <f>'Other parameters'!$D$23</f>
        <v>5.1936000000000005E-3</v>
      </c>
      <c r="D45" s="242">
        <f>'Other parameters'!$G$23</f>
        <v>35</v>
      </c>
      <c r="E45" s="234">
        <v>0</v>
      </c>
      <c r="F45" s="248">
        <f t="shared" si="26"/>
        <v>1.9421542150856345E-2</v>
      </c>
      <c r="G45" s="248">
        <f t="shared" si="27"/>
        <v>8.0000000000000016E-2</v>
      </c>
      <c r="H45" s="249">
        <f t="shared" si="28"/>
        <v>0.30655684077380685</v>
      </c>
      <c r="I45" s="122"/>
      <c r="J45" s="244">
        <v>0</v>
      </c>
      <c r="K45" s="245">
        <v>0</v>
      </c>
      <c r="L45" s="245">
        <v>0</v>
      </c>
      <c r="M45" s="245">
        <v>0</v>
      </c>
      <c r="N45" s="245">
        <f t="shared" si="29"/>
        <v>0.85507163463914149</v>
      </c>
      <c r="O45" s="245">
        <f t="shared" si="30"/>
        <v>3.4176157816930001E-2</v>
      </c>
      <c r="P45" s="245">
        <f t="shared" si="31"/>
        <v>1.5470891079891934E-2</v>
      </c>
      <c r="Q45" s="245">
        <f t="shared" si="32"/>
        <v>9.5281316464036286E-2</v>
      </c>
      <c r="R45" s="243">
        <f t="shared" si="24"/>
        <v>0.99999999999999967</v>
      </c>
      <c r="S45" s="250"/>
      <c r="T45" s="244">
        <f t="shared" si="9"/>
        <v>1.2062279865764979E-2</v>
      </c>
      <c r="U45" s="246">
        <f t="shared" si="14"/>
        <v>0.4221797953017743</v>
      </c>
      <c r="V45" s="246">
        <f t="shared" si="15"/>
        <v>0</v>
      </c>
      <c r="W45" s="246">
        <f t="shared" si="16"/>
        <v>3.50579370202048E-2</v>
      </c>
      <c r="X45" s="246">
        <f t="shared" si="17"/>
        <v>6.1175322492304698E-3</v>
      </c>
      <c r="Y45" s="246">
        <f t="shared" si="18"/>
        <v>1.0829623755924354E-3</v>
      </c>
      <c r="Z45" s="246">
        <f t="shared" si="10"/>
        <v>0.46443822694680198</v>
      </c>
      <c r="AA45" s="247">
        <f t="shared" si="11"/>
        <v>0.14237671558739995</v>
      </c>
      <c r="AB45" s="122"/>
      <c r="AC45" s="244">
        <f t="shared" si="19"/>
        <v>0</v>
      </c>
      <c r="AD45" s="245">
        <f t="shared" si="20"/>
        <v>0</v>
      </c>
      <c r="AE45" s="245">
        <f t="shared" si="21"/>
        <v>527.66470573581421</v>
      </c>
      <c r="AF45" s="245">
        <f t="shared" si="22"/>
        <v>32.710000646583708</v>
      </c>
      <c r="AG45" s="245">
        <f t="shared" si="23"/>
        <v>9.5470868854013133</v>
      </c>
      <c r="AH45" s="245">
        <f t="shared" si="12"/>
        <v>569.92179326779922</v>
      </c>
      <c r="AI45" s="247">
        <f t="shared" si="33"/>
        <v>174.71342443231919</v>
      </c>
      <c r="AK45" s="259"/>
      <c r="AL45" s="59"/>
      <c r="AM45" s="59"/>
    </row>
    <row r="46" spans="1:39">
      <c r="A46" s="122"/>
      <c r="B46" s="241">
        <v>42</v>
      </c>
      <c r="C46" s="248">
        <f>'Other parameters'!$D$23</f>
        <v>5.1936000000000005E-3</v>
      </c>
      <c r="D46" s="242">
        <f>'Other parameters'!$G$23</f>
        <v>35</v>
      </c>
      <c r="E46" s="234">
        <v>0</v>
      </c>
      <c r="F46" s="248">
        <f t="shared" si="26"/>
        <v>1.7573338054057416E-2</v>
      </c>
      <c r="G46" s="248">
        <f t="shared" si="27"/>
        <v>8.0000000000000016E-2</v>
      </c>
      <c r="H46" s="249">
        <f t="shared" si="28"/>
        <v>0.29762800075126877</v>
      </c>
      <c r="I46" s="122"/>
      <c r="J46" s="244">
        <v>0</v>
      </c>
      <c r="K46" s="245">
        <v>0</v>
      </c>
      <c r="L46" s="245">
        <v>0</v>
      </c>
      <c r="M46" s="245">
        <v>0</v>
      </c>
      <c r="N46" s="245">
        <f t="shared" si="29"/>
        <v>0.84837524698582778</v>
      </c>
      <c r="O46" s="245">
        <f t="shared" si="30"/>
        <v>3.4030373624752128E-2</v>
      </c>
      <c r="P46" s="245">
        <f t="shared" si="31"/>
        <v>1.5457404387925346E-2</v>
      </c>
      <c r="Q46" s="245">
        <f t="shared" si="32"/>
        <v>0.10213697500149449</v>
      </c>
      <c r="R46" s="243">
        <f t="shared" si="24"/>
        <v>0.99999999999999978</v>
      </c>
      <c r="S46" s="250"/>
      <c r="T46" s="244">
        <f t="shared" si="9"/>
        <v>1.2049258537458203E-2</v>
      </c>
      <c r="U46" s="246">
        <f t="shared" si="14"/>
        <v>0.42172404881103709</v>
      </c>
      <c r="V46" s="246">
        <f t="shared" si="15"/>
        <v>0</v>
      </c>
      <c r="W46" s="246">
        <f t="shared" si="16"/>
        <v>3.4783385126418938E-2</v>
      </c>
      <c r="X46" s="246">
        <f t="shared" si="17"/>
        <v>6.0914368788306302E-3</v>
      </c>
      <c r="Y46" s="246">
        <f t="shared" si="18"/>
        <v>1.0820183071547744E-3</v>
      </c>
      <c r="Z46" s="246">
        <f t="shared" si="10"/>
        <v>0.46368088912344141</v>
      </c>
      <c r="AA46" s="247">
        <f t="shared" si="11"/>
        <v>0.13800441601638058</v>
      </c>
      <c r="AB46" s="122"/>
      <c r="AC46" s="244">
        <f t="shared" si="19"/>
        <v>0</v>
      </c>
      <c r="AD46" s="245">
        <f t="shared" si="20"/>
        <v>0</v>
      </c>
      <c r="AE46" s="245">
        <f t="shared" si="21"/>
        <v>523.53236491495431</v>
      </c>
      <c r="AF46" s="245">
        <f t="shared" si="22"/>
        <v>32.57047059625026</v>
      </c>
      <c r="AG46" s="245">
        <f t="shared" si="23"/>
        <v>9.5387642477887304</v>
      </c>
      <c r="AH46" s="245">
        <f t="shared" si="12"/>
        <v>565.64159975899338</v>
      </c>
      <c r="AI46" s="247">
        <f t="shared" si="33"/>
        <v>168.35077847801855</v>
      </c>
      <c r="AK46" s="259"/>
      <c r="AL46" s="59"/>
      <c r="AM46" s="59"/>
    </row>
    <row r="47" spans="1:39">
      <c r="A47" s="122"/>
      <c r="B47" s="241">
        <v>43</v>
      </c>
      <c r="C47" s="248">
        <f>'Other parameters'!$D$23</f>
        <v>5.1936000000000005E-3</v>
      </c>
      <c r="D47" s="242">
        <f>'Other parameters'!$G$23</f>
        <v>35</v>
      </c>
      <c r="E47" s="234">
        <v>0</v>
      </c>
      <c r="F47" s="248">
        <f t="shared" si="26"/>
        <v>1.5901013831106387E-2</v>
      </c>
      <c r="G47" s="248">
        <f t="shared" si="27"/>
        <v>8.0000000000000016E-2</v>
      </c>
      <c r="H47" s="249">
        <f t="shared" si="28"/>
        <v>0.28895922403035801</v>
      </c>
      <c r="I47" s="122"/>
      <c r="J47" s="244">
        <v>0</v>
      </c>
      <c r="K47" s="245">
        <v>0</v>
      </c>
      <c r="L47" s="245">
        <v>0</v>
      </c>
      <c r="M47" s="245">
        <v>0</v>
      </c>
      <c r="N47" s="245">
        <f t="shared" si="29"/>
        <v>0.84174105023599843</v>
      </c>
      <c r="O47" s="245">
        <f t="shared" si="30"/>
        <v>3.3860749381255863E-2</v>
      </c>
      <c r="P47" s="245">
        <f t="shared" si="31"/>
        <v>1.542604214537341E-2</v>
      </c>
      <c r="Q47" s="245">
        <f t="shared" si="32"/>
        <v>0.10897215823737204</v>
      </c>
      <c r="R47" s="243">
        <f t="shared" si="24"/>
        <v>0.99999999999999978</v>
      </c>
      <c r="S47" s="250"/>
      <c r="T47" s="244">
        <f t="shared" si="9"/>
        <v>1.2028783235877548E-2</v>
      </c>
      <c r="U47" s="246">
        <f t="shared" si="14"/>
        <v>0.42100741325571417</v>
      </c>
      <c r="V47" s="246">
        <f t="shared" si="15"/>
        <v>0</v>
      </c>
      <c r="W47" s="246">
        <f t="shared" si="16"/>
        <v>3.4511383059675937E-2</v>
      </c>
      <c r="X47" s="246">
        <f t="shared" si="17"/>
        <v>6.0610741392447993E-3</v>
      </c>
      <c r="Y47" s="246">
        <f t="shared" si="18"/>
        <v>1.0798229501761388E-3</v>
      </c>
      <c r="Z47" s="246">
        <f t="shared" si="10"/>
        <v>0.462659693404811</v>
      </c>
      <c r="AA47" s="247">
        <f t="shared" si="11"/>
        <v>0.13368978599637754</v>
      </c>
      <c r="AB47" s="122"/>
      <c r="AC47" s="244">
        <f t="shared" si="19"/>
        <v>0</v>
      </c>
      <c r="AD47" s="245">
        <f t="shared" si="20"/>
        <v>0</v>
      </c>
      <c r="AE47" s="245">
        <f t="shared" si="21"/>
        <v>519.43840210063468</v>
      </c>
      <c r="AF47" s="245">
        <f t="shared" si="22"/>
        <v>32.408123232799987</v>
      </c>
      <c r="AG47" s="245">
        <f t="shared" si="23"/>
        <v>9.5194106079099328</v>
      </c>
      <c r="AH47" s="245">
        <f t="shared" si="12"/>
        <v>561.36593594134456</v>
      </c>
      <c r="AI47" s="247">
        <f t="shared" si="33"/>
        <v>162.21186524668659</v>
      </c>
      <c r="AK47" s="259"/>
      <c r="AL47" s="59"/>
      <c r="AM47" s="59"/>
    </row>
    <row r="48" spans="1:39">
      <c r="A48" s="122"/>
      <c r="B48" s="241">
        <v>44</v>
      </c>
      <c r="C48" s="248">
        <f>'Other parameters'!$D$23</f>
        <v>5.1936000000000005E-3</v>
      </c>
      <c r="D48" s="242">
        <f>'Other parameters'!$G$23</f>
        <v>35</v>
      </c>
      <c r="E48" s="234">
        <v>0</v>
      </c>
      <c r="F48" s="248">
        <f t="shared" si="26"/>
        <v>1.4387832299092386E-2</v>
      </c>
      <c r="G48" s="248">
        <f t="shared" si="27"/>
        <v>8.0000000000000016E-2</v>
      </c>
      <c r="H48" s="249">
        <f t="shared" si="28"/>
        <v>0.28054293595180391</v>
      </c>
      <c r="I48" s="122"/>
      <c r="J48" s="244">
        <v>0</v>
      </c>
      <c r="K48" s="245">
        <v>0</v>
      </c>
      <c r="L48" s="245">
        <v>0</v>
      </c>
      <c r="M48" s="245">
        <v>0</v>
      </c>
      <c r="N48" s="245">
        <f t="shared" si="29"/>
        <v>0.83516645128969436</v>
      </c>
      <c r="O48" s="245">
        <f t="shared" si="30"/>
        <v>3.3672671261012213E-2</v>
      </c>
      <c r="P48" s="245">
        <f t="shared" si="31"/>
        <v>1.5379976500986854E-2</v>
      </c>
      <c r="Q48" s="245">
        <f t="shared" si="32"/>
        <v>0.11578090094830638</v>
      </c>
      <c r="R48" s="243">
        <f t="shared" si="24"/>
        <v>0.99999999999999989</v>
      </c>
      <c r="S48" s="250"/>
      <c r="T48" s="244">
        <f t="shared" si="9"/>
        <v>1.2002342710934342E-2</v>
      </c>
      <c r="U48" s="246">
        <f t="shared" si="14"/>
        <v>0.42008199488270198</v>
      </c>
      <c r="V48" s="246">
        <f t="shared" si="15"/>
        <v>0</v>
      </c>
      <c r="W48" s="246">
        <f t="shared" si="16"/>
        <v>3.4241824502877473E-2</v>
      </c>
      <c r="X48" s="246">
        <f t="shared" si="17"/>
        <v>6.0274081557211857E-3</v>
      </c>
      <c r="Y48" s="246">
        <f t="shared" si="18"/>
        <v>1.0765983550690798E-3</v>
      </c>
      <c r="Z48" s="246">
        <f t="shared" si="10"/>
        <v>0.46142782589636971</v>
      </c>
      <c r="AA48" s="247">
        <f t="shared" si="11"/>
        <v>0.12945031700682538</v>
      </c>
      <c r="AB48" s="122"/>
      <c r="AC48" s="244">
        <f t="shared" si="19"/>
        <v>0</v>
      </c>
      <c r="AD48" s="245">
        <f t="shared" si="20"/>
        <v>0</v>
      </c>
      <c r="AE48" s="245">
        <f t="shared" si="21"/>
        <v>515.38121709087045</v>
      </c>
      <c r="AF48" s="245">
        <f t="shared" si="22"/>
        <v>32.22811366391479</v>
      </c>
      <c r="AG48" s="245">
        <f t="shared" si="23"/>
        <v>9.4909834987589878</v>
      </c>
      <c r="AH48" s="245">
        <f t="shared" si="12"/>
        <v>557.10031425354418</v>
      </c>
      <c r="AI48" s="247">
        <f t="shared" si="33"/>
        <v>156.29055778036187</v>
      </c>
      <c r="AK48" s="259"/>
      <c r="AL48" s="59"/>
      <c r="AM48" s="59"/>
    </row>
    <row r="49" spans="1:39">
      <c r="A49" s="122"/>
      <c r="B49" s="241">
        <v>45</v>
      </c>
      <c r="C49" s="248">
        <f>'Other parameters'!$D$24</f>
        <v>5.7866000000000003E-3</v>
      </c>
      <c r="D49" s="242">
        <f>'Other parameters'!$G$24</f>
        <v>30.9</v>
      </c>
      <c r="E49" s="234">
        <v>0</v>
      </c>
      <c r="F49" s="248">
        <f t="shared" si="26"/>
        <v>1.3018649028645137E-2</v>
      </c>
      <c r="G49" s="248">
        <f t="shared" si="27"/>
        <v>8.0000000000000016E-2</v>
      </c>
      <c r="H49" s="249">
        <f t="shared" si="28"/>
        <v>0.27237178247747956</v>
      </c>
      <c r="I49" s="122"/>
      <c r="J49" s="244">
        <v>0</v>
      </c>
      <c r="K49" s="245">
        <v>0</v>
      </c>
      <c r="L49" s="245">
        <v>0</v>
      </c>
      <c r="M49" s="245">
        <v>0</v>
      </c>
      <c r="N49" s="245">
        <f t="shared" si="29"/>
        <v>0.82864931653990359</v>
      </c>
      <c r="O49" s="245">
        <f t="shared" si="30"/>
        <v>3.3470400468095962E-2</v>
      </c>
      <c r="P49" s="245">
        <f t="shared" si="31"/>
        <v>1.5321842060402503E-2</v>
      </c>
      <c r="Q49" s="245">
        <f t="shared" si="32"/>
        <v>0.12255844093159772</v>
      </c>
      <c r="R49" s="243">
        <f t="shared" si="24"/>
        <v>0.99999999999999978</v>
      </c>
      <c r="S49" s="250"/>
      <c r="T49" s="244">
        <f t="shared" si="9"/>
        <v>1.2564139983291332E-2</v>
      </c>
      <c r="U49" s="246">
        <f t="shared" si="14"/>
        <v>0.38823192548370217</v>
      </c>
      <c r="V49" s="246">
        <f t="shared" si="15"/>
        <v>0</v>
      </c>
      <c r="W49" s="246">
        <f t="shared" si="16"/>
        <v>3.3974621978136048E-2</v>
      </c>
      <c r="X49" s="246">
        <f t="shared" si="17"/>
        <v>5.991201683789177E-3</v>
      </c>
      <c r="Y49" s="246">
        <f t="shared" si="18"/>
        <v>1.0725289442281754E-3</v>
      </c>
      <c r="Z49" s="246">
        <f t="shared" si="10"/>
        <v>0.42927027808985557</v>
      </c>
      <c r="AA49" s="247">
        <f t="shared" si="11"/>
        <v>0.11692111080793731</v>
      </c>
      <c r="AB49" s="122"/>
      <c r="AC49" s="244">
        <f t="shared" si="19"/>
        <v>0</v>
      </c>
      <c r="AD49" s="245">
        <f t="shared" si="20"/>
        <v>0</v>
      </c>
      <c r="AE49" s="245">
        <f t="shared" si="21"/>
        <v>511.35949323677454</v>
      </c>
      <c r="AF49" s="245">
        <f t="shared" si="22"/>
        <v>32.034520288014647</v>
      </c>
      <c r="AG49" s="245">
        <f t="shared" si="23"/>
        <v>9.4551087354743846</v>
      </c>
      <c r="AH49" s="245">
        <f t="shared" si="12"/>
        <v>552.84912226026358</v>
      </c>
      <c r="AI49" s="247">
        <f t="shared" si="33"/>
        <v>150.58050087113801</v>
      </c>
      <c r="AK49" s="259"/>
      <c r="AL49" s="59"/>
      <c r="AM49" s="59"/>
    </row>
    <row r="50" spans="1:39">
      <c r="A50" s="122"/>
      <c r="B50" s="241">
        <v>46</v>
      </c>
      <c r="C50" s="248">
        <f>'Other parameters'!$D$24</f>
        <v>5.7866000000000003E-3</v>
      </c>
      <c r="D50" s="242">
        <f>'Other parameters'!$G$24</f>
        <v>30.9</v>
      </c>
      <c r="E50" s="234">
        <v>0</v>
      </c>
      <c r="F50" s="248">
        <f t="shared" si="26"/>
        <v>1.1779760773395619E-2</v>
      </c>
      <c r="G50" s="248">
        <f t="shared" si="27"/>
        <v>8.0000000000000016E-2</v>
      </c>
      <c r="H50" s="249">
        <f t="shared" si="28"/>
        <v>0.26443862376454325</v>
      </c>
      <c r="I50" s="122"/>
      <c r="J50" s="244">
        <v>0</v>
      </c>
      <c r="K50" s="245">
        <v>0</v>
      </c>
      <c r="L50" s="245">
        <v>0</v>
      </c>
      <c r="M50" s="245">
        <v>0</v>
      </c>
      <c r="N50" s="245">
        <f t="shared" si="29"/>
        <v>0.82218787680723071</v>
      </c>
      <c r="O50" s="245">
        <f t="shared" si="30"/>
        <v>3.3257307541596837E-2</v>
      </c>
      <c r="P50" s="245">
        <f t="shared" si="31"/>
        <v>1.5253827036975269E-2</v>
      </c>
      <c r="Q50" s="245">
        <f t="shared" si="32"/>
        <v>0.12930098861419692</v>
      </c>
      <c r="R50" s="243">
        <f t="shared" si="24"/>
        <v>0.99999999999999978</v>
      </c>
      <c r="S50" s="250"/>
      <c r="T50" s="244">
        <f t="shared" si="9"/>
        <v>1.2529147682599214E-2</v>
      </c>
      <c r="U50" s="246">
        <f t="shared" si="14"/>
        <v>0.38715066339231569</v>
      </c>
      <c r="V50" s="246">
        <f t="shared" si="15"/>
        <v>0</v>
      </c>
      <c r="W50" s="246">
        <f t="shared" si="16"/>
        <v>3.3709702949096462E-2</v>
      </c>
      <c r="X50" s="246">
        <f t="shared" si="17"/>
        <v>5.9530580499458337E-3</v>
      </c>
      <c r="Y50" s="246">
        <f t="shared" si="18"/>
        <v>1.067767892588269E-3</v>
      </c>
      <c r="Z50" s="246">
        <f t="shared" si="10"/>
        <v>0.42788119228394628</v>
      </c>
      <c r="AA50" s="247">
        <f t="shared" si="11"/>
        <v>0.11314831362229866</v>
      </c>
      <c r="AB50" s="122"/>
      <c r="AC50" s="244">
        <f t="shared" si="19"/>
        <v>0</v>
      </c>
      <c r="AD50" s="245">
        <f t="shared" si="20"/>
        <v>0</v>
      </c>
      <c r="AE50" s="245">
        <f t="shared" si="21"/>
        <v>507.37213877774207</v>
      </c>
      <c r="AF50" s="245">
        <f t="shared" si="22"/>
        <v>31.830569048062333</v>
      </c>
      <c r="AG50" s="245">
        <f t="shared" si="23"/>
        <v>9.4131366645174399</v>
      </c>
      <c r="AH50" s="245">
        <f t="shared" si="12"/>
        <v>548.61584449032182</v>
      </c>
      <c r="AI50" s="247">
        <f t="shared" si="33"/>
        <v>145.07521889244339</v>
      </c>
      <c r="AK50" s="259"/>
      <c r="AL50" s="59"/>
      <c r="AM50" s="59"/>
    </row>
    <row r="51" spans="1:39">
      <c r="A51" s="122"/>
      <c r="B51" s="241">
        <v>47</v>
      </c>
      <c r="C51" s="248">
        <f>'Other parameters'!$D$24</f>
        <v>5.7866000000000003E-3</v>
      </c>
      <c r="D51" s="242">
        <f>'Other parameters'!$G$24</f>
        <v>30.9</v>
      </c>
      <c r="E51" s="234">
        <v>0</v>
      </c>
      <c r="F51" s="248">
        <f t="shared" si="26"/>
        <v>1.0658768323280568E-2</v>
      </c>
      <c r="G51" s="248">
        <f t="shared" si="27"/>
        <v>8.0000000000000016E-2</v>
      </c>
      <c r="H51" s="249">
        <f t="shared" si="28"/>
        <v>0.25673652792674101</v>
      </c>
      <c r="I51" s="122"/>
      <c r="J51" s="244">
        <v>0</v>
      </c>
      <c r="K51" s="245">
        <v>0</v>
      </c>
      <c r="L51" s="245">
        <v>0</v>
      </c>
      <c r="M51" s="245">
        <v>0</v>
      </c>
      <c r="N51" s="245">
        <f t="shared" si="29"/>
        <v>0.81578065206747008</v>
      </c>
      <c r="O51" s="245">
        <f t="shared" si="30"/>
        <v>3.3036057865781912E-2</v>
      </c>
      <c r="P51" s="245">
        <f t="shared" si="31"/>
        <v>1.5177748894676307E-2</v>
      </c>
      <c r="Q51" s="245">
        <f t="shared" si="32"/>
        <v>0.13600554117207139</v>
      </c>
      <c r="R51" s="243">
        <f t="shared" si="24"/>
        <v>0.99999999999999967</v>
      </c>
      <c r="S51" s="250"/>
      <c r="T51" s="244">
        <f t="shared" si="9"/>
        <v>1.2491152557874474E-2</v>
      </c>
      <c r="U51" s="246">
        <f t="shared" si="14"/>
        <v>0.38597661403832123</v>
      </c>
      <c r="V51" s="246">
        <f t="shared" si="15"/>
        <v>0</v>
      </c>
      <c r="W51" s="246">
        <f t="shared" si="16"/>
        <v>3.3447006734766277E-2</v>
      </c>
      <c r="X51" s="246">
        <f t="shared" si="17"/>
        <v>5.9134543579749616E-3</v>
      </c>
      <c r="Y51" s="246">
        <f t="shared" si="18"/>
        <v>1.0624424226273416E-3</v>
      </c>
      <c r="Z51" s="246">
        <f t="shared" si="10"/>
        <v>0.42639951755368977</v>
      </c>
      <c r="AA51" s="247">
        <f t="shared" si="11"/>
        <v>0.10947233164637177</v>
      </c>
      <c r="AB51" s="122"/>
      <c r="AC51" s="244">
        <f t="shared" si="19"/>
        <v>0</v>
      </c>
      <c r="AD51" s="245">
        <f t="shared" si="20"/>
        <v>0</v>
      </c>
      <c r="AE51" s="245">
        <f t="shared" si="21"/>
        <v>503.41824039083582</v>
      </c>
      <c r="AF51" s="245">
        <f t="shared" si="22"/>
        <v>31.61881098333987</v>
      </c>
      <c r="AG51" s="245">
        <f t="shared" si="23"/>
        <v>9.3661888429047497</v>
      </c>
      <c r="AH51" s="245">
        <f t="shared" si="12"/>
        <v>544.40324021708045</v>
      </c>
      <c r="AI51" s="247">
        <f t="shared" si="33"/>
        <v>139.76819768540076</v>
      </c>
      <c r="AK51" s="259"/>
      <c r="AL51" s="59"/>
      <c r="AM51" s="59"/>
    </row>
    <row r="52" spans="1:39">
      <c r="A52" s="122"/>
      <c r="B52" s="241">
        <v>48</v>
      </c>
      <c r="C52" s="248">
        <f>'Other parameters'!$D$24</f>
        <v>5.7866000000000003E-3</v>
      </c>
      <c r="D52" s="242">
        <f>'Other parameters'!$G$24</f>
        <v>30.9</v>
      </c>
      <c r="E52" s="234">
        <v>0</v>
      </c>
      <c r="F52" s="248">
        <f t="shared" si="26"/>
        <v>9.644452409080663E-3</v>
      </c>
      <c r="G52" s="248">
        <f t="shared" si="27"/>
        <v>8.0000000000000016E-2</v>
      </c>
      <c r="H52" s="249">
        <f t="shared" si="28"/>
        <v>0.24925876497741845</v>
      </c>
      <c r="I52" s="122"/>
      <c r="J52" s="244">
        <v>0</v>
      </c>
      <c r="K52" s="245">
        <v>0</v>
      </c>
      <c r="L52" s="245">
        <v>0</v>
      </c>
      <c r="M52" s="245">
        <v>0</v>
      </c>
      <c r="N52" s="245">
        <f t="shared" si="29"/>
        <v>0.80942639185016307</v>
      </c>
      <c r="O52" s="245">
        <f t="shared" si="30"/>
        <v>3.2808758546756231E-2</v>
      </c>
      <c r="P52" s="245">
        <f t="shared" si="31"/>
        <v>1.5095117132375253E-2</v>
      </c>
      <c r="Q52" s="245">
        <f t="shared" si="32"/>
        <v>0.14266973247070508</v>
      </c>
      <c r="R52" s="243">
        <f t="shared" si="24"/>
        <v>0.99999999999999956</v>
      </c>
      <c r="S52" s="250"/>
      <c r="T52" s="244">
        <f t="shared" si="9"/>
        <v>1.2450791298633683E-2</v>
      </c>
      <c r="U52" s="246">
        <f t="shared" si="14"/>
        <v>0.38472945112778079</v>
      </c>
      <c r="V52" s="246">
        <f t="shared" si="15"/>
        <v>0</v>
      </c>
      <c r="W52" s="246">
        <f t="shared" si="16"/>
        <v>3.3186482065856684E-2</v>
      </c>
      <c r="X52" s="246">
        <f t="shared" si="17"/>
        <v>5.8727677798693654E-3</v>
      </c>
      <c r="Y52" s="246">
        <f t="shared" si="18"/>
        <v>1.0566581992662678E-3</v>
      </c>
      <c r="Z52" s="246">
        <f t="shared" si="10"/>
        <v>0.42484535917277311</v>
      </c>
      <c r="AA52" s="247">
        <f t="shared" si="11"/>
        <v>0.10589642953379318</v>
      </c>
      <c r="AB52" s="122"/>
      <c r="AC52" s="244">
        <f t="shared" si="19"/>
        <v>0</v>
      </c>
      <c r="AD52" s="245">
        <f t="shared" si="20"/>
        <v>0</v>
      </c>
      <c r="AE52" s="245">
        <f t="shared" si="21"/>
        <v>499.49702641073566</v>
      </c>
      <c r="AF52" s="245">
        <f t="shared" si="22"/>
        <v>31.401262805100391</v>
      </c>
      <c r="AG52" s="245">
        <f t="shared" si="23"/>
        <v>9.3151967823887691</v>
      </c>
      <c r="AH52" s="245">
        <f t="shared" si="12"/>
        <v>540.21348599822477</v>
      </c>
      <c r="AI52" s="247">
        <f t="shared" si="33"/>
        <v>134.65294634406345</v>
      </c>
      <c r="AK52" s="259"/>
      <c r="AL52" s="59"/>
      <c r="AM52" s="59"/>
    </row>
    <row r="53" spans="1:39">
      <c r="A53" s="122"/>
      <c r="B53" s="241">
        <v>49</v>
      </c>
      <c r="C53" s="248">
        <f>'Other parameters'!$D$24</f>
        <v>5.7866000000000003E-3</v>
      </c>
      <c r="D53" s="242">
        <f>'Other parameters'!$G$24</f>
        <v>30.9</v>
      </c>
      <c r="E53" s="234">
        <v>0</v>
      </c>
      <c r="F53" s="248">
        <f t="shared" si="26"/>
        <v>8.7266614162032404E-3</v>
      </c>
      <c r="G53" s="248">
        <f t="shared" si="27"/>
        <v>8.0000000000000016E-2</v>
      </c>
      <c r="H53" s="249">
        <f t="shared" si="28"/>
        <v>0.24199880094894996</v>
      </c>
      <c r="I53" s="122"/>
      <c r="J53" s="244">
        <v>0</v>
      </c>
      <c r="K53" s="245">
        <v>0</v>
      </c>
      <c r="L53" s="245">
        <v>0</v>
      </c>
      <c r="M53" s="245">
        <v>0</v>
      </c>
      <c r="N53" s="245">
        <f t="shared" si="29"/>
        <v>0.80312402804462502</v>
      </c>
      <c r="O53" s="245">
        <f t="shared" si="30"/>
        <v>3.2577074701219497E-2</v>
      </c>
      <c r="P53" s="245">
        <f t="shared" si="31"/>
        <v>1.5007185403998884E-2</v>
      </c>
      <c r="Q53" s="245">
        <f t="shared" si="32"/>
        <v>0.14929171185015627</v>
      </c>
      <c r="R53" s="243">
        <f t="shared" si="24"/>
        <v>0.99999999999999978</v>
      </c>
      <c r="S53" s="250"/>
      <c r="T53" s="244">
        <f t="shared" si="9"/>
        <v>1.2408579379451196E-2</v>
      </c>
      <c r="U53" s="246">
        <f t="shared" si="14"/>
        <v>0.38342510282504194</v>
      </c>
      <c r="V53" s="246">
        <f t="shared" si="15"/>
        <v>0</v>
      </c>
      <c r="W53" s="246">
        <f t="shared" si="16"/>
        <v>3.2928085149829624E-2</v>
      </c>
      <c r="X53" s="246">
        <f t="shared" si="17"/>
        <v>5.8312963715182898E-3</v>
      </c>
      <c r="Y53" s="246">
        <f t="shared" si="18"/>
        <v>1.0505029782799219E-3</v>
      </c>
      <c r="Z53" s="246">
        <f t="shared" si="10"/>
        <v>0.4232349873246698</v>
      </c>
      <c r="AA53" s="247">
        <f t="shared" si="11"/>
        <v>0.10242235945221413</v>
      </c>
      <c r="AB53" s="122"/>
      <c r="AC53" s="244">
        <f t="shared" si="19"/>
        <v>0</v>
      </c>
      <c r="AD53" s="245">
        <f t="shared" si="20"/>
        <v>0</v>
      </c>
      <c r="AE53" s="245">
        <f t="shared" si="21"/>
        <v>495.6078377063381</v>
      </c>
      <c r="AF53" s="245">
        <f t="shared" si="22"/>
        <v>31.179518196537181</v>
      </c>
      <c r="AG53" s="245">
        <f t="shared" si="23"/>
        <v>9.2609341128077123</v>
      </c>
      <c r="AH53" s="245">
        <f t="shared" si="12"/>
        <v>536.04829001568305</v>
      </c>
      <c r="AI53" s="247">
        <f t="shared" si="33"/>
        <v>129.7230434345303</v>
      </c>
      <c r="AK53" s="259"/>
      <c r="AL53" s="59"/>
      <c r="AM53" s="59"/>
    </row>
    <row r="54" spans="1:39">
      <c r="A54" s="122"/>
      <c r="B54" s="241">
        <v>50</v>
      </c>
      <c r="C54" s="248">
        <f>'Other parameters'!$D$25</f>
        <v>7.5960000000000003E-3</v>
      </c>
      <c r="D54" s="242">
        <f>'Other parameters'!$G$25</f>
        <v>26.7</v>
      </c>
      <c r="E54" s="234">
        <v>0</v>
      </c>
      <c r="F54" s="248">
        <f t="shared" si="26"/>
        <v>7.8962097839113694E-3</v>
      </c>
      <c r="G54" s="248">
        <f t="shared" si="27"/>
        <v>8.0000000000000016E-2</v>
      </c>
      <c r="H54" s="249">
        <f t="shared" si="28"/>
        <v>0.2349502921834466</v>
      </c>
      <c r="I54" s="122"/>
      <c r="J54" s="244">
        <v>0</v>
      </c>
      <c r="K54" s="245">
        <v>0</v>
      </c>
      <c r="L54" s="245">
        <v>0</v>
      </c>
      <c r="M54" s="245">
        <v>0</v>
      </c>
      <c r="N54" s="245">
        <f t="shared" si="29"/>
        <v>0.79687263752956883</v>
      </c>
      <c r="O54" s="245">
        <f t="shared" si="30"/>
        <v>3.2342321527385462E-2</v>
      </c>
      <c r="P54" s="245">
        <f t="shared" si="31"/>
        <v>1.4914994792768836E-2</v>
      </c>
      <c r="Q54" s="245">
        <f t="shared" si="32"/>
        <v>0.15587004615027653</v>
      </c>
      <c r="R54" s="243">
        <f t="shared" si="24"/>
        <v>0.99999999999999967</v>
      </c>
      <c r="S54" s="250"/>
      <c r="T54" s="244">
        <f t="shared" si="9"/>
        <v>1.4174334300120252E-2</v>
      </c>
      <c r="U54" s="246">
        <f t="shared" si="14"/>
        <v>0.37845472581321071</v>
      </c>
      <c r="V54" s="246">
        <f t="shared" si="15"/>
        <v>0</v>
      </c>
      <c r="W54" s="246">
        <f t="shared" si="16"/>
        <v>3.2671778138712325E-2</v>
      </c>
      <c r="X54" s="246">
        <f t="shared" si="17"/>
        <v>5.7892755534019978E-3</v>
      </c>
      <c r="Y54" s="246">
        <f t="shared" si="18"/>
        <v>1.0440496354938186E-3</v>
      </c>
      <c r="Z54" s="246">
        <f t="shared" si="10"/>
        <v>0.41795982914081881</v>
      </c>
      <c r="AA54" s="247">
        <f t="shared" si="11"/>
        <v>9.8199783977578795E-2</v>
      </c>
      <c r="AB54" s="122"/>
      <c r="AC54" s="244">
        <f t="shared" si="19"/>
        <v>0</v>
      </c>
      <c r="AD54" s="245">
        <f t="shared" si="20"/>
        <v>0</v>
      </c>
      <c r="AE54" s="245">
        <f t="shared" si="21"/>
        <v>491.75010461949694</v>
      </c>
      <c r="AF54" s="245">
        <f t="shared" si="22"/>
        <v>30.954835933860625</v>
      </c>
      <c r="AG54" s="245">
        <f t="shared" si="23"/>
        <v>9.2040432866176491</v>
      </c>
      <c r="AH54" s="245">
        <f t="shared" si="12"/>
        <v>531.90898383997524</v>
      </c>
      <c r="AI54" s="247">
        <f t="shared" si="33"/>
        <v>124.97217116820235</v>
      </c>
      <c r="AK54" s="259"/>
      <c r="AL54" s="59"/>
      <c r="AM54" s="59"/>
    </row>
    <row r="55" spans="1:39">
      <c r="A55" s="122"/>
      <c r="B55" s="241">
        <v>51</v>
      </c>
      <c r="C55" s="248">
        <f>'Other parameters'!$D$25</f>
        <v>7.5960000000000003E-3</v>
      </c>
      <c r="D55" s="242">
        <f>'Other parameters'!$G$25</f>
        <v>26.7</v>
      </c>
      <c r="E55" s="234">
        <v>0</v>
      </c>
      <c r="F55" s="248">
        <f t="shared" si="26"/>
        <v>7.144786073144645E-3</v>
      </c>
      <c r="G55" s="248">
        <f t="shared" si="27"/>
        <v>8.0000000000000016E-2</v>
      </c>
      <c r="H55" s="249">
        <f t="shared" si="28"/>
        <v>0.22810707978975397</v>
      </c>
      <c r="I55" s="122"/>
      <c r="J55" s="244">
        <v>0</v>
      </c>
      <c r="K55" s="245">
        <v>0</v>
      </c>
      <c r="L55" s="245">
        <v>0</v>
      </c>
      <c r="M55" s="245">
        <v>0</v>
      </c>
      <c r="N55" s="245">
        <f t="shared" si="29"/>
        <v>0.79067141258055629</v>
      </c>
      <c r="O55" s="245">
        <f t="shared" si="30"/>
        <v>3.2105537201536513E-2</v>
      </c>
      <c r="P55" s="245">
        <f t="shared" si="31"/>
        <v>1.4819409746314738E-2</v>
      </c>
      <c r="Q55" s="245">
        <f t="shared" si="32"/>
        <v>0.16240364047159211</v>
      </c>
      <c r="R55" s="243">
        <f t="shared" si="24"/>
        <v>0.99999999999999956</v>
      </c>
      <c r="S55" s="250"/>
      <c r="T55" s="244">
        <f t="shared" si="9"/>
        <v>1.4129594321315579E-2</v>
      </c>
      <c r="U55" s="246">
        <f t="shared" si="14"/>
        <v>0.37726016837912596</v>
      </c>
      <c r="V55" s="246">
        <f t="shared" si="15"/>
        <v>0</v>
      </c>
      <c r="W55" s="246">
        <f t="shared" si="16"/>
        <v>3.241752791580281E-2</v>
      </c>
      <c r="X55" s="246">
        <f t="shared" si="17"/>
        <v>5.7468911590750358E-3</v>
      </c>
      <c r="Y55" s="246">
        <f t="shared" si="18"/>
        <v>1.0373586822420317E-3</v>
      </c>
      <c r="Z55" s="246">
        <f t="shared" si="10"/>
        <v>0.41646194613624588</v>
      </c>
      <c r="AA55" s="247">
        <f t="shared" si="11"/>
        <v>9.4997918376696855E-2</v>
      </c>
      <c r="AB55" s="122"/>
      <c r="AC55" s="244">
        <f t="shared" si="19"/>
        <v>0</v>
      </c>
      <c r="AD55" s="245">
        <f t="shared" si="20"/>
        <v>0</v>
      </c>
      <c r="AE55" s="245">
        <f t="shared" si="21"/>
        <v>487.92332870346132</v>
      </c>
      <c r="AF55" s="245">
        <f t="shared" si="22"/>
        <v>30.728209655590597</v>
      </c>
      <c r="AG55" s="245">
        <f t="shared" si="23"/>
        <v>9.1450577544508249</v>
      </c>
      <c r="AH55" s="245">
        <f t="shared" si="12"/>
        <v>527.79659611350269</v>
      </c>
      <c r="AI55" s="247">
        <f t="shared" si="33"/>
        <v>120.39414026242331</v>
      </c>
      <c r="AK55" s="259"/>
      <c r="AL55" s="59"/>
      <c r="AM55" s="59"/>
    </row>
    <row r="56" spans="1:39">
      <c r="A56" s="122"/>
      <c r="B56" s="241">
        <v>52</v>
      </c>
      <c r="C56" s="248">
        <f>'Other parameters'!$D$25</f>
        <v>7.5960000000000003E-3</v>
      </c>
      <c r="D56" s="242">
        <f>'Other parameters'!$G$25</f>
        <v>26.7</v>
      </c>
      <c r="E56" s="234">
        <v>0</v>
      </c>
      <c r="F56" s="248">
        <f t="shared" si="26"/>
        <v>6.4648697828434826E-3</v>
      </c>
      <c r="G56" s="248">
        <f t="shared" si="27"/>
        <v>8.0000000000000016E-2</v>
      </c>
      <c r="H56" s="249">
        <f t="shared" si="28"/>
        <v>0.22146318426189707</v>
      </c>
      <c r="I56" s="122"/>
      <c r="J56" s="244">
        <v>0</v>
      </c>
      <c r="K56" s="245">
        <v>0</v>
      </c>
      <c r="L56" s="245">
        <v>0</v>
      </c>
      <c r="M56" s="245">
        <v>0</v>
      </c>
      <c r="N56" s="245">
        <f t="shared" si="29"/>
        <v>0.78451963743554554</v>
      </c>
      <c r="O56" s="245">
        <f t="shared" si="30"/>
        <v>3.1867540593360437E-2</v>
      </c>
      <c r="P56" s="245">
        <f t="shared" si="31"/>
        <v>1.4721147921674924E-2</v>
      </c>
      <c r="Q56" s="245">
        <f t="shared" si="32"/>
        <v>0.16889167404941874</v>
      </c>
      <c r="R56" s="243">
        <f t="shared" si="24"/>
        <v>0.99999999999999956</v>
      </c>
      <c r="S56" s="250"/>
      <c r="T56" s="244">
        <f t="shared" si="9"/>
        <v>1.4084033577826626E-2</v>
      </c>
      <c r="U56" s="246">
        <f t="shared" si="14"/>
        <v>0.37604369652797093</v>
      </c>
      <c r="V56" s="246">
        <f t="shared" si="15"/>
        <v>0</v>
      </c>
      <c r="W56" s="246">
        <f t="shared" si="16"/>
        <v>3.2165305134857367E-2</v>
      </c>
      <c r="X56" s="246">
        <f t="shared" si="17"/>
        <v>5.7042897662115183E-3</v>
      </c>
      <c r="Y56" s="246">
        <f t="shared" si="18"/>
        <v>1.0304803545172448E-3</v>
      </c>
      <c r="Z56" s="246">
        <f t="shared" si="10"/>
        <v>0.41494377178355707</v>
      </c>
      <c r="AA56" s="247">
        <f t="shared" si="11"/>
        <v>9.1894768988828465E-2</v>
      </c>
      <c r="AB56" s="122"/>
      <c r="AC56" s="244">
        <f t="shared" si="19"/>
        <v>0</v>
      </c>
      <c r="AD56" s="245">
        <f t="shared" si="20"/>
        <v>0</v>
      </c>
      <c r="AE56" s="245">
        <f t="shared" si="21"/>
        <v>484.12706826147519</v>
      </c>
      <c r="AF56" s="245">
        <f t="shared" si="22"/>
        <v>30.500423101905273</v>
      </c>
      <c r="AG56" s="245">
        <f t="shared" si="23"/>
        <v>9.0844203824655967</v>
      </c>
      <c r="AH56" s="245">
        <f t="shared" si="12"/>
        <v>523.71191174584612</v>
      </c>
      <c r="AI56" s="247">
        <f t="shared" si="33"/>
        <v>115.98290761112069</v>
      </c>
      <c r="AK56" s="259"/>
      <c r="AL56" s="59"/>
      <c r="AM56" s="59"/>
    </row>
    <row r="57" spans="1:39">
      <c r="A57" s="122"/>
      <c r="B57" s="241">
        <v>53</v>
      </c>
      <c r="C57" s="248">
        <f>'Other parameters'!$D$25</f>
        <v>7.5960000000000003E-3</v>
      </c>
      <c r="D57" s="242">
        <f>'Other parameters'!$G$25</f>
        <v>26.7</v>
      </c>
      <c r="E57" s="234">
        <v>0</v>
      </c>
      <c r="F57" s="248">
        <f t="shared" si="26"/>
        <v>5.8496560822467909E-3</v>
      </c>
      <c r="G57" s="248">
        <f t="shared" si="27"/>
        <v>8.0000000000000016E-2</v>
      </c>
      <c r="H57" s="249">
        <f t="shared" si="28"/>
        <v>0.215012800254269</v>
      </c>
      <c r="I57" s="122"/>
      <c r="J57" s="244">
        <v>0</v>
      </c>
      <c r="K57" s="245">
        <v>0</v>
      </c>
      <c r="L57" s="245">
        <v>0</v>
      </c>
      <c r="M57" s="245">
        <v>0</v>
      </c>
      <c r="N57" s="245">
        <f t="shared" si="29"/>
        <v>0.77841666973612167</v>
      </c>
      <c r="O57" s="245">
        <f t="shared" si="30"/>
        <v>3.1628976961626136E-2</v>
      </c>
      <c r="P57" s="245">
        <f t="shared" si="31"/>
        <v>1.4620804975743366E-2</v>
      </c>
      <c r="Q57" s="245">
        <f t="shared" si="32"/>
        <v>0.17533354832650849</v>
      </c>
      <c r="R57" s="243">
        <f t="shared" si="24"/>
        <v>0.99999999999999967</v>
      </c>
      <c r="S57" s="250"/>
      <c r="T57" s="244">
        <f t="shared" si="9"/>
        <v>1.4037874277089767E-2</v>
      </c>
      <c r="U57" s="246">
        <f t="shared" si="14"/>
        <v>0.37481124319829678</v>
      </c>
      <c r="V57" s="246">
        <f t="shared" si="15"/>
        <v>0</v>
      </c>
      <c r="W57" s="246">
        <f t="shared" si="16"/>
        <v>3.1915083459180989E-2</v>
      </c>
      <c r="X57" s="246">
        <f t="shared" si="17"/>
        <v>5.661586876131078E-3</v>
      </c>
      <c r="Y57" s="246">
        <f t="shared" si="18"/>
        <v>1.0234563483020357E-3</v>
      </c>
      <c r="Z57" s="246">
        <f t="shared" si="10"/>
        <v>0.41341136988191085</v>
      </c>
      <c r="AA57" s="247">
        <f t="shared" si="11"/>
        <v>8.8888736295263018E-2</v>
      </c>
      <c r="AB57" s="122"/>
      <c r="AC57" s="244">
        <f t="shared" si="19"/>
        <v>0</v>
      </c>
      <c r="AD57" s="245">
        <f t="shared" si="20"/>
        <v>0</v>
      </c>
      <c r="AE57" s="245">
        <f t="shared" si="21"/>
        <v>480.36092689416068</v>
      </c>
      <c r="AF57" s="245">
        <f t="shared" si="22"/>
        <v>30.272093849972375</v>
      </c>
      <c r="AG57" s="245">
        <f t="shared" si="23"/>
        <v>9.0224987505312306</v>
      </c>
      <c r="AH57" s="245">
        <f t="shared" si="12"/>
        <v>519.6555194946643</v>
      </c>
      <c r="AI57" s="247">
        <f t="shared" si="33"/>
        <v>111.73258841413464</v>
      </c>
      <c r="AK57" s="259"/>
      <c r="AL57" s="59"/>
      <c r="AM57" s="59"/>
    </row>
    <row r="58" spans="1:39">
      <c r="A58" s="122"/>
      <c r="B58" s="241">
        <v>54</v>
      </c>
      <c r="C58" s="248">
        <f>'Other parameters'!$D$25</f>
        <v>7.5960000000000003E-3</v>
      </c>
      <c r="D58" s="242">
        <f>'Other parameters'!$G$25</f>
        <v>26.7</v>
      </c>
      <c r="E58" s="234">
        <v>0</v>
      </c>
      <c r="F58" s="248">
        <f t="shared" si="26"/>
        <v>5.2929877058585347E-3</v>
      </c>
      <c r="G58" s="248">
        <f t="shared" si="27"/>
        <v>8.0000000000000016E-2</v>
      </c>
      <c r="H58" s="249">
        <f t="shared" si="28"/>
        <v>0.20875029150899907</v>
      </c>
      <c r="I58" s="122"/>
      <c r="J58" s="244">
        <v>0</v>
      </c>
      <c r="K58" s="245">
        <v>0</v>
      </c>
      <c r="L58" s="245">
        <v>0</v>
      </c>
      <c r="M58" s="245">
        <v>0</v>
      </c>
      <c r="N58" s="245">
        <f t="shared" si="29"/>
        <v>0.77236192582906338</v>
      </c>
      <c r="O58" s="245">
        <f t="shared" si="30"/>
        <v>3.1390354133346891E-2</v>
      </c>
      <c r="P58" s="245">
        <f t="shared" si="31"/>
        <v>1.4518875159928496E-2</v>
      </c>
      <c r="Q58" s="245">
        <f t="shared" si="32"/>
        <v>0.18172884487766089</v>
      </c>
      <c r="R58" s="243">
        <f t="shared" si="24"/>
        <v>0.99999999999999956</v>
      </c>
      <c r="S58" s="250"/>
      <c r="T58" s="244">
        <f t="shared" si="9"/>
        <v>1.3991296551152409E-2</v>
      </c>
      <c r="U58" s="246">
        <f t="shared" si="14"/>
        <v>0.37356761791576931</v>
      </c>
      <c r="V58" s="246">
        <f t="shared" si="15"/>
        <v>0</v>
      </c>
      <c r="W58" s="246">
        <f t="shared" si="16"/>
        <v>3.1666838958991597E-2</v>
      </c>
      <c r="X58" s="246">
        <f t="shared" si="17"/>
        <v>5.6188733898690935E-3</v>
      </c>
      <c r="Y58" s="246">
        <f t="shared" si="18"/>
        <v>1.0163212611949948E-3</v>
      </c>
      <c r="Z58" s="246">
        <f t="shared" si="10"/>
        <v>0.411869651525825</v>
      </c>
      <c r="AA58" s="247">
        <f t="shared" si="11"/>
        <v>8.5977909819725834E-2</v>
      </c>
      <c r="AB58" s="122"/>
      <c r="AC58" s="244">
        <f t="shared" si="19"/>
        <v>0</v>
      </c>
      <c r="AD58" s="245">
        <f t="shared" si="20"/>
        <v>0</v>
      </c>
      <c r="AE58" s="245">
        <f t="shared" si="21"/>
        <v>476.62454442911502</v>
      </c>
      <c r="AF58" s="245">
        <f t="shared" si="22"/>
        <v>30.043707941026309</v>
      </c>
      <c r="AG58" s="245">
        <f t="shared" si="23"/>
        <v>8.9595978611918756</v>
      </c>
      <c r="AH58" s="245">
        <f t="shared" si="12"/>
        <v>515.62785023133324</v>
      </c>
      <c r="AI58" s="247">
        <f t="shared" si="33"/>
        <v>107.63746404594933</v>
      </c>
      <c r="AK58" s="259"/>
      <c r="AL58" s="59"/>
      <c r="AM58" s="59"/>
    </row>
    <row r="59" spans="1:39">
      <c r="A59" s="122"/>
      <c r="B59" s="241">
        <v>55</v>
      </c>
      <c r="C59" s="248">
        <f>'Other parameters'!$D$26</f>
        <v>9.7777999999999997E-3</v>
      </c>
      <c r="D59" s="242">
        <f>'Other parameters'!$G$26</f>
        <v>22.7</v>
      </c>
      <c r="E59" s="234">
        <v>0</v>
      </c>
      <c r="F59" s="248">
        <f t="shared" si="26"/>
        <v>4.7892933294651132E-3</v>
      </c>
      <c r="G59" s="248">
        <f t="shared" si="27"/>
        <v>8.0000000000000016E-2</v>
      </c>
      <c r="H59" s="249">
        <f t="shared" si="28"/>
        <v>0.20267018593106703</v>
      </c>
      <c r="I59" s="122"/>
      <c r="J59" s="244">
        <v>0</v>
      </c>
      <c r="K59" s="245">
        <v>0</v>
      </c>
      <c r="L59" s="245">
        <v>0</v>
      </c>
      <c r="M59" s="245">
        <v>0</v>
      </c>
      <c r="N59" s="245">
        <f t="shared" si="29"/>
        <v>0.76635486912435036</v>
      </c>
      <c r="O59" s="245">
        <f t="shared" si="30"/>
        <v>3.1152071148288094E-2</v>
      </c>
      <c r="P59" s="245">
        <f t="shared" si="31"/>
        <v>1.4415768431323842E-2</v>
      </c>
      <c r="Q59" s="245">
        <f t="shared" si="32"/>
        <v>0.18807729129603731</v>
      </c>
      <c r="R59" s="243">
        <f t="shared" si="24"/>
        <v>0.99999999999999967</v>
      </c>
      <c r="S59" s="250"/>
      <c r="T59" s="244">
        <f t="shared" si="9"/>
        <v>1.6126246418376421E-2</v>
      </c>
      <c r="U59" s="246">
        <f t="shared" si="14"/>
        <v>0.36606579369714476</v>
      </c>
      <c r="V59" s="246">
        <f t="shared" si="15"/>
        <v>0</v>
      </c>
      <c r="W59" s="246">
        <f t="shared" si="16"/>
        <v>3.1420549634098363E-2</v>
      </c>
      <c r="X59" s="246">
        <f t="shared" si="17"/>
        <v>5.5762207355435685E-3</v>
      </c>
      <c r="Y59" s="246">
        <f t="shared" si="18"/>
        <v>1.009103790192669E-3</v>
      </c>
      <c r="Z59" s="246">
        <f t="shared" si="10"/>
        <v>0.40407166785697934</v>
      </c>
      <c r="AA59" s="247">
        <f t="shared" si="11"/>
        <v>8.189328005405036E-2</v>
      </c>
      <c r="AB59" s="122"/>
      <c r="AC59" s="244">
        <f t="shared" si="19"/>
        <v>0</v>
      </c>
      <c r="AD59" s="245">
        <f t="shared" si="20"/>
        <v>0</v>
      </c>
      <c r="AE59" s="245">
        <f t="shared" si="21"/>
        <v>472.91758973663661</v>
      </c>
      <c r="AF59" s="245">
        <f t="shared" si="22"/>
        <v>29.815647296026533</v>
      </c>
      <c r="AG59" s="245">
        <f t="shared" si="23"/>
        <v>8.8959706989699434</v>
      </c>
      <c r="AH59" s="245">
        <f t="shared" si="12"/>
        <v>511.62920773163313</v>
      </c>
      <c r="AI59" s="247">
        <f t="shared" si="33"/>
        <v>103.69198665873461</v>
      </c>
      <c r="AK59" s="259"/>
      <c r="AL59" s="59"/>
      <c r="AM59" s="59"/>
    </row>
    <row r="60" spans="1:39">
      <c r="A60" s="122"/>
      <c r="B60" s="241">
        <v>56</v>
      </c>
      <c r="C60" s="248">
        <f>'Other parameters'!$D$26</f>
        <v>9.7777999999999997E-3</v>
      </c>
      <c r="D60" s="242">
        <f>'Other parameters'!$G$26</f>
        <v>22.7</v>
      </c>
      <c r="E60" s="234">
        <v>0</v>
      </c>
      <c r="F60" s="248">
        <f t="shared" si="26"/>
        <v>4.3335318104500576E-3</v>
      </c>
      <c r="G60" s="248">
        <f t="shared" si="27"/>
        <v>8.0000000000000016E-2</v>
      </c>
      <c r="H60" s="249">
        <f t="shared" si="28"/>
        <v>0.19676717080686118</v>
      </c>
      <c r="I60" s="122"/>
      <c r="J60" s="244">
        <v>0</v>
      </c>
      <c r="K60" s="245">
        <v>0</v>
      </c>
      <c r="L60" s="245">
        <v>0</v>
      </c>
      <c r="M60" s="245">
        <v>0</v>
      </c>
      <c r="N60" s="245">
        <f t="shared" si="29"/>
        <v>0.76039500087312928</v>
      </c>
      <c r="O60" s="245">
        <f t="shared" si="30"/>
        <v>3.0914440937946007E-2</v>
      </c>
      <c r="P60" s="245">
        <f t="shared" si="31"/>
        <v>1.4311824671319959E-2</v>
      </c>
      <c r="Q60" s="245">
        <f t="shared" si="32"/>
        <v>0.1943787335176044</v>
      </c>
      <c r="R60" s="243">
        <f t="shared" si="24"/>
        <v>0.99999999999999967</v>
      </c>
      <c r="S60" s="250"/>
      <c r="T60" s="244">
        <f t="shared" si="9"/>
        <v>1.6079242221567092E-2</v>
      </c>
      <c r="U60" s="246">
        <f t="shared" si="14"/>
        <v>0.36499879842957295</v>
      </c>
      <c r="V60" s="246">
        <f t="shared" si="15"/>
        <v>0</v>
      </c>
      <c r="W60" s="246">
        <f t="shared" si="16"/>
        <v>3.1176195035798302E-2</v>
      </c>
      <c r="X60" s="246">
        <f t="shared" si="17"/>
        <v>5.5336849278923347E-3</v>
      </c>
      <c r="Y60" s="246">
        <f t="shared" si="18"/>
        <v>1.0018277269923971E-3</v>
      </c>
      <c r="Z60" s="246">
        <f t="shared" si="10"/>
        <v>0.40271050612025605</v>
      </c>
      <c r="AA60" s="247">
        <f t="shared" si="11"/>
        <v>7.9240206943481939E-2</v>
      </c>
      <c r="AB60" s="122"/>
      <c r="AC60" s="244">
        <f t="shared" si="19"/>
        <v>0</v>
      </c>
      <c r="AD60" s="245">
        <f t="shared" si="20"/>
        <v>0</v>
      </c>
      <c r="AE60" s="245">
        <f t="shared" si="21"/>
        <v>469.23975503880808</v>
      </c>
      <c r="AF60" s="245">
        <f t="shared" si="22"/>
        <v>29.588211421708124</v>
      </c>
      <c r="AG60" s="245">
        <f t="shared" si="23"/>
        <v>8.8318270046715472</v>
      </c>
      <c r="AH60" s="245">
        <f t="shared" si="12"/>
        <v>507.65979346518776</v>
      </c>
      <c r="AI60" s="247">
        <f t="shared" si="33"/>
        <v>99.890781292540467</v>
      </c>
      <c r="AK60" s="259"/>
      <c r="AL60" s="59"/>
      <c r="AM60" s="59"/>
    </row>
    <row r="61" spans="1:39">
      <c r="A61" s="122"/>
      <c r="B61" s="241">
        <v>57</v>
      </c>
      <c r="C61" s="248">
        <f>'Other parameters'!$D$26</f>
        <v>9.7777999999999997E-3</v>
      </c>
      <c r="D61" s="242">
        <f>'Other parameters'!$G$26</f>
        <v>22.7</v>
      </c>
      <c r="E61" s="234">
        <v>0</v>
      </c>
      <c r="F61" s="248">
        <f t="shared" ref="F61:F92" si="34">IF(B61&lt;rf2age,0,(pA2_3a*EXP(-0.1*(B61-$B$28))))</f>
        <v>3.9211417343443262E-3</v>
      </c>
      <c r="G61" s="248">
        <f t="shared" si="27"/>
        <v>8.0000000000000016E-2</v>
      </c>
      <c r="H61" s="249">
        <f t="shared" si="28"/>
        <v>0.19103608816200118</v>
      </c>
      <c r="I61" s="122"/>
      <c r="J61" s="244">
        <v>0</v>
      </c>
      <c r="K61" s="245">
        <v>0</v>
      </c>
      <c r="L61" s="245">
        <v>0</v>
      </c>
      <c r="M61" s="245">
        <v>0</v>
      </c>
      <c r="N61" s="245">
        <f t="shared" si="29"/>
        <v>0.75448185286170621</v>
      </c>
      <c r="O61" s="245">
        <f t="shared" si="30"/>
        <v>3.0677708281346527E-2</v>
      </c>
      <c r="P61" s="245">
        <f t="shared" si="31"/>
        <v>1.4207325501988825E-2</v>
      </c>
      <c r="Q61" s="245">
        <f t="shared" si="32"/>
        <v>0.20063311335495809</v>
      </c>
      <c r="R61" s="243">
        <f t="shared" si="24"/>
        <v>0.99999999999999956</v>
      </c>
      <c r="S61" s="250"/>
      <c r="T61" s="244">
        <f t="shared" si="9"/>
        <v>1.6032179837353683E-2</v>
      </c>
      <c r="U61" s="246">
        <f t="shared" si="14"/>
        <v>0.36393048230792863</v>
      </c>
      <c r="V61" s="246">
        <f t="shared" si="15"/>
        <v>0</v>
      </c>
      <c r="W61" s="246">
        <f t="shared" si="16"/>
        <v>3.0933755967329956E-2</v>
      </c>
      <c r="X61" s="246">
        <f t="shared" si="17"/>
        <v>5.4913097823610282E-3</v>
      </c>
      <c r="Y61" s="246">
        <f t="shared" si="18"/>
        <v>9.9451278513921788E-4</v>
      </c>
      <c r="Z61" s="246">
        <f t="shared" si="10"/>
        <v>0.40135006084275882</v>
      </c>
      <c r="AA61" s="247">
        <f t="shared" si="11"/>
        <v>7.6672345606981815E-2</v>
      </c>
      <c r="AB61" s="122"/>
      <c r="AC61" s="244">
        <f t="shared" si="19"/>
        <v>0</v>
      </c>
      <c r="AD61" s="245">
        <f t="shared" si="20"/>
        <v>0</v>
      </c>
      <c r="AE61" s="245">
        <f t="shared" si="21"/>
        <v>465.59075140095894</v>
      </c>
      <c r="AF61" s="245">
        <f t="shared" si="22"/>
        <v>29.361634596076762</v>
      </c>
      <c r="AG61" s="245">
        <f t="shared" si="23"/>
        <v>8.767340567277305</v>
      </c>
      <c r="AH61" s="245">
        <f t="shared" si="12"/>
        <v>503.71972656431302</v>
      </c>
      <c r="AI61" s="247">
        <f t="shared" si="33"/>
        <v>96.228646092879231</v>
      </c>
      <c r="AK61" s="259"/>
      <c r="AL61" s="59"/>
      <c r="AM61" s="59"/>
    </row>
    <row r="62" spans="1:39">
      <c r="A62" s="122"/>
      <c r="B62" s="241">
        <v>58</v>
      </c>
      <c r="C62" s="248">
        <f>'Other parameters'!$D$26</f>
        <v>9.7777999999999997E-3</v>
      </c>
      <c r="D62" s="242">
        <f>'Other parameters'!$G$26</f>
        <v>22.7</v>
      </c>
      <c r="E62" s="234">
        <v>0</v>
      </c>
      <c r="F62" s="248">
        <f t="shared" si="34"/>
        <v>3.5479957626571644E-3</v>
      </c>
      <c r="G62" s="248">
        <f t="shared" si="27"/>
        <v>8.0000000000000016E-2</v>
      </c>
      <c r="H62" s="249">
        <f t="shared" si="28"/>
        <v>0.18547193025437006</v>
      </c>
      <c r="I62" s="122"/>
      <c r="J62" s="244">
        <v>0</v>
      </c>
      <c r="K62" s="245">
        <v>0</v>
      </c>
      <c r="L62" s="245">
        <v>0</v>
      </c>
      <c r="M62" s="245">
        <v>0</v>
      </c>
      <c r="N62" s="245">
        <f t="shared" si="29"/>
        <v>0.74861498162258089</v>
      </c>
      <c r="O62" s="245">
        <f t="shared" si="30"/>
        <v>3.0442064021288351E-2</v>
      </c>
      <c r="P62" s="245">
        <f t="shared" si="31"/>
        <v>1.4102504107171836E-2</v>
      </c>
      <c r="Q62" s="245">
        <f t="shared" si="32"/>
        <v>0.20684045024895853</v>
      </c>
      <c r="R62" s="243">
        <f t="shared" si="24"/>
        <v>0.99999999999999956</v>
      </c>
      <c r="S62" s="250"/>
      <c r="T62" s="244">
        <f t="shared" si="9"/>
        <v>1.5985136894000451E-2</v>
      </c>
      <c r="U62" s="246">
        <f t="shared" si="14"/>
        <v>0.36286260749381022</v>
      </c>
      <c r="V62" s="246">
        <f t="shared" si="15"/>
        <v>0</v>
      </c>
      <c r="W62" s="246">
        <f t="shared" si="16"/>
        <v>3.0693214246525817E-2</v>
      </c>
      <c r="X62" s="246">
        <f t="shared" si="17"/>
        <v>5.4491294598106145E-3</v>
      </c>
      <c r="Y62" s="246">
        <f t="shared" si="18"/>
        <v>9.8717528750202855E-4</v>
      </c>
      <c r="Z62" s="246">
        <f t="shared" si="10"/>
        <v>0.3999921264876487</v>
      </c>
      <c r="AA62" s="247">
        <f t="shared" si="11"/>
        <v>7.4187311786214349E-2</v>
      </c>
      <c r="AB62" s="122"/>
      <c r="AC62" s="244">
        <f t="shared" si="19"/>
        <v>0</v>
      </c>
      <c r="AD62" s="245">
        <f t="shared" si="20"/>
        <v>0</v>
      </c>
      <c r="AE62" s="245">
        <f t="shared" si="21"/>
        <v>461.9703051592947</v>
      </c>
      <c r="AF62" s="245">
        <f t="shared" si="22"/>
        <v>29.136099474775083</v>
      </c>
      <c r="AG62" s="245">
        <f t="shared" si="23"/>
        <v>8.7026552845357408</v>
      </c>
      <c r="AH62" s="245">
        <f t="shared" si="12"/>
        <v>499.80905991860556</v>
      </c>
      <c r="AI62" s="247">
        <f t="shared" si="33"/>
        <v>92.700551101725878</v>
      </c>
      <c r="AK62" s="259"/>
      <c r="AL62" s="59"/>
      <c r="AM62" s="59"/>
    </row>
    <row r="63" spans="1:39">
      <c r="A63" s="122"/>
      <c r="B63" s="241">
        <v>59</v>
      </c>
      <c r="C63" s="248">
        <f>'Other parameters'!$D$26</f>
        <v>9.7777999999999997E-3</v>
      </c>
      <c r="D63" s="242">
        <f>'Other parameters'!$G$26</f>
        <v>22.7</v>
      </c>
      <c r="E63" s="234">
        <v>0</v>
      </c>
      <c r="F63" s="248">
        <f t="shared" si="34"/>
        <v>3.2103593250852355E-3</v>
      </c>
      <c r="G63" s="248">
        <f t="shared" si="27"/>
        <v>8.0000000000000016E-2</v>
      </c>
      <c r="H63" s="249">
        <f t="shared" si="28"/>
        <v>0.18006983519841754</v>
      </c>
      <c r="I63" s="122"/>
      <c r="J63" s="244">
        <v>0</v>
      </c>
      <c r="K63" s="245">
        <v>0</v>
      </c>
      <c r="L63" s="245">
        <v>0</v>
      </c>
      <c r="M63" s="245">
        <v>0</v>
      </c>
      <c r="N63" s="245">
        <f t="shared" si="29"/>
        <v>0.74279396384662577</v>
      </c>
      <c r="O63" s="245">
        <f t="shared" si="30"/>
        <v>3.020765631981082E-2</v>
      </c>
      <c r="P63" s="245">
        <f t="shared" si="31"/>
        <v>1.3997553396045775E-2</v>
      </c>
      <c r="Q63" s="245">
        <f t="shared" si="32"/>
        <v>0.21300082643751728</v>
      </c>
      <c r="R63" s="243">
        <f t="shared" si="24"/>
        <v>0.99999999999999967</v>
      </c>
      <c r="S63" s="250"/>
      <c r="T63" s="244">
        <f t="shared" si="9"/>
        <v>1.593817618855874E-2</v>
      </c>
      <c r="U63" s="246">
        <f t="shared" si="14"/>
        <v>0.36179659948028337</v>
      </c>
      <c r="V63" s="246">
        <f t="shared" si="15"/>
        <v>0</v>
      </c>
      <c r="W63" s="246">
        <f t="shared" si="16"/>
        <v>3.0454552517711658E-2</v>
      </c>
      <c r="X63" s="246">
        <f t="shared" si="17"/>
        <v>5.4071704812461369E-3</v>
      </c>
      <c r="Y63" s="246">
        <f t="shared" si="18"/>
        <v>9.7982873772320444E-4</v>
      </c>
      <c r="Z63" s="246">
        <f t="shared" si="10"/>
        <v>0.39863815121696439</v>
      </c>
      <c r="AA63" s="247">
        <f t="shared" si="11"/>
        <v>7.1782706193440626E-2</v>
      </c>
      <c r="AB63" s="122"/>
      <c r="AC63" s="244">
        <f t="shared" si="19"/>
        <v>0</v>
      </c>
      <c r="AD63" s="245">
        <f t="shared" si="20"/>
        <v>0</v>
      </c>
      <c r="AE63" s="245">
        <f t="shared" si="21"/>
        <v>458.37815508975279</v>
      </c>
      <c r="AF63" s="245">
        <f t="shared" si="22"/>
        <v>28.911747863690938</v>
      </c>
      <c r="AG63" s="245">
        <f t="shared" si="23"/>
        <v>8.6378902006998484</v>
      </c>
      <c r="AH63" s="245">
        <f t="shared" si="12"/>
        <v>495.92779315414361</v>
      </c>
      <c r="AI63" s="247">
        <f t="shared" si="33"/>
        <v>89.301635983581548</v>
      </c>
      <c r="AK63" s="259"/>
      <c r="AL63" s="59"/>
      <c r="AM63" s="59"/>
    </row>
    <row r="64" spans="1:39">
      <c r="A64" s="122"/>
      <c r="B64" s="241">
        <v>60</v>
      </c>
      <c r="C64" s="248">
        <f>'Other parameters'!$D$27</f>
        <v>1.46842E-2</v>
      </c>
      <c r="D64" s="242">
        <f>'Other parameters'!$G$27</f>
        <v>18.7</v>
      </c>
      <c r="E64" s="234">
        <v>0</v>
      </c>
      <c r="F64" s="248">
        <f t="shared" si="34"/>
        <v>2.90485324267779E-3</v>
      </c>
      <c r="G64" s="248">
        <f t="shared" si="27"/>
        <v>8.0000000000000016E-2</v>
      </c>
      <c r="H64" s="249">
        <f t="shared" si="28"/>
        <v>0.17482508271691022</v>
      </c>
      <c r="I64" s="122"/>
      <c r="J64" s="244">
        <v>0</v>
      </c>
      <c r="K64" s="245">
        <v>0</v>
      </c>
      <c r="L64" s="245">
        <v>0</v>
      </c>
      <c r="M64" s="245">
        <v>0</v>
      </c>
      <c r="N64" s="245">
        <f t="shared" si="29"/>
        <v>0.73701839274630077</v>
      </c>
      <c r="O64" s="245">
        <f t="shared" si="30"/>
        <v>2.9974599569482299E-2</v>
      </c>
      <c r="P64" s="245">
        <f t="shared" si="31"/>
        <v>1.3892632789583317E-2</v>
      </c>
      <c r="Q64" s="245">
        <f t="shared" si="32"/>
        <v>0.21911437489463328</v>
      </c>
      <c r="R64" s="243">
        <f t="shared" si="24"/>
        <v>0.99999999999999967</v>
      </c>
      <c r="S64" s="250"/>
      <c r="T64" s="244">
        <f t="shared" si="9"/>
        <v>2.0797748457115996E-2</v>
      </c>
      <c r="U64" s="246">
        <f t="shared" si="14"/>
        <v>0.3889178961480691</v>
      </c>
      <c r="V64" s="246">
        <f t="shared" si="15"/>
        <v>0</v>
      </c>
      <c r="W64" s="246">
        <f t="shared" si="16"/>
        <v>3.0217754102598332E-2</v>
      </c>
      <c r="X64" s="246">
        <f t="shared" si="17"/>
        <v>5.3654533229373315E-3</v>
      </c>
      <c r="Y64" s="246">
        <f t="shared" si="18"/>
        <v>9.7248429527083233E-4</v>
      </c>
      <c r="Z64" s="246">
        <f t="shared" si="10"/>
        <v>0.42547358786887562</v>
      </c>
      <c r="AA64" s="247">
        <f t="shared" si="11"/>
        <v>7.4383455193036754E-2</v>
      </c>
      <c r="AB64" s="122"/>
      <c r="AC64" s="244">
        <f t="shared" si="19"/>
        <v>0</v>
      </c>
      <c r="AD64" s="245">
        <f t="shared" si="20"/>
        <v>0</v>
      </c>
      <c r="AE64" s="245">
        <f t="shared" si="21"/>
        <v>454.81405016374219</v>
      </c>
      <c r="AF64" s="245">
        <f t="shared" si="22"/>
        <v>28.688689247951508</v>
      </c>
      <c r="AG64" s="245">
        <f t="shared" si="23"/>
        <v>8.5731436944518649</v>
      </c>
      <c r="AH64" s="245">
        <f t="shared" si="12"/>
        <v>492.07588310614557</v>
      </c>
      <c r="AI64" s="247">
        <f t="shared" si="33"/>
        <v>86.027206967028548</v>
      </c>
      <c r="AK64" s="259"/>
      <c r="AL64" s="59"/>
      <c r="AM64" s="59"/>
    </row>
    <row r="65" spans="1:39">
      <c r="A65" s="122"/>
      <c r="B65" s="241">
        <v>61</v>
      </c>
      <c r="C65" s="248">
        <f>'Other parameters'!$D$27</f>
        <v>1.46842E-2</v>
      </c>
      <c r="D65" s="242">
        <f>'Other parameters'!$G$27</f>
        <v>18.7</v>
      </c>
      <c r="E65" s="234">
        <v>0</v>
      </c>
      <c r="F65" s="248">
        <f t="shared" si="34"/>
        <v>2.6284199078779559E-3</v>
      </c>
      <c r="G65" s="248">
        <f t="shared" si="27"/>
        <v>8.0000000000000016E-2</v>
      </c>
      <c r="H65" s="249">
        <f t="shared" si="28"/>
        <v>0.1697330900164177</v>
      </c>
      <c r="I65" s="122"/>
      <c r="J65" s="244">
        <v>0</v>
      </c>
      <c r="K65" s="245">
        <v>0</v>
      </c>
      <c r="L65" s="245">
        <v>0</v>
      </c>
      <c r="M65" s="245">
        <v>0</v>
      </c>
      <c r="N65" s="245">
        <f t="shared" si="29"/>
        <v>0.73128787517188121</v>
      </c>
      <c r="O65" s="245">
        <f t="shared" si="30"/>
        <v>2.9742981448696131E-2</v>
      </c>
      <c r="P65" s="245">
        <f t="shared" si="31"/>
        <v>1.3787873862743279E-2</v>
      </c>
      <c r="Q65" s="245">
        <f t="shared" si="32"/>
        <v>0.22518126951667899</v>
      </c>
      <c r="R65" s="243">
        <f t="shared" si="24"/>
        <v>0.99999999999999956</v>
      </c>
      <c r="S65" s="250"/>
      <c r="T65" s="244">
        <f t="shared" si="9"/>
        <v>2.0751094622045701E-2</v>
      </c>
      <c r="U65" s="246">
        <f t="shared" si="14"/>
        <v>0.3880454694322546</v>
      </c>
      <c r="V65" s="246">
        <f t="shared" si="15"/>
        <v>0</v>
      </c>
      <c r="W65" s="246">
        <f t="shared" si="16"/>
        <v>2.9982802882047129E-2</v>
      </c>
      <c r="X65" s="246">
        <f t="shared" si="17"/>
        <v>5.3239936793166073E-3</v>
      </c>
      <c r="Y65" s="246">
        <f t="shared" si="18"/>
        <v>9.6515117039202962E-4</v>
      </c>
      <c r="Z65" s="246">
        <f t="shared" si="10"/>
        <v>0.42431741716401039</v>
      </c>
      <c r="AA65" s="247">
        <f t="shared" si="11"/>
        <v>7.2020706363032844E-2</v>
      </c>
      <c r="AB65" s="122"/>
      <c r="AC65" s="244">
        <f t="shared" si="19"/>
        <v>0</v>
      </c>
      <c r="AD65" s="245">
        <f t="shared" si="20"/>
        <v>0</v>
      </c>
      <c r="AE65" s="245">
        <f t="shared" si="21"/>
        <v>451.27774776856791</v>
      </c>
      <c r="AF65" s="245">
        <f t="shared" si="22"/>
        <v>28.467007544547066</v>
      </c>
      <c r="AG65" s="245">
        <f t="shared" si="23"/>
        <v>8.5084969606988778</v>
      </c>
      <c r="AH65" s="245">
        <f t="shared" si="12"/>
        <v>488.25325227381387</v>
      </c>
      <c r="AI65" s="247">
        <f t="shared" si="33"/>
        <v>82.872733218999954</v>
      </c>
      <c r="AK65" s="259"/>
      <c r="AL65" s="59"/>
      <c r="AM65" s="59"/>
    </row>
    <row r="66" spans="1:39">
      <c r="A66" s="122"/>
      <c r="B66" s="241">
        <v>62</v>
      </c>
      <c r="C66" s="248">
        <f>'Other parameters'!$D$27</f>
        <v>1.46842E-2</v>
      </c>
      <c r="D66" s="242">
        <f>'Other parameters'!$G$27</f>
        <v>18.7</v>
      </c>
      <c r="E66" s="234">
        <v>0</v>
      </c>
      <c r="F66" s="248">
        <f t="shared" si="34"/>
        <v>2.3782926829586043E-3</v>
      </c>
      <c r="G66" s="248">
        <f t="shared" si="27"/>
        <v>8.0000000000000016E-2</v>
      </c>
      <c r="H66" s="249">
        <f t="shared" si="28"/>
        <v>0.16478940778292983</v>
      </c>
      <c r="I66" s="122"/>
      <c r="J66" s="244">
        <v>0</v>
      </c>
      <c r="K66" s="245">
        <v>0</v>
      </c>
      <c r="L66" s="245">
        <v>0</v>
      </c>
      <c r="M66" s="245">
        <v>0</v>
      </c>
      <c r="N66" s="245">
        <f t="shared" si="29"/>
        <v>0.72560202932391427</v>
      </c>
      <c r="O66" s="245">
        <f t="shared" si="30"/>
        <v>2.9512868507494128E-2</v>
      </c>
      <c r="P66" s="245">
        <f t="shared" si="31"/>
        <v>1.3683385035747113E-2</v>
      </c>
      <c r="Q66" s="245">
        <f t="shared" si="32"/>
        <v>0.23120171713284413</v>
      </c>
      <c r="R66" s="243">
        <f t="shared" si="24"/>
        <v>0.99999999999999956</v>
      </c>
      <c r="S66" s="250"/>
      <c r="T66" s="244">
        <f t="shared" si="9"/>
        <v>2.0704647616165143E-2</v>
      </c>
      <c r="U66" s="246">
        <f t="shared" si="14"/>
        <v>0.38717691042228813</v>
      </c>
      <c r="V66" s="246">
        <f t="shared" si="15"/>
        <v>0</v>
      </c>
      <c r="W66" s="246">
        <f t="shared" si="16"/>
        <v>2.9749683202280486E-2</v>
      </c>
      <c r="X66" s="246">
        <f t="shared" si="17"/>
        <v>5.2828034628414483E-3</v>
      </c>
      <c r="Y66" s="246">
        <f t="shared" si="18"/>
        <v>9.5783695250229795E-4</v>
      </c>
      <c r="Z66" s="246">
        <f t="shared" si="10"/>
        <v>0.42316723403991235</v>
      </c>
      <c r="AA66" s="247">
        <f t="shared" si="11"/>
        <v>6.9733477890577628E-2</v>
      </c>
      <c r="AB66" s="122"/>
      <c r="AC66" s="244">
        <f t="shared" si="19"/>
        <v>0</v>
      </c>
      <c r="AD66" s="245">
        <f t="shared" si="20"/>
        <v>0</v>
      </c>
      <c r="AE66" s="245">
        <f t="shared" si="21"/>
        <v>447.76901229578749</v>
      </c>
      <c r="AF66" s="245">
        <f t="shared" si="22"/>
        <v>28.246766448522632</v>
      </c>
      <c r="AG66" s="245">
        <f t="shared" si="23"/>
        <v>8.4440169055595433</v>
      </c>
      <c r="AH66" s="245">
        <f t="shared" si="12"/>
        <v>484.45979564986965</v>
      </c>
      <c r="AI66" s="247">
        <f t="shared" si="33"/>
        <v>79.833842819781225</v>
      </c>
      <c r="AK66" s="259"/>
      <c r="AL66" s="59"/>
      <c r="AM66" s="59"/>
    </row>
    <row r="67" spans="1:39">
      <c r="A67" s="122"/>
      <c r="B67" s="241">
        <v>63</v>
      </c>
      <c r="C67" s="248">
        <f>'Other parameters'!$D$27</f>
        <v>1.46842E-2</v>
      </c>
      <c r="D67" s="242">
        <f>'Other parameters'!$G$27</f>
        <v>18.7</v>
      </c>
      <c r="E67" s="234">
        <v>0</v>
      </c>
      <c r="F67" s="248">
        <f t="shared" si="34"/>
        <v>2.151968210582078E-3</v>
      </c>
      <c r="G67" s="248">
        <f t="shared" si="27"/>
        <v>8.0000000000000016E-2</v>
      </c>
      <c r="H67" s="249">
        <f t="shared" si="28"/>
        <v>0.15998971629410663</v>
      </c>
      <c r="I67" s="122"/>
      <c r="J67" s="244">
        <v>0</v>
      </c>
      <c r="K67" s="245">
        <v>0</v>
      </c>
      <c r="L67" s="245">
        <v>0</v>
      </c>
      <c r="M67" s="245">
        <v>0</v>
      </c>
      <c r="N67" s="245">
        <f t="shared" si="29"/>
        <v>0.7199604829377696</v>
      </c>
      <c r="O67" s="245">
        <f t="shared" si="30"/>
        <v>2.9284310589943022E-2</v>
      </c>
      <c r="P67" s="245">
        <f t="shared" si="31"/>
        <v>1.357925547503641E-2</v>
      </c>
      <c r="Q67" s="245">
        <f t="shared" si="32"/>
        <v>0.23717595099725067</v>
      </c>
      <c r="R67" s="243">
        <f t="shared" si="24"/>
        <v>0.99999999999999967</v>
      </c>
      <c r="S67" s="250"/>
      <c r="T67" s="244">
        <f t="shared" si="9"/>
        <v>2.0658433864406533E-2</v>
      </c>
      <c r="U67" s="246">
        <f t="shared" si="14"/>
        <v>0.38631271326440214</v>
      </c>
      <c r="V67" s="246">
        <f t="shared" si="15"/>
        <v>0</v>
      </c>
      <c r="W67" s="246">
        <f t="shared" si="16"/>
        <v>2.9518379800448555E-2</v>
      </c>
      <c r="X67" s="246">
        <f t="shared" si="17"/>
        <v>5.2418915955998006E-3</v>
      </c>
      <c r="Y67" s="246">
        <f t="shared" si="18"/>
        <v>9.5054788325254873E-4</v>
      </c>
      <c r="Z67" s="246">
        <f t="shared" si="10"/>
        <v>0.42202353254370306</v>
      </c>
      <c r="AA67" s="247">
        <f t="shared" si="11"/>
        <v>6.7519425241103728E-2</v>
      </c>
      <c r="AB67" s="122"/>
      <c r="AC67" s="244">
        <f t="shared" si="19"/>
        <v>0</v>
      </c>
      <c r="AD67" s="245">
        <f t="shared" si="20"/>
        <v>0</v>
      </c>
      <c r="AE67" s="245">
        <f t="shared" si="21"/>
        <v>444.28761402089765</v>
      </c>
      <c r="AF67" s="245">
        <f t="shared" si="22"/>
        <v>28.028013665634468</v>
      </c>
      <c r="AG67" s="245">
        <f t="shared" si="23"/>
        <v>8.3797585536449688</v>
      </c>
      <c r="AH67" s="245">
        <f t="shared" si="12"/>
        <v>480.69538624017713</v>
      </c>
      <c r="AI67" s="247">
        <f t="shared" si="33"/>
        <v>76.906318468451943</v>
      </c>
      <c r="AK67" s="259"/>
      <c r="AL67" s="59"/>
      <c r="AM67" s="59"/>
    </row>
    <row r="68" spans="1:39">
      <c r="A68" s="122"/>
      <c r="B68" s="241">
        <v>64</v>
      </c>
      <c r="C68" s="248">
        <f>'Other parameters'!$D$27</f>
        <v>1.46842E-2</v>
      </c>
      <c r="D68" s="242">
        <f>'Other parameters'!$G$27</f>
        <v>18.7</v>
      </c>
      <c r="E68" s="234">
        <v>0</v>
      </c>
      <c r="F68" s="248">
        <f t="shared" si="34"/>
        <v>1.9471813593585521E-3</v>
      </c>
      <c r="G68" s="248">
        <f t="shared" si="27"/>
        <v>8.0000000000000016E-2</v>
      </c>
      <c r="H68" s="249">
        <f t="shared" si="28"/>
        <v>0.15532982164476369</v>
      </c>
      <c r="I68" s="122"/>
      <c r="J68" s="244">
        <v>0</v>
      </c>
      <c r="K68" s="245">
        <v>0</v>
      </c>
      <c r="L68" s="245">
        <v>0</v>
      </c>
      <c r="M68" s="245">
        <v>0</v>
      </c>
      <c r="N68" s="245">
        <f t="shared" si="29"/>
        <v>0.7143628718420032</v>
      </c>
      <c r="O68" s="245">
        <f t="shared" si="30"/>
        <v>2.9057344335358247E-2</v>
      </c>
      <c r="P68" s="245">
        <f t="shared" si="31"/>
        <v>1.3475558337313655E-2</v>
      </c>
      <c r="Q68" s="245">
        <f t="shared" si="32"/>
        <v>0.24310422548532462</v>
      </c>
      <c r="R68" s="243">
        <f t="shared" si="24"/>
        <v>0.99999999999999967</v>
      </c>
      <c r="S68" s="250"/>
      <c r="T68" s="244">
        <f t="shared" si="9"/>
        <v>2.0612474488073958E-2</v>
      </c>
      <c r="U68" s="246">
        <f t="shared" si="14"/>
        <v>0.385453272926983</v>
      </c>
      <c r="V68" s="246">
        <f t="shared" si="15"/>
        <v>0</v>
      </c>
      <c r="W68" s="246">
        <f t="shared" si="16"/>
        <v>2.9288877745522131E-2</v>
      </c>
      <c r="X68" s="246">
        <f t="shared" si="17"/>
        <v>5.2012646360291258E-3</v>
      </c>
      <c r="Y68" s="246">
        <f t="shared" si="18"/>
        <v>9.4328908361195594E-4</v>
      </c>
      <c r="Z68" s="246">
        <f t="shared" si="10"/>
        <v>0.4208867043921462</v>
      </c>
      <c r="AA68" s="247">
        <f t="shared" si="11"/>
        <v>6.5376256725884443E-2</v>
      </c>
      <c r="AB68" s="122"/>
      <c r="AC68" s="244">
        <f t="shared" si="19"/>
        <v>0</v>
      </c>
      <c r="AD68" s="245">
        <f t="shared" si="20"/>
        <v>0</v>
      </c>
      <c r="AE68" s="245">
        <f t="shared" si="21"/>
        <v>440.83332821370021</v>
      </c>
      <c r="AF68" s="245">
        <f t="shared" si="22"/>
        <v>27.810784263371378</v>
      </c>
      <c r="AG68" s="245">
        <f t="shared" si="23"/>
        <v>8.315767049956257</v>
      </c>
      <c r="AH68" s="245">
        <f t="shared" si="12"/>
        <v>476.95987952702785</v>
      </c>
      <c r="AI68" s="247">
        <f t="shared" si="33"/>
        <v>74.086093018641208</v>
      </c>
      <c r="AK68" s="259"/>
      <c r="AL68" s="59"/>
      <c r="AM68" s="59"/>
    </row>
    <row r="69" spans="1:39">
      <c r="A69" s="122"/>
      <c r="B69" s="241">
        <v>65</v>
      </c>
      <c r="C69" s="248">
        <f>'Other parameters'!$D$28</f>
        <v>2.30286E-2</v>
      </c>
      <c r="D69" s="242">
        <f>'Other parameters'!$G$28</f>
        <v>15</v>
      </c>
      <c r="E69" s="234">
        <v>0</v>
      </c>
      <c r="F69" s="248">
        <f t="shared" si="34"/>
        <v>1.7618825536497415E-3</v>
      </c>
      <c r="G69" s="248">
        <f t="shared" ref="G69:G104" si="35">IF(B69&lt;rhdage,0,pVS_3a)</f>
        <v>8.0000000000000016E-2</v>
      </c>
      <c r="H69" s="249">
        <f t="shared" ref="H69:H104" si="36">1/(1+disc)^($B69-1)</f>
        <v>0.15080565208229488</v>
      </c>
      <c r="I69" s="122"/>
      <c r="J69" s="244">
        <v>0</v>
      </c>
      <c r="K69" s="245">
        <v>0</v>
      </c>
      <c r="L69" s="245">
        <v>0</v>
      </c>
      <c r="M69" s="245">
        <v>0</v>
      </c>
      <c r="N69" s="245">
        <f t="shared" ref="N69:N104" si="37">IF(B69&lt;rhdage,1,(K68*pARF1_RHDMild)+(M68*pARF2_RHDMild)+(N68*cpRHDMild_RHDMild)+(O68*G69))</f>
        <v>0.7088088388127185</v>
      </c>
      <c r="O69" s="245">
        <f t="shared" ref="O69:O104" si="38">IF(B69&lt;rhdage,0,(N68*pRHDMild_RHDSevere)+(O68*(1-(G69+pRHDSevere_Death))))</f>
        <v>2.8831995950210403E-2</v>
      </c>
      <c r="P69" s="245">
        <f t="shared" ref="P69:P104" si="39">IF(B69&lt;rhdage,0,(N68*pRHDMild_Stroke)+(P68*(1-pStroke_Death)))</f>
        <v>1.3372353467494946E-2</v>
      </c>
      <c r="Q69" s="245">
        <f t="shared" ref="Q69:Q104" si="40">IF(B69&lt;rhdage,0,(K68*pARF1_Death)+(M68*pARF2_Death)+(O68*pRHDSevere_Death)+(P68*pStroke_Death)+Q68)</f>
        <v>0.24898681176957579</v>
      </c>
      <c r="R69" s="243">
        <f t="shared" si="24"/>
        <v>0.99999999999999967</v>
      </c>
      <c r="S69" s="250"/>
      <c r="T69" s="244">
        <f t="shared" ref="T69:T103" si="41">((K68*pARF1_Death)+(M68*pARF2_Death)+(O68*pRHDSevere_Death)+(P68*pStroke_Death))+C69</f>
        <v>2.8911186284251163E-2</v>
      </c>
      <c r="U69" s="246">
        <f t="shared" si="14"/>
        <v>0.43366779426376745</v>
      </c>
      <c r="V69" s="246">
        <f t="shared" si="15"/>
        <v>0</v>
      </c>
      <c r="W69" s="246">
        <f t="shared" si="16"/>
        <v>2.9061162391321459E-2</v>
      </c>
      <c r="X69" s="246">
        <f t="shared" si="17"/>
        <v>5.1609272750876619E-3</v>
      </c>
      <c r="Y69" s="246">
        <f t="shared" si="18"/>
        <v>9.3606474272464623E-4</v>
      </c>
      <c r="Z69" s="246">
        <f t="shared" ref="Z69:Z104" si="42">SUM(U69:Y69)</f>
        <v>0.46882594867290123</v>
      </c>
      <c r="AA69" s="247">
        <f t="shared" ref="AA69:AA100" si="43">Z69*H69</f>
        <v>7.0701602902717375E-2</v>
      </c>
      <c r="AB69" s="122"/>
      <c r="AC69" s="244">
        <f t="shared" si="19"/>
        <v>0</v>
      </c>
      <c r="AD69" s="245">
        <f t="shared" si="20"/>
        <v>0</v>
      </c>
      <c r="AE69" s="245">
        <f t="shared" si="21"/>
        <v>437.4059344313286</v>
      </c>
      <c r="AF69" s="245">
        <f t="shared" si="22"/>
        <v>27.595103323946375</v>
      </c>
      <c r="AG69" s="245">
        <f t="shared" si="23"/>
        <v>8.252079324791131</v>
      </c>
      <c r="AH69" s="245">
        <f t="shared" ref="AH69:AH104" si="44">SUM(AC69:AG69)</f>
        <v>473.25311708006609</v>
      </c>
      <c r="AI69" s="247">
        <f t="shared" ref="AI69:AI100" si="45">AH69*H69</f>
        <v>71.369244921238007</v>
      </c>
      <c r="AK69" s="259"/>
      <c r="AL69" s="59"/>
      <c r="AM69" s="59"/>
    </row>
    <row r="70" spans="1:39">
      <c r="A70" s="122"/>
      <c r="B70" s="241">
        <v>66</v>
      </c>
      <c r="C70" s="248">
        <f>'Other parameters'!$D$28</f>
        <v>2.30286E-2</v>
      </c>
      <c r="D70" s="242">
        <f>'Other parameters'!$G$28</f>
        <v>15</v>
      </c>
      <c r="E70" s="234">
        <v>0</v>
      </c>
      <c r="F70" s="248">
        <f t="shared" si="34"/>
        <v>1.5942172607270357E-3</v>
      </c>
      <c r="G70" s="248">
        <f t="shared" si="35"/>
        <v>8.0000000000000016E-2</v>
      </c>
      <c r="H70" s="249">
        <f t="shared" si="36"/>
        <v>0.14641325444882999</v>
      </c>
      <c r="I70" s="122"/>
      <c r="J70" s="244">
        <v>0</v>
      </c>
      <c r="K70" s="245">
        <v>0</v>
      </c>
      <c r="L70" s="245">
        <v>0</v>
      </c>
      <c r="M70" s="245">
        <v>0</v>
      </c>
      <c r="N70" s="245">
        <f t="shared" si="37"/>
        <v>0.70329803266231539</v>
      </c>
      <c r="O70" s="245">
        <f t="shared" si="38"/>
        <v>2.8608283402599355E-2</v>
      </c>
      <c r="P70" s="245">
        <f t="shared" si="39"/>
        <v>1.3269689642661082E-2</v>
      </c>
      <c r="Q70" s="245">
        <f t="shared" si="40"/>
        <v>0.25482399429242375</v>
      </c>
      <c r="R70" s="243">
        <f t="shared" si="24"/>
        <v>0.99999999999999956</v>
      </c>
      <c r="S70" s="250"/>
      <c r="T70" s="244">
        <f t="shared" si="41"/>
        <v>2.8865782522847955E-2</v>
      </c>
      <c r="U70" s="246">
        <f t="shared" ref="U70:U104" si="46">$D70*T70</f>
        <v>0.43298673784271935</v>
      </c>
      <c r="V70" s="246">
        <f t="shared" ref="V70:V104" si="47">($K70+$M70)*wAR</f>
        <v>0</v>
      </c>
      <c r="W70" s="246">
        <f t="shared" ref="W70:W104" si="48">$N70*wRM</f>
        <v>2.8835219339154932E-2</v>
      </c>
      <c r="X70" s="246">
        <f t="shared" ref="X70:X104" si="49">$O70*wRH</f>
        <v>5.1208827290652841E-3</v>
      </c>
      <c r="Y70" s="246">
        <f t="shared" ref="Y70:Y104" si="50">$P70*wRS</f>
        <v>9.2887827498627578E-4</v>
      </c>
      <c r="Z70" s="246">
        <f t="shared" si="42"/>
        <v>0.46787171818592588</v>
      </c>
      <c r="AA70" s="247">
        <f t="shared" si="43"/>
        <v>6.8502620924167243E-2</v>
      </c>
      <c r="AB70" s="122"/>
      <c r="AC70" s="244">
        <f t="shared" ref="AC70:AC104" si="51">($K70+$M70)*cARF</f>
        <v>0</v>
      </c>
      <c r="AD70" s="245">
        <f t="shared" ref="AD70:AD104" si="52">$L70*cRFR</f>
        <v>0</v>
      </c>
      <c r="AE70" s="245">
        <f t="shared" ref="AE70:AE104" si="53">$N70*cRM</f>
        <v>434.00521595591482</v>
      </c>
      <c r="AF70" s="245">
        <f t="shared" ref="AF70:AF104" si="54">$O70*cRH</f>
        <v>27.380988044627845</v>
      </c>
      <c r="AG70" s="245">
        <f t="shared" ref="AG70:AG104" si="55">$P70*cRS</f>
        <v>8.1887254784861536</v>
      </c>
      <c r="AH70" s="245">
        <f t="shared" si="44"/>
        <v>469.57492947902881</v>
      </c>
      <c r="AI70" s="247">
        <f t="shared" si="45"/>
        <v>68.751993632604439</v>
      </c>
      <c r="AK70" s="259"/>
      <c r="AL70" s="59"/>
      <c r="AM70" s="59"/>
    </row>
    <row r="71" spans="1:39">
      <c r="A71" s="122"/>
      <c r="B71" s="241">
        <v>67</v>
      </c>
      <c r="C71" s="248">
        <f>'Other parameters'!$D$28</f>
        <v>2.30286E-2</v>
      </c>
      <c r="D71" s="242">
        <f>'Other parameters'!$G$28</f>
        <v>15</v>
      </c>
      <c r="E71" s="234">
        <v>0</v>
      </c>
      <c r="F71" s="248">
        <f t="shared" si="34"/>
        <v>1.4425074299846117E-3</v>
      </c>
      <c r="G71" s="248">
        <f t="shared" si="35"/>
        <v>8.0000000000000016E-2</v>
      </c>
      <c r="H71" s="249">
        <f t="shared" si="36"/>
        <v>0.14214879072701941</v>
      </c>
      <c r="I71" s="122"/>
      <c r="J71" s="244">
        <v>0</v>
      </c>
      <c r="K71" s="245">
        <v>0</v>
      </c>
      <c r="L71" s="245">
        <v>0</v>
      </c>
      <c r="M71" s="245">
        <v>0</v>
      </c>
      <c r="N71" s="245">
        <f t="shared" si="37"/>
        <v>0.69783010751384666</v>
      </c>
      <c r="O71" s="245">
        <f t="shared" si="38"/>
        <v>2.8386218159550058E-2</v>
      </c>
      <c r="P71" s="245">
        <f t="shared" si="39"/>
        <v>1.3167606438529796E-2</v>
      </c>
      <c r="Q71" s="245">
        <f t="shared" si="40"/>
        <v>0.26061606788807307</v>
      </c>
      <c r="R71" s="243">
        <f t="shared" si="24"/>
        <v>0.99999999999999956</v>
      </c>
      <c r="S71" s="250"/>
      <c r="T71" s="244">
        <f t="shared" si="41"/>
        <v>2.882067359564932E-2</v>
      </c>
      <c r="U71" s="246">
        <f t="shared" si="46"/>
        <v>0.43231010393473979</v>
      </c>
      <c r="V71" s="246">
        <f t="shared" si="47"/>
        <v>0</v>
      </c>
      <c r="W71" s="246">
        <f t="shared" si="48"/>
        <v>2.8611034408067716E-2</v>
      </c>
      <c r="X71" s="246">
        <f t="shared" si="49"/>
        <v>5.0811330505594601E-3</v>
      </c>
      <c r="Y71" s="246">
        <f t="shared" si="50"/>
        <v>9.2173245069708575E-4</v>
      </c>
      <c r="Z71" s="246">
        <f t="shared" si="42"/>
        <v>0.46692400384406407</v>
      </c>
      <c r="AA71" s="247">
        <f t="shared" si="43"/>
        <v>6.6372682507851874E-2</v>
      </c>
      <c r="AB71" s="122"/>
      <c r="AC71" s="244">
        <f t="shared" si="51"/>
        <v>0</v>
      </c>
      <c r="AD71" s="245">
        <f t="shared" si="52"/>
        <v>0</v>
      </c>
      <c r="AE71" s="245">
        <f t="shared" si="53"/>
        <v>430.63095934679478</v>
      </c>
      <c r="AF71" s="245">
        <f t="shared" si="54"/>
        <v>27.168449400505363</v>
      </c>
      <c r="AG71" s="245">
        <f t="shared" si="55"/>
        <v>8.1257299332167374</v>
      </c>
      <c r="AH71" s="245">
        <f t="shared" si="44"/>
        <v>465.92513868051691</v>
      </c>
      <c r="AI71" s="247">
        <f t="shared" si="45"/>
        <v>66.230695032754298</v>
      </c>
      <c r="AK71" s="259"/>
      <c r="AL71" s="59"/>
      <c r="AM71" s="59"/>
    </row>
    <row r="72" spans="1:39">
      <c r="A72" s="122"/>
      <c r="B72" s="241">
        <v>68</v>
      </c>
      <c r="C72" s="248">
        <f>'Other parameters'!$D$28</f>
        <v>2.30286E-2</v>
      </c>
      <c r="D72" s="242">
        <f>'Other parameters'!$G$28</f>
        <v>15</v>
      </c>
      <c r="E72" s="234">
        <v>0</v>
      </c>
      <c r="F72" s="248">
        <f t="shared" si="34"/>
        <v>1.3052346984449631E-3</v>
      </c>
      <c r="G72" s="248">
        <f t="shared" si="35"/>
        <v>8.0000000000000016E-2</v>
      </c>
      <c r="H72" s="249">
        <f t="shared" si="36"/>
        <v>0.1380085346864266</v>
      </c>
      <c r="I72" s="122"/>
      <c r="J72" s="244">
        <v>0</v>
      </c>
      <c r="K72" s="245">
        <v>0</v>
      </c>
      <c r="L72" s="245">
        <v>0</v>
      </c>
      <c r="M72" s="245">
        <v>0</v>
      </c>
      <c r="N72" s="245">
        <f t="shared" si="37"/>
        <v>0.69240472222236138</v>
      </c>
      <c r="O72" s="245">
        <f t="shared" si="38"/>
        <v>2.8165806562340825E-2</v>
      </c>
      <c r="P72" s="245">
        <f t="shared" si="39"/>
        <v>1.3066135782046011E-2</v>
      </c>
      <c r="Q72" s="245">
        <f t="shared" si="40"/>
        <v>0.2663633354332513</v>
      </c>
      <c r="R72" s="243">
        <f t="shared" si="24"/>
        <v>0.99999999999999944</v>
      </c>
      <c r="S72" s="250"/>
      <c r="T72" s="244">
        <f t="shared" si="41"/>
        <v>2.8775867545178233E-2</v>
      </c>
      <c r="U72" s="246">
        <f t="shared" si="46"/>
        <v>0.43163801317767347</v>
      </c>
      <c r="V72" s="246">
        <f t="shared" si="47"/>
        <v>0</v>
      </c>
      <c r="W72" s="246">
        <f t="shared" si="48"/>
        <v>2.8388593611116817E-2</v>
      </c>
      <c r="X72" s="246">
        <f t="shared" si="49"/>
        <v>5.0416793746590072E-3</v>
      </c>
      <c r="Y72" s="246">
        <f t="shared" si="50"/>
        <v>9.1462950474322088E-4</v>
      </c>
      <c r="Z72" s="246">
        <f t="shared" si="42"/>
        <v>0.46598291566819255</v>
      </c>
      <c r="AA72" s="247">
        <f t="shared" si="43"/>
        <v>6.4309619380275948E-2</v>
      </c>
      <c r="AB72" s="122"/>
      <c r="AC72" s="244">
        <f t="shared" si="51"/>
        <v>0</v>
      </c>
      <c r="AD72" s="245">
        <f t="shared" si="52"/>
        <v>0</v>
      </c>
      <c r="AE72" s="245">
        <f t="shared" si="53"/>
        <v>427.28295408341921</v>
      </c>
      <c r="AF72" s="245">
        <f t="shared" si="54"/>
        <v>26.957493460816405</v>
      </c>
      <c r="AG72" s="245">
        <f t="shared" si="55"/>
        <v>8.063112391100594</v>
      </c>
      <c r="AH72" s="245">
        <f t="shared" si="44"/>
        <v>462.30355993533624</v>
      </c>
      <c r="AI72" s="247">
        <f t="shared" si="45"/>
        <v>63.801836886994352</v>
      </c>
      <c r="AK72" s="259"/>
      <c r="AL72" s="59"/>
      <c r="AM72" s="59"/>
    </row>
    <row r="73" spans="1:39">
      <c r="A73" s="122"/>
      <c r="B73" s="241">
        <v>69</v>
      </c>
      <c r="C73" s="248">
        <f>'Other parameters'!$D$28</f>
        <v>2.30286E-2</v>
      </c>
      <c r="D73" s="242">
        <f>'Other parameters'!$G$28</f>
        <v>15</v>
      </c>
      <c r="E73" s="234">
        <v>0</v>
      </c>
      <c r="F73" s="248">
        <f t="shared" si="34"/>
        <v>1.181025194471885E-3</v>
      </c>
      <c r="G73" s="248">
        <f t="shared" si="35"/>
        <v>8.0000000000000016E-2</v>
      </c>
      <c r="H73" s="249">
        <f t="shared" si="36"/>
        <v>0.13398886862759865</v>
      </c>
      <c r="I73" s="122"/>
      <c r="J73" s="244">
        <v>0</v>
      </c>
      <c r="K73" s="245">
        <v>0</v>
      </c>
      <c r="L73" s="245">
        <v>0</v>
      </c>
      <c r="M73" s="245">
        <v>0</v>
      </c>
      <c r="N73" s="245">
        <f t="shared" si="37"/>
        <v>0.68702153991265702</v>
      </c>
      <c r="O73" s="245">
        <f t="shared" si="38"/>
        <v>2.7947050915246702E-2</v>
      </c>
      <c r="P73" s="245">
        <f t="shared" si="39"/>
        <v>1.2965303242950213E-2</v>
      </c>
      <c r="Q73" s="245">
        <f t="shared" si="40"/>
        <v>0.2720661059291456</v>
      </c>
      <c r="R73" s="243">
        <f t="shared" si="24"/>
        <v>0.99999999999999956</v>
      </c>
      <c r="S73" s="250"/>
      <c r="T73" s="244">
        <f t="shared" si="41"/>
        <v>2.8731370495894287E-2</v>
      </c>
      <c r="U73" s="246">
        <f t="shared" si="46"/>
        <v>0.43097055743841428</v>
      </c>
      <c r="V73" s="246">
        <f t="shared" si="47"/>
        <v>0</v>
      </c>
      <c r="W73" s="246">
        <f t="shared" si="48"/>
        <v>2.816788313641894E-2</v>
      </c>
      <c r="X73" s="246">
        <f t="shared" si="49"/>
        <v>5.0025221138291593E-3</v>
      </c>
      <c r="Y73" s="246">
        <f t="shared" si="50"/>
        <v>9.0757122700651496E-4</v>
      </c>
      <c r="Z73" s="246">
        <f t="shared" si="42"/>
        <v>0.46504853391566892</v>
      </c>
      <c r="AA73" s="247">
        <f t="shared" si="43"/>
        <v>6.2311326916283917E-2</v>
      </c>
      <c r="AB73" s="122"/>
      <c r="AC73" s="244">
        <f t="shared" si="51"/>
        <v>0</v>
      </c>
      <c r="AD73" s="245">
        <f t="shared" si="52"/>
        <v>0</v>
      </c>
      <c r="AE73" s="245">
        <f t="shared" si="53"/>
        <v>423.96099228010064</v>
      </c>
      <c r="AF73" s="245">
        <f t="shared" si="54"/>
        <v>26.748122430982619</v>
      </c>
      <c r="AG73" s="245">
        <f t="shared" si="55"/>
        <v>8.0008886312245764</v>
      </c>
      <c r="AH73" s="245">
        <f t="shared" si="44"/>
        <v>458.71000334230786</v>
      </c>
      <c r="AI73" s="247">
        <f t="shared" si="45"/>
        <v>61.462034375997824</v>
      </c>
      <c r="AK73" s="259"/>
      <c r="AL73" s="59"/>
      <c r="AM73" s="59"/>
    </row>
    <row r="74" spans="1:39">
      <c r="A74" s="122"/>
      <c r="B74" s="241">
        <v>70</v>
      </c>
      <c r="C74" s="248">
        <f>'Other parameters'!$D$29</f>
        <v>3.7466800000000001E-2</v>
      </c>
      <c r="D74" s="242">
        <f>'Other parameters'!$G$29</f>
        <v>11.6</v>
      </c>
      <c r="E74" s="234">
        <v>0</v>
      </c>
      <c r="F74" s="248">
        <f t="shared" si="34"/>
        <v>1.0686357876013568E-3</v>
      </c>
      <c r="G74" s="248">
        <f t="shared" si="35"/>
        <v>8.0000000000000016E-2</v>
      </c>
      <c r="H74" s="249">
        <f t="shared" si="36"/>
        <v>0.13008628022096957</v>
      </c>
      <c r="I74" s="122"/>
      <c r="J74" s="244">
        <v>0</v>
      </c>
      <c r="K74" s="245">
        <v>0</v>
      </c>
      <c r="L74" s="245">
        <v>0</v>
      </c>
      <c r="M74" s="245">
        <v>0</v>
      </c>
      <c r="N74" s="245">
        <f t="shared" si="37"/>
        <v>0.68168022760922808</v>
      </c>
      <c r="O74" s="245">
        <f t="shared" si="38"/>
        <v>2.7729950347381748E-2</v>
      </c>
      <c r="P74" s="245">
        <f t="shared" si="39"/>
        <v>1.2865129108265493E-2</v>
      </c>
      <c r="Q74" s="245">
        <f t="shared" si="40"/>
        <v>0.27772469293512414</v>
      </c>
      <c r="R74" s="243">
        <f t="shared" si="24"/>
        <v>0.99999999999999956</v>
      </c>
      <c r="S74" s="250"/>
      <c r="T74" s="244">
        <f t="shared" si="41"/>
        <v>4.3125387005978524E-2</v>
      </c>
      <c r="U74" s="246">
        <f t="shared" si="46"/>
        <v>0.5002544892693509</v>
      </c>
      <c r="V74" s="246">
        <f t="shared" si="47"/>
        <v>0</v>
      </c>
      <c r="W74" s="246">
        <f t="shared" si="48"/>
        <v>2.7948889331978352E-2</v>
      </c>
      <c r="X74" s="246">
        <f t="shared" si="49"/>
        <v>4.9636611121813331E-3</v>
      </c>
      <c r="Y74" s="246">
        <f t="shared" si="50"/>
        <v>9.0055903757858466E-4</v>
      </c>
      <c r="Z74" s="246">
        <f t="shared" si="42"/>
        <v>0.53406759875108922</v>
      </c>
      <c r="AA74" s="247">
        <f t="shared" si="43"/>
        <v>6.9474867308074534E-2</v>
      </c>
      <c r="AB74" s="122"/>
      <c r="AC74" s="244">
        <f t="shared" si="51"/>
        <v>0</v>
      </c>
      <c r="AD74" s="245">
        <f t="shared" si="52"/>
        <v>0</v>
      </c>
      <c r="AE74" s="245">
        <f t="shared" si="53"/>
        <v>420.66486845765468</v>
      </c>
      <c r="AF74" s="245">
        <f t="shared" si="54"/>
        <v>26.540335477479072</v>
      </c>
      <c r="AG74" s="245">
        <f t="shared" si="55"/>
        <v>7.9390711727106362</v>
      </c>
      <c r="AH74" s="245">
        <f t="shared" si="44"/>
        <v>455.14427510784435</v>
      </c>
      <c r="AI74" s="247">
        <f t="shared" si="45"/>
        <v>59.208025712649111</v>
      </c>
      <c r="AK74" s="259"/>
      <c r="AL74" s="59"/>
      <c r="AM74" s="59"/>
    </row>
    <row r="75" spans="1:39">
      <c r="A75" s="122"/>
      <c r="B75" s="241">
        <v>71</v>
      </c>
      <c r="C75" s="248">
        <f>'Other parameters'!$D$29</f>
        <v>3.7466800000000001E-2</v>
      </c>
      <c r="D75" s="242">
        <f>'Other parameters'!$G$29</f>
        <v>11.6</v>
      </c>
      <c r="E75" s="234">
        <v>0</v>
      </c>
      <c r="F75" s="248">
        <f t="shared" si="34"/>
        <v>9.6694164687403635E-4</v>
      </c>
      <c r="G75" s="248">
        <f t="shared" si="35"/>
        <v>8.0000000000000016E-2</v>
      </c>
      <c r="H75" s="249">
        <f t="shared" si="36"/>
        <v>0.12629735943783454</v>
      </c>
      <c r="I75" s="122"/>
      <c r="J75" s="244">
        <v>0</v>
      </c>
      <c r="K75" s="245">
        <v>0</v>
      </c>
      <c r="L75" s="245">
        <v>0</v>
      </c>
      <c r="M75" s="245">
        <v>0</v>
      </c>
      <c r="N75" s="245">
        <f t="shared" si="37"/>
        <v>0.67638045593924456</v>
      </c>
      <c r="O75" s="245">
        <f t="shared" si="38"/>
        <v>2.7514501494894733E-2</v>
      </c>
      <c r="P75" s="245">
        <f t="shared" si="39"/>
        <v>1.276562927623295E-2</v>
      </c>
      <c r="Q75" s="245">
        <f t="shared" si="40"/>
        <v>0.2833394132896272</v>
      </c>
      <c r="R75" s="243">
        <f t="shared" si="24"/>
        <v>0.99999999999999944</v>
      </c>
      <c r="S75" s="250"/>
      <c r="T75" s="244">
        <f t="shared" si="41"/>
        <v>4.3081520354503057E-2</v>
      </c>
      <c r="U75" s="246">
        <f t="shared" si="46"/>
        <v>0.49974563611223544</v>
      </c>
      <c r="V75" s="246">
        <f t="shared" si="47"/>
        <v>0</v>
      </c>
      <c r="W75" s="246">
        <f t="shared" si="48"/>
        <v>2.7731598693509028E-2</v>
      </c>
      <c r="X75" s="246">
        <f t="shared" si="49"/>
        <v>4.925095767586157E-3</v>
      </c>
      <c r="Y75" s="246">
        <f t="shared" si="50"/>
        <v>8.9359404933630658E-4</v>
      </c>
      <c r="Z75" s="246">
        <f t="shared" si="42"/>
        <v>0.53329592462266695</v>
      </c>
      <c r="AA75" s="247">
        <f t="shared" si="43"/>
        <v>6.7353867078801283E-2</v>
      </c>
      <c r="AB75" s="122"/>
      <c r="AC75" s="244">
        <f t="shared" si="51"/>
        <v>0</v>
      </c>
      <c r="AD75" s="245">
        <f t="shared" si="52"/>
        <v>0</v>
      </c>
      <c r="AE75" s="245">
        <f t="shared" si="53"/>
        <v>417.39437936010785</v>
      </c>
      <c r="AF75" s="245">
        <f t="shared" si="54"/>
        <v>26.334129380763748</v>
      </c>
      <c r="AG75" s="245">
        <f t="shared" si="55"/>
        <v>7.8776698263633538</v>
      </c>
      <c r="AH75" s="245">
        <f t="shared" si="44"/>
        <v>451.60617856723491</v>
      </c>
      <c r="AI75" s="247">
        <f t="shared" si="45"/>
        <v>57.036667858852958</v>
      </c>
      <c r="AK75" s="259"/>
      <c r="AL75" s="59"/>
      <c r="AM75" s="59"/>
    </row>
    <row r="76" spans="1:39">
      <c r="A76" s="122"/>
      <c r="B76" s="241">
        <v>72</v>
      </c>
      <c r="C76" s="248">
        <f>'Other parameters'!$D$29</f>
        <v>3.7466800000000001E-2</v>
      </c>
      <c r="D76" s="242">
        <f>'Other parameters'!$G$29</f>
        <v>11.6</v>
      </c>
      <c r="E76" s="234">
        <v>0</v>
      </c>
      <c r="F76" s="248">
        <f t="shared" si="34"/>
        <v>8.7492498314894118E-4</v>
      </c>
      <c r="G76" s="248">
        <f t="shared" si="35"/>
        <v>8.0000000000000016E-2</v>
      </c>
      <c r="H76" s="249">
        <f t="shared" si="36"/>
        <v>0.12261879557071313</v>
      </c>
      <c r="I76" s="122"/>
      <c r="J76" s="244">
        <v>0</v>
      </c>
      <c r="K76" s="245">
        <v>0</v>
      </c>
      <c r="L76" s="245">
        <v>0</v>
      </c>
      <c r="M76" s="245">
        <v>0</v>
      </c>
      <c r="N76" s="245">
        <f t="shared" si="37"/>
        <v>0.67112189889338081</v>
      </c>
      <c r="O76" s="245">
        <f t="shared" si="38"/>
        <v>2.7300699040931638E-2</v>
      </c>
      <c r="P76" s="245">
        <f t="shared" si="39"/>
        <v>1.2666816000067124E-2</v>
      </c>
      <c r="Q76" s="245">
        <f t="shared" si="40"/>
        <v>0.28891058606561992</v>
      </c>
      <c r="R76" s="243">
        <f t="shared" si="24"/>
        <v>0.99999999999999956</v>
      </c>
      <c r="S76" s="250"/>
      <c r="T76" s="244">
        <f t="shared" si="41"/>
        <v>4.303797277599275E-2</v>
      </c>
      <c r="U76" s="246">
        <f t="shared" si="46"/>
        <v>0.4992404842015159</v>
      </c>
      <c r="V76" s="246">
        <f t="shared" si="47"/>
        <v>0</v>
      </c>
      <c r="W76" s="246">
        <f t="shared" si="48"/>
        <v>2.7515997854628615E-2</v>
      </c>
      <c r="X76" s="246">
        <f t="shared" si="49"/>
        <v>4.8868251283267633E-3</v>
      </c>
      <c r="Y76" s="246">
        <f t="shared" si="50"/>
        <v>8.8667712000469877E-4</v>
      </c>
      <c r="Z76" s="246">
        <f t="shared" si="42"/>
        <v>0.53252998430447596</v>
      </c>
      <c r="AA76" s="247">
        <f t="shared" si="43"/>
        <v>6.5298185280705606E-2</v>
      </c>
      <c r="AB76" s="122"/>
      <c r="AC76" s="244">
        <f t="shared" si="51"/>
        <v>0</v>
      </c>
      <c r="AD76" s="245">
        <f t="shared" si="52"/>
        <v>0</v>
      </c>
      <c r="AE76" s="245">
        <f t="shared" si="53"/>
        <v>414.1493238071053</v>
      </c>
      <c r="AF76" s="245">
        <f t="shared" si="54"/>
        <v>26.129499052075673</v>
      </c>
      <c r="AG76" s="245">
        <f t="shared" si="55"/>
        <v>7.8166921536414229</v>
      </c>
      <c r="AH76" s="245">
        <f t="shared" si="44"/>
        <v>448.09551501282243</v>
      </c>
      <c r="AI76" s="247">
        <f t="shared" si="45"/>
        <v>54.944932351510694</v>
      </c>
      <c r="AK76" s="259"/>
      <c r="AL76" s="59"/>
      <c r="AM76" s="59"/>
    </row>
    <row r="77" spans="1:39">
      <c r="A77" s="122"/>
      <c r="B77" s="241">
        <v>73</v>
      </c>
      <c r="C77" s="248">
        <f>'Other parameters'!$D$29</f>
        <v>3.7466800000000001E-2</v>
      </c>
      <c r="D77" s="242">
        <f>'Other parameters'!$G$29</f>
        <v>11.6</v>
      </c>
      <c r="E77" s="234">
        <v>0</v>
      </c>
      <c r="F77" s="248">
        <f t="shared" si="34"/>
        <v>7.9166486272764364E-4</v>
      </c>
      <c r="G77" s="248">
        <f t="shared" si="35"/>
        <v>8.0000000000000016E-2</v>
      </c>
      <c r="H77" s="249">
        <f t="shared" si="36"/>
        <v>0.1190473743404982</v>
      </c>
      <c r="I77" s="122"/>
      <c r="J77" s="244">
        <v>0</v>
      </c>
      <c r="K77" s="245">
        <v>0</v>
      </c>
      <c r="L77" s="245">
        <v>0</v>
      </c>
      <c r="M77" s="245">
        <v>0</v>
      </c>
      <c r="N77" s="245">
        <f t="shared" si="37"/>
        <v>0.66590423363247953</v>
      </c>
      <c r="O77" s="245">
        <f t="shared" si="38"/>
        <v>2.7088536142986983E-2</v>
      </c>
      <c r="P77" s="245">
        <f t="shared" si="39"/>
        <v>1.256869850678536E-2</v>
      </c>
      <c r="Q77" s="245">
        <f t="shared" si="40"/>
        <v>0.29443853171774759</v>
      </c>
      <c r="R77" s="243">
        <f t="shared" ref="R77:R104" si="56">SUM(J77:Q77)</f>
        <v>0.99999999999999944</v>
      </c>
      <c r="S77" s="250"/>
      <c r="T77" s="244">
        <f t="shared" si="41"/>
        <v>4.2994745652127665E-2</v>
      </c>
      <c r="U77" s="246">
        <f t="shared" si="46"/>
        <v>0.4987390495646809</v>
      </c>
      <c r="V77" s="246">
        <f t="shared" si="47"/>
        <v>0</v>
      </c>
      <c r="W77" s="246">
        <f t="shared" si="48"/>
        <v>2.7302073578931663E-2</v>
      </c>
      <c r="X77" s="246">
        <f t="shared" si="49"/>
        <v>4.8488479695946701E-3</v>
      </c>
      <c r="Y77" s="246">
        <f t="shared" si="50"/>
        <v>8.7980889547497525E-4</v>
      </c>
      <c r="Z77" s="246">
        <f t="shared" si="42"/>
        <v>0.53176978000868225</v>
      </c>
      <c r="AA77" s="247">
        <f t="shared" si="43"/>
        <v>6.3305796063657965E-2</v>
      </c>
      <c r="AB77" s="122"/>
      <c r="AC77" s="244">
        <f t="shared" si="51"/>
        <v>0</v>
      </c>
      <c r="AD77" s="245">
        <f t="shared" si="52"/>
        <v>0</v>
      </c>
      <c r="AE77" s="245">
        <f t="shared" si="53"/>
        <v>410.92950257460313</v>
      </c>
      <c r="AF77" s="245">
        <f t="shared" si="54"/>
        <v>25.926437942452843</v>
      </c>
      <c r="AG77" s="245">
        <f t="shared" si="55"/>
        <v>7.7561438485372456</v>
      </c>
      <c r="AH77" s="245">
        <f t="shared" si="44"/>
        <v>444.6120843655932</v>
      </c>
      <c r="AI77" s="247">
        <f t="shared" si="45"/>
        <v>52.929901243779938</v>
      </c>
      <c r="AK77" s="259"/>
      <c r="AL77" s="59"/>
      <c r="AM77" s="59"/>
    </row>
    <row r="78" spans="1:39">
      <c r="A78" s="122"/>
      <c r="B78" s="241">
        <v>74</v>
      </c>
      <c r="C78" s="248">
        <f>'Other parameters'!$D$29</f>
        <v>3.7466800000000001E-2</v>
      </c>
      <c r="D78" s="242">
        <f>'Other parameters'!$G$29</f>
        <v>11.6</v>
      </c>
      <c r="E78" s="234">
        <v>0</v>
      </c>
      <c r="F78" s="248">
        <f t="shared" si="34"/>
        <v>7.1632799034027366E-4</v>
      </c>
      <c r="G78" s="248">
        <f t="shared" si="35"/>
        <v>8.0000000000000016E-2</v>
      </c>
      <c r="H78" s="249">
        <f t="shared" si="36"/>
        <v>0.11557997508786232</v>
      </c>
      <c r="I78" s="122"/>
      <c r="J78" s="244">
        <v>0</v>
      </c>
      <c r="K78" s="245">
        <v>0</v>
      </c>
      <c r="L78" s="245">
        <v>0</v>
      </c>
      <c r="M78" s="245">
        <v>0</v>
      </c>
      <c r="N78" s="245">
        <f t="shared" si="37"/>
        <v>0.66072714033053681</v>
      </c>
      <c r="O78" s="245">
        <f t="shared" si="38"/>
        <v>2.6878004771096968E-2</v>
      </c>
      <c r="P78" s="245">
        <f t="shared" si="39"/>
        <v>1.2471283512111546E-2</v>
      </c>
      <c r="Q78" s="245">
        <f t="shared" si="40"/>
        <v>0.29992357138625414</v>
      </c>
      <c r="R78" s="243">
        <f t="shared" si="56"/>
        <v>0.99999999999999944</v>
      </c>
      <c r="S78" s="250"/>
      <c r="T78" s="244">
        <f t="shared" si="41"/>
        <v>4.2951839668506533E-2</v>
      </c>
      <c r="U78" s="246">
        <f t="shared" si="46"/>
        <v>0.49824134015467575</v>
      </c>
      <c r="V78" s="246">
        <f t="shared" si="47"/>
        <v>0</v>
      </c>
      <c r="W78" s="246">
        <f t="shared" si="48"/>
        <v>2.708981275355201E-2</v>
      </c>
      <c r="X78" s="246">
        <f t="shared" si="49"/>
        <v>4.8111628540263573E-3</v>
      </c>
      <c r="Y78" s="246">
        <f t="shared" si="50"/>
        <v>8.7298984584780826E-4</v>
      </c>
      <c r="Z78" s="246">
        <f t="shared" si="42"/>
        <v>0.53101530560810195</v>
      </c>
      <c r="AA78" s="247">
        <f t="shared" si="43"/>
        <v>6.1374735793458021E-2</v>
      </c>
      <c r="AB78" s="122"/>
      <c r="AC78" s="244">
        <f t="shared" si="51"/>
        <v>0</v>
      </c>
      <c r="AD78" s="245">
        <f t="shared" si="52"/>
        <v>0</v>
      </c>
      <c r="AE78" s="245">
        <f t="shared" si="53"/>
        <v>407.73471829797427</v>
      </c>
      <c r="AF78" s="245">
        <f t="shared" si="54"/>
        <v>25.724938366416907</v>
      </c>
      <c r="AG78" s="245">
        <f t="shared" si="55"/>
        <v>7.6960290553240354</v>
      </c>
      <c r="AH78" s="245">
        <f t="shared" si="44"/>
        <v>441.15568571971522</v>
      </c>
      <c r="AI78" s="247">
        <f t="shared" si="45"/>
        <v>50.988763165353504</v>
      </c>
      <c r="AK78" s="259"/>
      <c r="AL78" s="59"/>
      <c r="AM78" s="59"/>
    </row>
    <row r="79" spans="1:39">
      <c r="A79" s="122"/>
      <c r="B79" s="241">
        <v>75</v>
      </c>
      <c r="C79" s="248">
        <f>'Other parameters'!$D$30</f>
        <v>5.9392199999999992E-2</v>
      </c>
      <c r="D79" s="242">
        <f>'Other parameters'!$G$30</f>
        <v>8.6</v>
      </c>
      <c r="E79" s="234">
        <v>0</v>
      </c>
      <c r="F79" s="248">
        <f t="shared" si="34"/>
        <v>6.481603692463806E-4</v>
      </c>
      <c r="G79" s="248">
        <f t="shared" si="35"/>
        <v>8.0000000000000016E-2</v>
      </c>
      <c r="H79" s="249">
        <f t="shared" si="36"/>
        <v>0.11221356804646829</v>
      </c>
      <c r="I79" s="122"/>
      <c r="J79" s="244">
        <v>0</v>
      </c>
      <c r="K79" s="245">
        <v>0</v>
      </c>
      <c r="L79" s="245">
        <v>0</v>
      </c>
      <c r="M79" s="245">
        <v>0</v>
      </c>
      <c r="N79" s="245">
        <f t="shared" si="37"/>
        <v>0.65559030204647328</v>
      </c>
      <c r="O79" s="245">
        <f t="shared" si="38"/>
        <v>2.6669095975443258E-2</v>
      </c>
      <c r="P79" s="245">
        <f t="shared" si="39"/>
        <v>1.2374575648918985E-2</v>
      </c>
      <c r="Q79" s="245">
        <f t="shared" si="40"/>
        <v>0.30536602632916388</v>
      </c>
      <c r="R79" s="243">
        <f t="shared" si="56"/>
        <v>0.99999999999999933</v>
      </c>
      <c r="S79" s="250"/>
      <c r="T79" s="244">
        <f t="shared" si="41"/>
        <v>6.4834654942909742E-2</v>
      </c>
      <c r="U79" s="246">
        <f t="shared" si="46"/>
        <v>0.55757803250902371</v>
      </c>
      <c r="V79" s="246">
        <f t="shared" si="47"/>
        <v>0</v>
      </c>
      <c r="W79" s="246">
        <f t="shared" si="48"/>
        <v>2.6879202383905405E-2</v>
      </c>
      <c r="X79" s="246">
        <f t="shared" si="49"/>
        <v>4.773768179604343E-3</v>
      </c>
      <c r="Y79" s="246">
        <f t="shared" si="50"/>
        <v>8.66220295424329E-4</v>
      </c>
      <c r="Z79" s="246">
        <f t="shared" si="42"/>
        <v>0.59009722336795778</v>
      </c>
      <c r="AA79" s="247">
        <f t="shared" si="43"/>
        <v>6.6216914928432333E-2</v>
      </c>
      <c r="AB79" s="122"/>
      <c r="AC79" s="244">
        <f t="shared" si="51"/>
        <v>0</v>
      </c>
      <c r="AD79" s="245">
        <f t="shared" si="52"/>
        <v>0</v>
      </c>
      <c r="AE79" s="245">
        <f t="shared" si="53"/>
        <v>404.56477539287869</v>
      </c>
      <c r="AF79" s="245">
        <f t="shared" si="54"/>
        <v>25.524991758096743</v>
      </c>
      <c r="AG79" s="245">
        <f t="shared" si="55"/>
        <v>7.6363506329479058</v>
      </c>
      <c r="AH79" s="245">
        <f t="shared" si="44"/>
        <v>437.72611778392331</v>
      </c>
      <c r="AI79" s="247">
        <f t="shared" si="45"/>
        <v>49.118809503662668</v>
      </c>
      <c r="AK79" s="259"/>
      <c r="AL79" s="59"/>
      <c r="AM79" s="59"/>
    </row>
    <row r="80" spans="1:39">
      <c r="A80" s="122"/>
      <c r="B80" s="241">
        <v>76</v>
      </c>
      <c r="C80" s="248">
        <f>'Other parameters'!$D$30</f>
        <v>5.9392199999999992E-2</v>
      </c>
      <c r="D80" s="242">
        <f>'Other parameters'!$G$30</f>
        <v>8.6</v>
      </c>
      <c r="E80" s="234">
        <v>0</v>
      </c>
      <c r="F80" s="248">
        <f t="shared" si="34"/>
        <v>5.8647975498212943E-4</v>
      </c>
      <c r="G80" s="248">
        <f t="shared" si="35"/>
        <v>8.0000000000000016E-2</v>
      </c>
      <c r="H80" s="249">
        <f t="shared" si="36"/>
        <v>0.10894521169560026</v>
      </c>
      <c r="I80" s="122"/>
      <c r="J80" s="244">
        <v>0</v>
      </c>
      <c r="K80" s="245">
        <v>0</v>
      </c>
      <c r="L80" s="245">
        <v>0</v>
      </c>
      <c r="M80" s="245">
        <v>0</v>
      </c>
      <c r="N80" s="245">
        <f t="shared" si="37"/>
        <v>0.65049340461872851</v>
      </c>
      <c r="O80" s="245">
        <f t="shared" si="38"/>
        <v>2.6461800098069223E-2</v>
      </c>
      <c r="P80" s="245">
        <f t="shared" si="39"/>
        <v>1.227857782373787E-2</v>
      </c>
      <c r="Q80" s="245">
        <f t="shared" si="40"/>
        <v>0.31076621745946376</v>
      </c>
      <c r="R80" s="243">
        <f t="shared" si="56"/>
        <v>0.99999999999999933</v>
      </c>
      <c r="S80" s="250"/>
      <c r="T80" s="244">
        <f t="shared" si="41"/>
        <v>6.4792391130299873E-2</v>
      </c>
      <c r="U80" s="246">
        <f t="shared" si="46"/>
        <v>0.55721456372057887</v>
      </c>
      <c r="V80" s="246">
        <f t="shared" si="47"/>
        <v>0</v>
      </c>
      <c r="W80" s="246">
        <f t="shared" si="48"/>
        <v>2.6670229589367871E-2</v>
      </c>
      <c r="X80" s="246">
        <f t="shared" si="49"/>
        <v>4.7366622175543912E-3</v>
      </c>
      <c r="Y80" s="246">
        <f t="shared" si="50"/>
        <v>8.5950044766165104E-4</v>
      </c>
      <c r="Z80" s="246">
        <f t="shared" si="42"/>
        <v>0.58948095597516281</v>
      </c>
      <c r="AA80" s="247">
        <f t="shared" si="43"/>
        <v>6.4221127539238934E-2</v>
      </c>
      <c r="AB80" s="122"/>
      <c r="AC80" s="244">
        <f t="shared" si="51"/>
        <v>0</v>
      </c>
      <c r="AD80" s="245">
        <f t="shared" si="52"/>
        <v>0</v>
      </c>
      <c r="AE80" s="245">
        <f t="shared" si="53"/>
        <v>401.41947999021738</v>
      </c>
      <c r="AF80" s="245">
        <f t="shared" si="54"/>
        <v>25.326588873862054</v>
      </c>
      <c r="AG80" s="245">
        <f t="shared" si="55"/>
        <v>7.5771103750286404</v>
      </c>
      <c r="AH80" s="245">
        <f t="shared" si="44"/>
        <v>434.32317923910813</v>
      </c>
      <c r="AI80" s="247">
        <f t="shared" si="45"/>
        <v>47.31743070651077</v>
      </c>
      <c r="AK80" s="259"/>
      <c r="AL80" s="59"/>
      <c r="AM80" s="59"/>
    </row>
    <row r="81" spans="1:39">
      <c r="A81" s="122"/>
      <c r="B81" s="241">
        <v>77</v>
      </c>
      <c r="C81" s="248">
        <f>'Other parameters'!$D$30</f>
        <v>5.9392199999999992E-2</v>
      </c>
      <c r="D81" s="242">
        <f>'Other parameters'!$G$30</f>
        <v>8.6</v>
      </c>
      <c r="E81" s="234">
        <v>0</v>
      </c>
      <c r="F81" s="248">
        <f t="shared" si="34"/>
        <v>5.3066882722839189E-4</v>
      </c>
      <c r="G81" s="248">
        <f t="shared" si="35"/>
        <v>8.0000000000000016E-2</v>
      </c>
      <c r="H81" s="249">
        <f t="shared" si="36"/>
        <v>0.10577205018990318</v>
      </c>
      <c r="I81" s="122"/>
      <c r="J81" s="244">
        <v>0</v>
      </c>
      <c r="K81" s="245">
        <v>0</v>
      </c>
      <c r="L81" s="245">
        <v>0</v>
      </c>
      <c r="M81" s="245">
        <v>0</v>
      </c>
      <c r="N81" s="245">
        <f t="shared" si="37"/>
        <v>0.64543613657795496</v>
      </c>
      <c r="O81" s="245">
        <f t="shared" si="38"/>
        <v>2.6256106940348654E-2</v>
      </c>
      <c r="P81" s="245">
        <f t="shared" si="39"/>
        <v>1.2183291513409193E-2</v>
      </c>
      <c r="Q81" s="245">
        <f t="shared" si="40"/>
        <v>0.31612446496828661</v>
      </c>
      <c r="R81" s="243">
        <f t="shared" si="56"/>
        <v>0.99999999999999944</v>
      </c>
      <c r="S81" s="250"/>
      <c r="T81" s="244">
        <f t="shared" si="41"/>
        <v>6.4750447508822875E-2</v>
      </c>
      <c r="U81" s="246">
        <f t="shared" si="46"/>
        <v>0.55685384857587672</v>
      </c>
      <c r="V81" s="246">
        <f t="shared" si="47"/>
        <v>0</v>
      </c>
      <c r="W81" s="246">
        <f t="shared" si="48"/>
        <v>2.6462881599696154E-2</v>
      </c>
      <c r="X81" s="246">
        <f t="shared" si="49"/>
        <v>4.6998431423224086E-3</v>
      </c>
      <c r="Y81" s="246">
        <f t="shared" si="50"/>
        <v>8.5283040593864354E-4</v>
      </c>
      <c r="Z81" s="246">
        <f t="shared" si="42"/>
        <v>0.5888694037238339</v>
      </c>
      <c r="AA81" s="247">
        <f t="shared" si="43"/>
        <v>6.2285924125975722E-2</v>
      </c>
      <c r="AB81" s="122"/>
      <c r="AC81" s="244">
        <f t="shared" si="51"/>
        <v>0</v>
      </c>
      <c r="AD81" s="245">
        <f t="shared" si="52"/>
        <v>0</v>
      </c>
      <c r="AE81" s="245">
        <f t="shared" si="53"/>
        <v>398.298639882256</v>
      </c>
      <c r="AF81" s="245">
        <f t="shared" si="54"/>
        <v>25.129719952607697</v>
      </c>
      <c r="AG81" s="245">
        <f t="shared" si="55"/>
        <v>7.5183091929248134</v>
      </c>
      <c r="AH81" s="245">
        <f t="shared" si="44"/>
        <v>430.94666902778846</v>
      </c>
      <c r="AI81" s="247">
        <f t="shared" si="45"/>
        <v>45.582112705578837</v>
      </c>
      <c r="AK81" s="259"/>
      <c r="AL81" s="59"/>
      <c r="AM81" s="59"/>
    </row>
    <row r="82" spans="1:39">
      <c r="A82" s="122"/>
      <c r="B82" s="241">
        <v>78</v>
      </c>
      <c r="C82" s="248">
        <f>'Other parameters'!$D$30</f>
        <v>5.9392199999999992E-2</v>
      </c>
      <c r="D82" s="242">
        <f>'Other parameters'!$G$30</f>
        <v>8.6</v>
      </c>
      <c r="E82" s="234">
        <v>0</v>
      </c>
      <c r="F82" s="248">
        <f t="shared" si="34"/>
        <v>4.80169011461509E-4</v>
      </c>
      <c r="G82" s="248">
        <f t="shared" si="35"/>
        <v>8.0000000000000016E-2</v>
      </c>
      <c r="H82" s="249">
        <f t="shared" si="36"/>
        <v>0.10269131086398368</v>
      </c>
      <c r="I82" s="122"/>
      <c r="J82" s="244">
        <v>0</v>
      </c>
      <c r="K82" s="245">
        <v>0</v>
      </c>
      <c r="L82" s="245">
        <v>0</v>
      </c>
      <c r="M82" s="245">
        <v>0</v>
      </c>
      <c r="N82" s="245">
        <f t="shared" si="37"/>
        <v>0.640418189074072</v>
      </c>
      <c r="O82" s="245">
        <f t="shared" si="38"/>
        <v>2.6052005895422916E-2</v>
      </c>
      <c r="P82" s="245">
        <f t="shared" si="39"/>
        <v>1.2088717011935018E-2</v>
      </c>
      <c r="Q82" s="245">
        <f t="shared" si="40"/>
        <v>0.32144108801856952</v>
      </c>
      <c r="R82" s="243">
        <f t="shared" si="56"/>
        <v>0.99999999999999944</v>
      </c>
      <c r="S82" s="250"/>
      <c r="T82" s="244">
        <f t="shared" si="41"/>
        <v>6.4708823050282915E-2</v>
      </c>
      <c r="U82" s="246">
        <f t="shared" si="46"/>
        <v>0.55649587823243307</v>
      </c>
      <c r="V82" s="246">
        <f t="shared" si="47"/>
        <v>0</v>
      </c>
      <c r="W82" s="246">
        <f t="shared" si="48"/>
        <v>2.6257145752036953E-2</v>
      </c>
      <c r="X82" s="246">
        <f t="shared" si="49"/>
        <v>4.6633090552807019E-3</v>
      </c>
      <c r="Y82" s="246">
        <f t="shared" si="50"/>
        <v>8.462101908354513E-4</v>
      </c>
      <c r="Z82" s="246">
        <f t="shared" si="42"/>
        <v>0.58826254323058613</v>
      </c>
      <c r="AA82" s="247">
        <f t="shared" si="43"/>
        <v>6.040945169652976E-2</v>
      </c>
      <c r="AB82" s="122"/>
      <c r="AC82" s="244">
        <f t="shared" si="51"/>
        <v>0</v>
      </c>
      <c r="AD82" s="245">
        <f t="shared" si="52"/>
        <v>0</v>
      </c>
      <c r="AE82" s="245">
        <f t="shared" si="53"/>
        <v>395.20206447760984</v>
      </c>
      <c r="AF82" s="245">
        <f t="shared" si="54"/>
        <v>24.934374842509275</v>
      </c>
      <c r="AG82" s="245">
        <f t="shared" si="55"/>
        <v>7.4599472680650996</v>
      </c>
      <c r="AH82" s="245">
        <f t="shared" si="44"/>
        <v>427.5963865881842</v>
      </c>
      <c r="AI82" s="247">
        <f t="shared" si="45"/>
        <v>43.910433459443368</v>
      </c>
      <c r="AK82" s="259"/>
      <c r="AL82" s="59"/>
      <c r="AM82" s="59"/>
    </row>
    <row r="83" spans="1:39">
      <c r="A83" s="122"/>
      <c r="B83" s="241">
        <v>79</v>
      </c>
      <c r="C83" s="248">
        <f>'Other parameters'!$D$30</f>
        <v>5.9392199999999992E-2</v>
      </c>
      <c r="D83" s="242">
        <f>'Other parameters'!$G$30</f>
        <v>8.6</v>
      </c>
      <c r="E83" s="234">
        <v>0</v>
      </c>
      <c r="F83" s="248">
        <f t="shared" si="34"/>
        <v>4.3447488855171106E-4</v>
      </c>
      <c r="G83" s="248">
        <f t="shared" si="35"/>
        <v>8.0000000000000016E-2</v>
      </c>
      <c r="H83" s="249">
        <f t="shared" si="36"/>
        <v>9.9700301809692873E-2</v>
      </c>
      <c r="I83" s="122"/>
      <c r="J83" s="244">
        <v>0</v>
      </c>
      <c r="K83" s="245">
        <v>0</v>
      </c>
      <c r="L83" s="245">
        <v>0</v>
      </c>
      <c r="M83" s="245">
        <v>0</v>
      </c>
      <c r="N83" s="245">
        <f t="shared" si="37"/>
        <v>0.63543925581472016</v>
      </c>
      <c r="O83" s="245">
        <f t="shared" si="38"/>
        <v>2.584948605290326E-2</v>
      </c>
      <c r="P83" s="245">
        <f t="shared" si="39"/>
        <v>1.1994853635885512E-2</v>
      </c>
      <c r="Q83" s="245">
        <f t="shared" si="40"/>
        <v>0.32671640449649053</v>
      </c>
      <c r="R83" s="243">
        <f t="shared" si="56"/>
        <v>0.99999999999999944</v>
      </c>
      <c r="S83" s="250"/>
      <c r="T83" s="244">
        <f t="shared" si="41"/>
        <v>6.4667516477921003E-2</v>
      </c>
      <c r="U83" s="246">
        <f t="shared" si="46"/>
        <v>0.55614064171012056</v>
      </c>
      <c r="V83" s="246">
        <f t="shared" si="47"/>
        <v>0</v>
      </c>
      <c r="W83" s="246">
        <f t="shared" si="48"/>
        <v>2.6053009488403528E-2</v>
      </c>
      <c r="X83" s="246">
        <f t="shared" si="49"/>
        <v>4.6270580034696836E-3</v>
      </c>
      <c r="Y83" s="246">
        <f t="shared" si="50"/>
        <v>8.3963975451198597E-4</v>
      </c>
      <c r="Z83" s="246">
        <f t="shared" si="42"/>
        <v>0.58766034895650565</v>
      </c>
      <c r="AA83" s="247">
        <f t="shared" si="43"/>
        <v>5.8589914152553046E-2</v>
      </c>
      <c r="AB83" s="122"/>
      <c r="AC83" s="244">
        <f t="shared" si="51"/>
        <v>0</v>
      </c>
      <c r="AD83" s="245">
        <f t="shared" si="52"/>
        <v>0</v>
      </c>
      <c r="AE83" s="245">
        <f t="shared" si="53"/>
        <v>392.12956476326383</v>
      </c>
      <c r="AF83" s="245">
        <f t="shared" si="54"/>
        <v>24.740543101233712</v>
      </c>
      <c r="AG83" s="245">
        <f t="shared" si="55"/>
        <v>7.4020241787049503</v>
      </c>
      <c r="AH83" s="245">
        <f t="shared" si="44"/>
        <v>424.27213204320248</v>
      </c>
      <c r="AI83" s="247">
        <f t="shared" si="45"/>
        <v>42.300059614149156</v>
      </c>
      <c r="AK83" s="259"/>
      <c r="AL83" s="59"/>
      <c r="AM83" s="59"/>
    </row>
    <row r="84" spans="1:39">
      <c r="A84" s="122"/>
      <c r="B84" s="241">
        <v>80</v>
      </c>
      <c r="C84" s="248">
        <f>'Other parameters'!$D$31</f>
        <v>9.5447599999999994E-2</v>
      </c>
      <c r="D84" s="242">
        <f>'Other parameters'!$G$31</f>
        <v>6.2</v>
      </c>
      <c r="E84" s="234">
        <v>0</v>
      </c>
      <c r="F84" s="248">
        <f t="shared" si="34"/>
        <v>3.9312913635859134E-4</v>
      </c>
      <c r="G84" s="248">
        <f t="shared" si="35"/>
        <v>8.0000000000000016E-2</v>
      </c>
      <c r="H84" s="249">
        <f t="shared" si="36"/>
        <v>9.679640952397367E-2</v>
      </c>
      <c r="I84" s="122"/>
      <c r="J84" s="244">
        <v>0</v>
      </c>
      <c r="K84" s="245">
        <v>0</v>
      </c>
      <c r="L84" s="245">
        <v>0</v>
      </c>
      <c r="M84" s="245">
        <v>0</v>
      </c>
      <c r="N84" s="245">
        <f t="shared" si="37"/>
        <v>0.63049903301276977</v>
      </c>
      <c r="O84" s="245">
        <f t="shared" si="38"/>
        <v>2.5648536281615349E-2</v>
      </c>
      <c r="P84" s="245">
        <f t="shared" si="39"/>
        <v>1.1901699895318007E-2</v>
      </c>
      <c r="Q84" s="245">
        <f t="shared" si="40"/>
        <v>0.3319507308102963</v>
      </c>
      <c r="R84" s="243">
        <f t="shared" si="56"/>
        <v>0.99999999999999933</v>
      </c>
      <c r="S84" s="250"/>
      <c r="T84" s="244">
        <f t="shared" si="41"/>
        <v>0.10068192631380578</v>
      </c>
      <c r="U84" s="246">
        <f t="shared" si="46"/>
        <v>0.62422794314559582</v>
      </c>
      <c r="V84" s="246">
        <f t="shared" si="47"/>
        <v>0</v>
      </c>
      <c r="W84" s="246">
        <f t="shared" si="48"/>
        <v>2.5850460353523563E-2</v>
      </c>
      <c r="X84" s="246">
        <f t="shared" si="49"/>
        <v>4.5910879944091468E-3</v>
      </c>
      <c r="Y84" s="246">
        <f t="shared" si="50"/>
        <v>8.3311899267226057E-4</v>
      </c>
      <c r="Z84" s="246">
        <f t="shared" si="42"/>
        <v>0.65550261048620073</v>
      </c>
      <c r="AA84" s="247">
        <f t="shared" si="43"/>
        <v>6.3450299128656087E-2</v>
      </c>
      <c r="AB84" s="122"/>
      <c r="AC84" s="244">
        <f t="shared" si="51"/>
        <v>0</v>
      </c>
      <c r="AD84" s="245">
        <f t="shared" si="52"/>
        <v>0</v>
      </c>
      <c r="AE84" s="245">
        <f t="shared" si="53"/>
        <v>389.08095327218024</v>
      </c>
      <c r="AF84" s="245">
        <f t="shared" si="54"/>
        <v>24.548214075134052</v>
      </c>
      <c r="AG84" s="245">
        <f t="shared" si="55"/>
        <v>7.3445390054007422</v>
      </c>
      <c r="AH84" s="245">
        <f t="shared" si="44"/>
        <v>420.97370635271506</v>
      </c>
      <c r="AI84" s="247">
        <f t="shared" si="45"/>
        <v>40.748743278942442</v>
      </c>
      <c r="AK84" s="259"/>
      <c r="AL84" s="59"/>
      <c r="AM84" s="59"/>
    </row>
    <row r="85" spans="1:39">
      <c r="A85" s="122"/>
      <c r="B85" s="241">
        <v>81</v>
      </c>
      <c r="C85" s="248">
        <f>'Other parameters'!$D$31</f>
        <v>9.5447599999999994E-2</v>
      </c>
      <c r="D85" s="242">
        <f>'Other parameters'!$G$31</f>
        <v>6.2</v>
      </c>
      <c r="E85" s="234">
        <v>0</v>
      </c>
      <c r="F85" s="248">
        <f t="shared" si="34"/>
        <v>3.5571795269741458E-4</v>
      </c>
      <c r="G85" s="248">
        <f t="shared" si="35"/>
        <v>8.0000000000000016E-2</v>
      </c>
      <c r="H85" s="249">
        <f t="shared" si="36"/>
        <v>9.3977096625217166E-2</v>
      </c>
      <c r="I85" s="122"/>
      <c r="J85" s="244">
        <v>0</v>
      </c>
      <c r="K85" s="245">
        <v>0</v>
      </c>
      <c r="L85" s="245">
        <v>0</v>
      </c>
      <c r="M85" s="245">
        <v>0</v>
      </c>
      <c r="N85" s="245">
        <f t="shared" si="37"/>
        <v>0.6255972193410283</v>
      </c>
      <c r="O85" s="245">
        <f t="shared" si="38"/>
        <v>2.5449145294960031E-2</v>
      </c>
      <c r="P85" s="245">
        <f t="shared" si="39"/>
        <v>1.1809253635994787E-2</v>
      </c>
      <c r="Q85" s="245">
        <f t="shared" si="40"/>
        <v>0.33714438172801631</v>
      </c>
      <c r="R85" s="243">
        <f t="shared" si="56"/>
        <v>0.99999999999999944</v>
      </c>
      <c r="S85" s="250"/>
      <c r="T85" s="244">
        <f t="shared" si="41"/>
        <v>0.10064125091772003</v>
      </c>
      <c r="U85" s="246">
        <f t="shared" si="46"/>
        <v>0.62397575568986419</v>
      </c>
      <c r="V85" s="246">
        <f t="shared" si="47"/>
        <v>0</v>
      </c>
      <c r="W85" s="246">
        <f t="shared" si="48"/>
        <v>2.5649485992982161E-2</v>
      </c>
      <c r="X85" s="246">
        <f t="shared" si="49"/>
        <v>4.5553970077978458E-3</v>
      </c>
      <c r="Y85" s="246">
        <f t="shared" si="50"/>
        <v>8.2664775451963515E-4</v>
      </c>
      <c r="Z85" s="246">
        <f t="shared" si="42"/>
        <v>0.65500728644516382</v>
      </c>
      <c r="AA85" s="247">
        <f t="shared" si="43"/>
        <v>6.1555683048478457E-2</v>
      </c>
      <c r="AB85" s="122"/>
      <c r="AC85" s="244">
        <f t="shared" si="51"/>
        <v>0</v>
      </c>
      <c r="AD85" s="245">
        <f t="shared" si="52"/>
        <v>0</v>
      </c>
      <c r="AE85" s="245">
        <f t="shared" si="53"/>
        <v>386.05604405534859</v>
      </c>
      <c r="AF85" s="245">
        <f t="shared" si="54"/>
        <v>24.357376961806246</v>
      </c>
      <c r="AG85" s="245">
        <f t="shared" si="55"/>
        <v>7.287490418772383</v>
      </c>
      <c r="AH85" s="245">
        <f t="shared" si="44"/>
        <v>417.70091143592725</v>
      </c>
      <c r="AI85" s="247">
        <f t="shared" si="45"/>
        <v>39.254318914455411</v>
      </c>
      <c r="AK85" s="259"/>
      <c r="AL85" s="59"/>
      <c r="AM85" s="59"/>
    </row>
    <row r="86" spans="1:39">
      <c r="A86" s="122"/>
      <c r="B86" s="241">
        <v>82</v>
      </c>
      <c r="C86" s="248">
        <f>'Other parameters'!$D$31</f>
        <v>9.5447599999999994E-2</v>
      </c>
      <c r="D86" s="242">
        <f>'Other parameters'!$G$31</f>
        <v>6.2</v>
      </c>
      <c r="E86" s="234">
        <v>0</v>
      </c>
      <c r="F86" s="248">
        <f t="shared" si="34"/>
        <v>3.2186691386776605E-4</v>
      </c>
      <c r="G86" s="248">
        <f t="shared" si="35"/>
        <v>8.0000000000000016E-2</v>
      </c>
      <c r="H86" s="249">
        <f t="shared" si="36"/>
        <v>9.1239899636133173E-2</v>
      </c>
      <c r="I86" s="122"/>
      <c r="J86" s="244">
        <v>0</v>
      </c>
      <c r="K86" s="245">
        <v>0</v>
      </c>
      <c r="L86" s="245">
        <v>0</v>
      </c>
      <c r="M86" s="245">
        <v>0</v>
      </c>
      <c r="N86" s="245">
        <f t="shared" si="37"/>
        <v>0.62073351589267589</v>
      </c>
      <c r="O86" s="245">
        <f t="shared" si="38"/>
        <v>2.5251301702511744E-2</v>
      </c>
      <c r="P86" s="245">
        <f t="shared" si="39"/>
        <v>1.1717512157714388E-2</v>
      </c>
      <c r="Q86" s="245">
        <f t="shared" si="40"/>
        <v>0.34229767024709745</v>
      </c>
      <c r="R86" s="243">
        <f t="shared" si="56"/>
        <v>0.99999999999999956</v>
      </c>
      <c r="S86" s="250"/>
      <c r="T86" s="244">
        <f t="shared" si="41"/>
        <v>0.10060088851908112</v>
      </c>
      <c r="U86" s="246">
        <f t="shared" si="46"/>
        <v>0.62372550881830302</v>
      </c>
      <c r="V86" s="246">
        <f t="shared" si="47"/>
        <v>0</v>
      </c>
      <c r="W86" s="246">
        <f t="shared" si="48"/>
        <v>2.5450074151599712E-2</v>
      </c>
      <c r="X86" s="246">
        <f t="shared" si="49"/>
        <v>4.5199830047496017E-3</v>
      </c>
      <c r="Y86" s="246">
        <f t="shared" si="50"/>
        <v>8.2022585104000718E-4</v>
      </c>
      <c r="Z86" s="246">
        <f t="shared" si="42"/>
        <v>0.65451579182569242</v>
      </c>
      <c r="AA86" s="247">
        <f t="shared" si="43"/>
        <v>5.9717955156440412E-2</v>
      </c>
      <c r="AB86" s="122"/>
      <c r="AC86" s="244">
        <f t="shared" si="51"/>
        <v>0</v>
      </c>
      <c r="AD86" s="245">
        <f t="shared" si="52"/>
        <v>0</v>
      </c>
      <c r="AE86" s="245">
        <f t="shared" si="53"/>
        <v>383.0546526573703</v>
      </c>
      <c r="AF86" s="245">
        <f t="shared" si="54"/>
        <v>24.168020859473991</v>
      </c>
      <c r="AG86" s="245">
        <f t="shared" si="55"/>
        <v>7.2308767525255488</v>
      </c>
      <c r="AH86" s="245">
        <f t="shared" si="44"/>
        <v>414.45355026936983</v>
      </c>
      <c r="AI86" s="247">
        <f t="shared" si="45"/>
        <v>37.814700330416379</v>
      </c>
      <c r="AK86" s="259"/>
      <c r="AL86" s="59"/>
      <c r="AM86" s="59"/>
    </row>
    <row r="87" spans="1:39">
      <c r="A87" s="122"/>
      <c r="B87" s="241">
        <v>83</v>
      </c>
      <c r="C87" s="248">
        <f>'Other parameters'!$D$31</f>
        <v>9.5447599999999994E-2</v>
      </c>
      <c r="D87" s="242">
        <f>'Other parameters'!$G$31</f>
        <v>6.2</v>
      </c>
      <c r="E87" s="234">
        <v>0</v>
      </c>
      <c r="F87" s="248">
        <f t="shared" si="34"/>
        <v>2.9123722729531215E-4</v>
      </c>
      <c r="G87" s="248">
        <f t="shared" si="35"/>
        <v>8.0000000000000016E-2</v>
      </c>
      <c r="H87" s="249">
        <f t="shared" si="36"/>
        <v>8.8582426831197242E-2</v>
      </c>
      <c r="I87" s="122"/>
      <c r="J87" s="244">
        <v>0</v>
      </c>
      <c r="K87" s="245">
        <v>0</v>
      </c>
      <c r="L87" s="245">
        <v>0</v>
      </c>
      <c r="M87" s="245">
        <v>0</v>
      </c>
      <c r="N87" s="245">
        <f t="shared" si="37"/>
        <v>0.61590762614626526</v>
      </c>
      <c r="O87" s="245">
        <f t="shared" si="38"/>
        <v>2.5054994050721837E-2</v>
      </c>
      <c r="P87" s="245">
        <f t="shared" si="39"/>
        <v>1.1626472312762631E-2</v>
      </c>
      <c r="Q87" s="245">
        <f t="shared" si="40"/>
        <v>0.34741090749024972</v>
      </c>
      <c r="R87" s="243">
        <f t="shared" si="56"/>
        <v>0.99999999999999944</v>
      </c>
      <c r="S87" s="250"/>
      <c r="T87" s="244">
        <f t="shared" si="41"/>
        <v>0.10056083724315226</v>
      </c>
      <c r="U87" s="246">
        <f t="shared" si="46"/>
        <v>0.62347719090754405</v>
      </c>
      <c r="V87" s="246">
        <f t="shared" si="47"/>
        <v>0</v>
      </c>
      <c r="W87" s="246">
        <f t="shared" si="48"/>
        <v>2.5252212671996878E-2</v>
      </c>
      <c r="X87" s="246">
        <f t="shared" si="49"/>
        <v>4.484843935079209E-3</v>
      </c>
      <c r="Y87" s="246">
        <f t="shared" si="50"/>
        <v>8.1385306189338421E-4</v>
      </c>
      <c r="Z87" s="246">
        <f t="shared" si="42"/>
        <v>0.6540281005765135</v>
      </c>
      <c r="AA87" s="247">
        <f t="shared" si="43"/>
        <v>5.7935396364865915E-2</v>
      </c>
      <c r="AB87" s="122"/>
      <c r="AC87" s="244">
        <f t="shared" si="51"/>
        <v>0</v>
      </c>
      <c r="AD87" s="245">
        <f t="shared" si="52"/>
        <v>0</v>
      </c>
      <c r="AE87" s="245">
        <f t="shared" si="53"/>
        <v>380.07659609486029</v>
      </c>
      <c r="AF87" s="245">
        <f t="shared" si="54"/>
        <v>23.98013480594587</v>
      </c>
      <c r="AG87" s="245">
        <f t="shared" si="55"/>
        <v>7.1746960642058193</v>
      </c>
      <c r="AH87" s="245">
        <f t="shared" si="44"/>
        <v>411.23142696501196</v>
      </c>
      <c r="AI87" s="247">
        <f t="shared" si="45"/>
        <v>36.427877789817003</v>
      </c>
      <c r="AK87" s="259"/>
      <c r="AL87" s="59"/>
      <c r="AM87" s="59"/>
    </row>
    <row r="88" spans="1:39">
      <c r="A88" s="122"/>
      <c r="B88" s="241">
        <v>84</v>
      </c>
      <c r="C88" s="248">
        <f>'Other parameters'!$D$31</f>
        <v>9.5447599999999994E-2</v>
      </c>
      <c r="D88" s="242">
        <f>'Other parameters'!$G$31</f>
        <v>6.2</v>
      </c>
      <c r="E88" s="234">
        <v>0</v>
      </c>
      <c r="F88" s="248">
        <f t="shared" si="34"/>
        <v>2.6352234078184223E-4</v>
      </c>
      <c r="G88" s="248">
        <f t="shared" si="35"/>
        <v>8.0000000000000016E-2</v>
      </c>
      <c r="H88" s="249">
        <f t="shared" si="36"/>
        <v>8.6002356146793454E-2</v>
      </c>
      <c r="I88" s="122"/>
      <c r="J88" s="244">
        <v>0</v>
      </c>
      <c r="K88" s="245">
        <v>0</v>
      </c>
      <c r="L88" s="245">
        <v>0</v>
      </c>
      <c r="M88" s="245">
        <v>0</v>
      </c>
      <c r="N88" s="245">
        <f t="shared" si="37"/>
        <v>0.61111925593436411</v>
      </c>
      <c r="O88" s="245">
        <f t="shared" si="38"/>
        <v>2.4860210854996893E-2</v>
      </c>
      <c r="P88" s="245">
        <f t="shared" si="39"/>
        <v>1.1536130587817136E-2</v>
      </c>
      <c r="Q88" s="245">
        <f t="shared" si="40"/>
        <v>0.35248440262282132</v>
      </c>
      <c r="R88" s="243">
        <f t="shared" si="56"/>
        <v>0.99999999999999944</v>
      </c>
      <c r="S88" s="250"/>
      <c r="T88" s="244">
        <f t="shared" si="41"/>
        <v>0.10052109513257158</v>
      </c>
      <c r="U88" s="246">
        <f t="shared" si="46"/>
        <v>0.6232307898219438</v>
      </c>
      <c r="V88" s="246">
        <f t="shared" si="47"/>
        <v>0</v>
      </c>
      <c r="W88" s="246">
        <f t="shared" si="48"/>
        <v>2.505588949330893E-2</v>
      </c>
      <c r="X88" s="246">
        <f t="shared" si="49"/>
        <v>4.4499777430444436E-3</v>
      </c>
      <c r="Y88" s="246">
        <f t="shared" si="50"/>
        <v>8.0752914114719959E-4</v>
      </c>
      <c r="Z88" s="246">
        <f t="shared" si="42"/>
        <v>0.65354418619944443</v>
      </c>
      <c r="AA88" s="247">
        <f t="shared" si="43"/>
        <v>5.6206339859190914E-2</v>
      </c>
      <c r="AB88" s="122"/>
      <c r="AC88" s="244">
        <f t="shared" si="51"/>
        <v>0</v>
      </c>
      <c r="AD88" s="245">
        <f t="shared" si="52"/>
        <v>0</v>
      </c>
      <c r="AE88" s="245">
        <f t="shared" si="53"/>
        <v>377.12169283709613</v>
      </c>
      <c r="AF88" s="245">
        <f t="shared" si="54"/>
        <v>23.793707809317528</v>
      </c>
      <c r="AG88" s="245">
        <f t="shared" si="55"/>
        <v>7.1189461857419545</v>
      </c>
      <c r="AH88" s="245">
        <f t="shared" si="44"/>
        <v>408.03434683215562</v>
      </c>
      <c r="AI88" s="247">
        <f t="shared" si="45"/>
        <v>35.091915216383292</v>
      </c>
      <c r="AK88" s="259"/>
      <c r="AL88" s="59"/>
      <c r="AM88" s="59"/>
    </row>
    <row r="89" spans="1:39">
      <c r="A89" s="122"/>
      <c r="B89" s="241">
        <v>85</v>
      </c>
      <c r="C89" s="248">
        <f>'Other parameters'!$D$32</f>
        <v>0.12420580000000001</v>
      </c>
      <c r="D89" s="242">
        <f>'Other parameters'!$G$32</f>
        <v>4.5999999999999996</v>
      </c>
      <c r="E89" s="234">
        <v>0</v>
      </c>
      <c r="F89" s="248">
        <f t="shared" si="34"/>
        <v>2.3844487442783421E-4</v>
      </c>
      <c r="G89" s="248">
        <f t="shared" si="35"/>
        <v>8.0000000000000016E-2</v>
      </c>
      <c r="H89" s="249">
        <f t="shared" si="36"/>
        <v>8.3497433152226644E-2</v>
      </c>
      <c r="I89" s="122"/>
      <c r="J89" s="244">
        <v>0</v>
      </c>
      <c r="K89" s="245">
        <v>0</v>
      </c>
      <c r="L89" s="245">
        <v>0</v>
      </c>
      <c r="M89" s="245">
        <v>0</v>
      </c>
      <c r="N89" s="245">
        <f t="shared" si="37"/>
        <v>0.60636811341510921</v>
      </c>
      <c r="O89" s="245">
        <f t="shared" si="38"/>
        <v>2.4666940624949417E-2</v>
      </c>
      <c r="P89" s="245">
        <f t="shared" si="39"/>
        <v>1.144648317207953E-2</v>
      </c>
      <c r="Q89" s="245">
        <f t="shared" si="40"/>
        <v>0.35751846278786142</v>
      </c>
      <c r="R89" s="243">
        <f t="shared" si="56"/>
        <v>0.99999999999999956</v>
      </c>
      <c r="S89" s="250"/>
      <c r="T89" s="244">
        <f t="shared" si="41"/>
        <v>0.12923986016504008</v>
      </c>
      <c r="U89" s="246">
        <f t="shared" si="46"/>
        <v>0.59450335675918431</v>
      </c>
      <c r="V89" s="246">
        <f t="shared" si="47"/>
        <v>0</v>
      </c>
      <c r="W89" s="246">
        <f t="shared" si="48"/>
        <v>2.4861092650019477E-2</v>
      </c>
      <c r="X89" s="246">
        <f t="shared" si="49"/>
        <v>4.4153823718659458E-3</v>
      </c>
      <c r="Y89" s="246">
        <f t="shared" si="50"/>
        <v>8.0125382204556718E-4</v>
      </c>
      <c r="Z89" s="246">
        <f t="shared" si="42"/>
        <v>0.6245810856031152</v>
      </c>
      <c r="AA89" s="247">
        <f t="shared" si="43"/>
        <v>5.2150917443291256E-2</v>
      </c>
      <c r="AB89" s="122"/>
      <c r="AC89" s="244">
        <f t="shared" si="51"/>
        <v>0</v>
      </c>
      <c r="AD89" s="245">
        <f t="shared" si="52"/>
        <v>0</v>
      </c>
      <c r="AE89" s="245">
        <f t="shared" si="53"/>
        <v>374.1897627884639</v>
      </c>
      <c r="AF89" s="245">
        <f t="shared" si="54"/>
        <v>23.608728872139089</v>
      </c>
      <c r="AG89" s="245">
        <f t="shared" si="55"/>
        <v>7.0636247654902782</v>
      </c>
      <c r="AH89" s="245">
        <f t="shared" si="44"/>
        <v>404.86211642609322</v>
      </c>
      <c r="AI89" s="247">
        <f t="shared" si="45"/>
        <v>33.804947502156722</v>
      </c>
      <c r="AK89" s="259"/>
      <c r="AL89" s="59"/>
      <c r="AM89" s="59"/>
    </row>
    <row r="90" spans="1:39">
      <c r="A90" s="122"/>
      <c r="B90" s="241">
        <v>86</v>
      </c>
      <c r="C90" s="248">
        <f>'Other parameters'!$D$32</f>
        <v>0.12420580000000001</v>
      </c>
      <c r="D90" s="242">
        <f>'Other parameters'!$G$32</f>
        <v>4.5999999999999996</v>
      </c>
      <c r="E90" s="234">
        <v>0</v>
      </c>
      <c r="F90" s="248">
        <f t="shared" si="34"/>
        <v>2.1575384452119021E-4</v>
      </c>
      <c r="G90" s="248">
        <f t="shared" si="35"/>
        <v>8.0000000000000016E-2</v>
      </c>
      <c r="H90" s="249">
        <f t="shared" si="36"/>
        <v>8.1065469079831712E-2</v>
      </c>
      <c r="I90" s="122"/>
      <c r="J90" s="244">
        <v>0</v>
      </c>
      <c r="K90" s="245">
        <v>0</v>
      </c>
      <c r="L90" s="245">
        <v>0</v>
      </c>
      <c r="M90" s="245">
        <v>0</v>
      </c>
      <c r="N90" s="245">
        <f t="shared" si="37"/>
        <v>0.60165390904609428</v>
      </c>
      <c r="O90" s="245">
        <f t="shared" si="38"/>
        <v>2.4475171884243894E-2</v>
      </c>
      <c r="P90" s="245">
        <f t="shared" si="39"/>
        <v>1.1357526013944078E-2</v>
      </c>
      <c r="Q90" s="245">
        <f t="shared" si="40"/>
        <v>0.36251339305571739</v>
      </c>
      <c r="R90" s="243">
        <f t="shared" si="56"/>
        <v>0.99999999999999967</v>
      </c>
      <c r="S90" s="250"/>
      <c r="T90" s="244">
        <f t="shared" si="41"/>
        <v>0.12920073026785597</v>
      </c>
      <c r="U90" s="246">
        <f t="shared" si="46"/>
        <v>0.59432335923213742</v>
      </c>
      <c r="V90" s="246">
        <f t="shared" si="47"/>
        <v>0</v>
      </c>
      <c r="W90" s="246">
        <f t="shared" si="48"/>
        <v>2.4667810270889868E-2</v>
      </c>
      <c r="X90" s="246">
        <f t="shared" si="49"/>
        <v>4.3810557672796565E-3</v>
      </c>
      <c r="Y90" s="246">
        <f t="shared" si="50"/>
        <v>7.9502682097608551E-4</v>
      </c>
      <c r="Z90" s="246">
        <f t="shared" si="42"/>
        <v>0.62416725209128299</v>
      </c>
      <c r="AA90" s="247">
        <f t="shared" si="43"/>
        <v>5.0598411075049428E-2</v>
      </c>
      <c r="AB90" s="122"/>
      <c r="AC90" s="244">
        <f t="shared" si="51"/>
        <v>0</v>
      </c>
      <c r="AD90" s="245">
        <f t="shared" si="52"/>
        <v>0</v>
      </c>
      <c r="AE90" s="245">
        <f t="shared" si="53"/>
        <v>371.28062727234482</v>
      </c>
      <c r="AF90" s="245">
        <f t="shared" si="54"/>
        <v>23.425187010409832</v>
      </c>
      <c r="AG90" s="245">
        <f t="shared" si="55"/>
        <v>7.0087293032048912</v>
      </c>
      <c r="AH90" s="245">
        <f t="shared" si="44"/>
        <v>401.71454358595958</v>
      </c>
      <c r="AI90" s="247">
        <f t="shared" si="45"/>
        <v>32.565177911986318</v>
      </c>
      <c r="AK90" s="259"/>
      <c r="AL90" s="59"/>
      <c r="AM90" s="59"/>
    </row>
    <row r="91" spans="1:39">
      <c r="A91" s="122"/>
      <c r="B91" s="241">
        <v>87</v>
      </c>
      <c r="C91" s="248">
        <f>'Other parameters'!$D$32</f>
        <v>0.12420580000000001</v>
      </c>
      <c r="D91" s="242">
        <f>'Other parameters'!$G$32</f>
        <v>4.5999999999999996</v>
      </c>
      <c r="E91" s="234">
        <v>0</v>
      </c>
      <c r="F91" s="248">
        <f t="shared" si="34"/>
        <v>1.952221516078855E-4</v>
      </c>
      <c r="G91" s="248">
        <f t="shared" si="35"/>
        <v>8.0000000000000016E-2</v>
      </c>
      <c r="H91" s="249">
        <f t="shared" si="36"/>
        <v>7.8704338912457969E-2</v>
      </c>
      <c r="I91" s="122"/>
      <c r="J91" s="244">
        <v>0</v>
      </c>
      <c r="K91" s="245">
        <v>0</v>
      </c>
      <c r="L91" s="245">
        <v>0</v>
      </c>
      <c r="M91" s="245">
        <v>0</v>
      </c>
      <c r="N91" s="245">
        <f t="shared" si="37"/>
        <v>0.59697635556013406</v>
      </c>
      <c r="O91" s="245">
        <f t="shared" si="38"/>
        <v>2.4284893186164915E-2</v>
      </c>
      <c r="P91" s="245">
        <f t="shared" si="39"/>
        <v>1.1269254868124148E-2</v>
      </c>
      <c r="Q91" s="245">
        <f t="shared" si="40"/>
        <v>0.36746949638557652</v>
      </c>
      <c r="R91" s="243">
        <f t="shared" si="56"/>
        <v>0.99999999999999956</v>
      </c>
      <c r="S91" s="250"/>
      <c r="T91" s="244">
        <f t="shared" si="41"/>
        <v>0.12916190332985916</v>
      </c>
      <c r="U91" s="246">
        <f t="shared" si="46"/>
        <v>0.59414475531735211</v>
      </c>
      <c r="V91" s="246">
        <f t="shared" si="47"/>
        <v>0</v>
      </c>
      <c r="W91" s="246">
        <f t="shared" si="48"/>
        <v>2.4476030577965498E-2</v>
      </c>
      <c r="X91" s="246">
        <f t="shared" si="49"/>
        <v>4.34699588032352E-3</v>
      </c>
      <c r="Y91" s="246">
        <f t="shared" si="50"/>
        <v>7.8884784076869042E-4</v>
      </c>
      <c r="Z91" s="246">
        <f t="shared" si="42"/>
        <v>0.62375662961640987</v>
      </c>
      <c r="AA91" s="247">
        <f t="shared" si="43"/>
        <v>4.9092353176222438E-2</v>
      </c>
      <c r="AB91" s="122"/>
      <c r="AC91" s="244">
        <f t="shared" si="51"/>
        <v>0</v>
      </c>
      <c r="AD91" s="245">
        <f t="shared" si="52"/>
        <v>0</v>
      </c>
      <c r="AE91" s="245">
        <f t="shared" si="53"/>
        <v>368.39410901615872</v>
      </c>
      <c r="AF91" s="245">
        <f t="shared" si="54"/>
        <v>23.243071268478442</v>
      </c>
      <c r="AG91" s="245">
        <f t="shared" si="55"/>
        <v>6.9542571791194119</v>
      </c>
      <c r="AH91" s="245">
        <f t="shared" si="44"/>
        <v>398.59143746375656</v>
      </c>
      <c r="AI91" s="247">
        <f t="shared" si="45"/>
        <v>31.370875581751292</v>
      </c>
      <c r="AK91" s="259"/>
      <c r="AL91" s="59"/>
      <c r="AM91" s="59"/>
    </row>
    <row r="92" spans="1:39">
      <c r="A92" s="122"/>
      <c r="B92" s="241">
        <v>88</v>
      </c>
      <c r="C92" s="248">
        <f>'Other parameters'!$D$32</f>
        <v>0.12420580000000001</v>
      </c>
      <c r="D92" s="242">
        <f>'Other parameters'!$G$32</f>
        <v>4.5999999999999996</v>
      </c>
      <c r="E92" s="234">
        <v>0</v>
      </c>
      <c r="F92" s="248">
        <f t="shared" si="34"/>
        <v>1.7664430760430384E-4</v>
      </c>
      <c r="G92" s="248">
        <f t="shared" si="35"/>
        <v>8.0000000000000016E-2</v>
      </c>
      <c r="H92" s="249">
        <f t="shared" si="36"/>
        <v>7.6411979526658208E-2</v>
      </c>
      <c r="I92" s="122"/>
      <c r="J92" s="244">
        <v>0</v>
      </c>
      <c r="K92" s="245">
        <v>0</v>
      </c>
      <c r="L92" s="245">
        <v>0</v>
      </c>
      <c r="M92" s="245">
        <v>0</v>
      </c>
      <c r="N92" s="245">
        <f t="shared" si="37"/>
        <v>0.5923351679425406</v>
      </c>
      <c r="O92" s="245">
        <f t="shared" si="38"/>
        <v>2.4096093125799398E-2</v>
      </c>
      <c r="P92" s="245">
        <f t="shared" si="39"/>
        <v>1.1181665334835734E-2</v>
      </c>
      <c r="Q92" s="245">
        <f t="shared" si="40"/>
        <v>0.37238707359682388</v>
      </c>
      <c r="R92" s="243">
        <f t="shared" si="56"/>
        <v>0.99999999999999967</v>
      </c>
      <c r="S92" s="250"/>
      <c r="T92" s="244">
        <f t="shared" si="41"/>
        <v>0.12912337721124736</v>
      </c>
      <c r="U92" s="246">
        <f t="shared" si="46"/>
        <v>0.59396753517173784</v>
      </c>
      <c r="V92" s="246">
        <f t="shared" si="47"/>
        <v>0</v>
      </c>
      <c r="W92" s="246">
        <f t="shared" si="48"/>
        <v>2.4285741885644165E-2</v>
      </c>
      <c r="X92" s="246">
        <f t="shared" si="49"/>
        <v>4.3132006695180917E-3</v>
      </c>
      <c r="Y92" s="246">
        <f t="shared" si="50"/>
        <v>7.8271657343850147E-4</v>
      </c>
      <c r="Z92" s="246">
        <f t="shared" si="42"/>
        <v>0.62334919430033864</v>
      </c>
      <c r="AA92" s="247">
        <f t="shared" si="43"/>
        <v>4.7631345872836364E-2</v>
      </c>
      <c r="AB92" s="122"/>
      <c r="AC92" s="244">
        <f t="shared" si="51"/>
        <v>0</v>
      </c>
      <c r="AD92" s="245">
        <f t="shared" si="52"/>
        <v>0</v>
      </c>
      <c r="AE92" s="245">
        <f t="shared" si="53"/>
        <v>365.53003213734183</v>
      </c>
      <c r="AF92" s="245">
        <f t="shared" si="54"/>
        <v>23.062370730702604</v>
      </c>
      <c r="AG92" s="245">
        <f t="shared" si="55"/>
        <v>6.9002056781271319</v>
      </c>
      <c r="AH92" s="245">
        <f t="shared" si="44"/>
        <v>395.49260854617154</v>
      </c>
      <c r="AI92" s="247">
        <f t="shared" si="45"/>
        <v>30.220373107174709</v>
      </c>
      <c r="AK92" s="259"/>
      <c r="AL92" s="59"/>
      <c r="AM92" s="59"/>
    </row>
    <row r="93" spans="1:39">
      <c r="A93" s="122"/>
      <c r="B93" s="241">
        <v>89</v>
      </c>
      <c r="C93" s="248">
        <f>'Other parameters'!$D$32</f>
        <v>0.12420580000000001</v>
      </c>
      <c r="D93" s="242">
        <f>'Other parameters'!$G$32</f>
        <v>4.5999999999999996</v>
      </c>
      <c r="E93" s="234">
        <v>0</v>
      </c>
      <c r="F93" s="248">
        <f t="shared" ref="F93:F104" si="57">IF(B93&lt;rf2age,0,(pA2_3a*EXP(-0.1*(B93-$B$28))))</f>
        <v>1.5983437920342815E-4</v>
      </c>
      <c r="G93" s="248">
        <f t="shared" si="35"/>
        <v>8.0000000000000016E-2</v>
      </c>
      <c r="H93" s="249">
        <f t="shared" si="36"/>
        <v>7.4186387889959446E-2</v>
      </c>
      <c r="I93" s="122"/>
      <c r="J93" s="244">
        <v>0</v>
      </c>
      <c r="K93" s="245">
        <v>0</v>
      </c>
      <c r="L93" s="245">
        <v>0</v>
      </c>
      <c r="M93" s="245">
        <v>0</v>
      </c>
      <c r="N93" s="245">
        <f t="shared" si="37"/>
        <v>0.58773006340962519</v>
      </c>
      <c r="O93" s="245">
        <f t="shared" si="38"/>
        <v>2.3908760349539121E-2</v>
      </c>
      <c r="P93" s="245">
        <f t="shared" si="39"/>
        <v>1.109475289236901E-2</v>
      </c>
      <c r="Q93" s="245">
        <f t="shared" si="40"/>
        <v>0.37726642334846638</v>
      </c>
      <c r="R93" s="243">
        <f t="shared" si="56"/>
        <v>0.99999999999999978</v>
      </c>
      <c r="S93" s="250"/>
      <c r="T93" s="244">
        <f t="shared" si="41"/>
        <v>0.12908514975164251</v>
      </c>
      <c r="U93" s="246">
        <f t="shared" si="46"/>
        <v>0.59379168885755551</v>
      </c>
      <c r="V93" s="246">
        <f t="shared" si="47"/>
        <v>0</v>
      </c>
      <c r="W93" s="246">
        <f t="shared" si="48"/>
        <v>2.4096932599794636E-2</v>
      </c>
      <c r="X93" s="246">
        <f t="shared" si="49"/>
        <v>4.2796681025675026E-3</v>
      </c>
      <c r="Y93" s="246">
        <f t="shared" si="50"/>
        <v>7.766327024658307E-4</v>
      </c>
      <c r="Z93" s="246">
        <f t="shared" si="42"/>
        <v>0.62294492226238352</v>
      </c>
      <c r="AA93" s="247">
        <f t="shared" si="43"/>
        <v>4.621403363703782E-2</v>
      </c>
      <c r="AB93" s="122"/>
      <c r="AC93" s="244">
        <f t="shared" si="51"/>
        <v>0</v>
      </c>
      <c r="AD93" s="245">
        <f t="shared" si="52"/>
        <v>0</v>
      </c>
      <c r="AE93" s="245">
        <f t="shared" si="53"/>
        <v>362.68822213007974</v>
      </c>
      <c r="AF93" s="245">
        <f t="shared" si="54"/>
        <v>22.883074530543894</v>
      </c>
      <c r="AG93" s="245">
        <f t="shared" si="55"/>
        <v>6.8465720098809157</v>
      </c>
      <c r="AH93" s="245">
        <f t="shared" si="44"/>
        <v>392.4178686705045</v>
      </c>
      <c r="AI93" s="247">
        <f t="shared" si="45"/>
        <v>29.11206422014121</v>
      </c>
      <c r="AK93" s="259"/>
      <c r="AL93" s="59"/>
      <c r="AM93" s="59"/>
    </row>
    <row r="94" spans="1:39">
      <c r="A94" s="122"/>
      <c r="B94" s="241">
        <v>90</v>
      </c>
      <c r="C94" s="248">
        <f>'Other parameters'!$D$33</f>
        <v>0.15309420000000001</v>
      </c>
      <c r="D94" s="242">
        <f>'Other parameters'!$G$33</f>
        <v>3.3</v>
      </c>
      <c r="E94" s="234">
        <v>0</v>
      </c>
      <c r="F94" s="248">
        <f t="shared" si="57"/>
        <v>1.4462412699181034E-4</v>
      </c>
      <c r="G94" s="248">
        <f t="shared" si="35"/>
        <v>8.0000000000000016E-2</v>
      </c>
      <c r="H94" s="249">
        <f t="shared" si="36"/>
        <v>7.2025619310640235E-2</v>
      </c>
      <c r="I94" s="122"/>
      <c r="J94" s="244">
        <v>0</v>
      </c>
      <c r="K94" s="245">
        <v>0</v>
      </c>
      <c r="L94" s="245">
        <v>0</v>
      </c>
      <c r="M94" s="245">
        <v>0</v>
      </c>
      <c r="N94" s="245">
        <f t="shared" si="37"/>
        <v>0.58316076138819672</v>
      </c>
      <c r="O94" s="245">
        <f t="shared" si="38"/>
        <v>2.3722883562462764E-2</v>
      </c>
      <c r="P94" s="245">
        <f t="shared" si="39"/>
        <v>1.1008512924155819E-2</v>
      </c>
      <c r="Q94" s="245">
        <f t="shared" si="40"/>
        <v>0.38210784212518439</v>
      </c>
      <c r="R94" s="243">
        <f t="shared" si="56"/>
        <v>0.99999999999999978</v>
      </c>
      <c r="S94" s="250"/>
      <c r="T94" s="244">
        <f t="shared" si="41"/>
        <v>0.15793561877671802</v>
      </c>
      <c r="U94" s="246">
        <f t="shared" si="46"/>
        <v>0.52118754196316941</v>
      </c>
      <c r="V94" s="246">
        <f t="shared" si="47"/>
        <v>0</v>
      </c>
      <c r="W94" s="246">
        <f t="shared" si="48"/>
        <v>2.3909591216916066E-2</v>
      </c>
      <c r="X94" s="246">
        <f t="shared" si="49"/>
        <v>4.2463961576808349E-3</v>
      </c>
      <c r="Y94" s="246">
        <f t="shared" si="50"/>
        <v>7.7059590469090748E-4</v>
      </c>
      <c r="Z94" s="246">
        <f t="shared" si="42"/>
        <v>0.55011412524245717</v>
      </c>
      <c r="AA94" s="247">
        <f t="shared" si="43"/>
        <v>3.9622310562119081E-2</v>
      </c>
      <c r="AB94" s="122"/>
      <c r="AC94" s="244">
        <f t="shared" si="51"/>
        <v>0</v>
      </c>
      <c r="AD94" s="245">
        <f t="shared" si="52"/>
        <v>0</v>
      </c>
      <c r="AE94" s="245">
        <f t="shared" si="53"/>
        <v>359.8685058526562</v>
      </c>
      <c r="AF94" s="245">
        <f t="shared" si="54"/>
        <v>22.705171857633111</v>
      </c>
      <c r="AG94" s="245">
        <f t="shared" si="55"/>
        <v>6.7933533254965566</v>
      </c>
      <c r="AH94" s="245">
        <f t="shared" si="44"/>
        <v>389.36703103578589</v>
      </c>
      <c r="AI94" s="247">
        <f t="shared" si="45"/>
        <v>28.044401549497756</v>
      </c>
      <c r="AK94" s="259"/>
      <c r="AL94" s="59"/>
      <c r="AM94" s="59"/>
    </row>
    <row r="95" spans="1:39">
      <c r="A95" s="122"/>
      <c r="B95" s="241">
        <v>91</v>
      </c>
      <c r="C95" s="248">
        <f>'Other parameters'!$D$33</f>
        <v>0.15309420000000001</v>
      </c>
      <c r="D95" s="242">
        <f>'Other parameters'!$G$33</f>
        <v>3.3</v>
      </c>
      <c r="E95" s="234">
        <v>0</v>
      </c>
      <c r="F95" s="248">
        <f t="shared" si="57"/>
        <v>1.3086132165297443E-4</v>
      </c>
      <c r="G95" s="248">
        <f t="shared" si="35"/>
        <v>8.0000000000000016E-2</v>
      </c>
      <c r="H95" s="249">
        <f t="shared" si="36"/>
        <v>6.9927785738485654E-2</v>
      </c>
      <c r="I95" s="122"/>
      <c r="J95" s="244">
        <v>0</v>
      </c>
      <c r="K95" s="245">
        <v>0</v>
      </c>
      <c r="L95" s="245">
        <v>0</v>
      </c>
      <c r="M95" s="245">
        <v>0</v>
      </c>
      <c r="N95" s="245">
        <f t="shared" si="37"/>
        <v>0.57862698349587804</v>
      </c>
      <c r="O95" s="245">
        <f t="shared" si="38"/>
        <v>2.3538451534040154E-2</v>
      </c>
      <c r="P95" s="245">
        <f t="shared" si="39"/>
        <v>1.0922940741255275E-2</v>
      </c>
      <c r="Q95" s="245">
        <f t="shared" si="40"/>
        <v>0.38691162422882625</v>
      </c>
      <c r="R95" s="243">
        <f t="shared" si="56"/>
        <v>0.99999999999999978</v>
      </c>
      <c r="S95" s="250"/>
      <c r="T95" s="244">
        <f t="shared" si="41"/>
        <v>0.15789798210364189</v>
      </c>
      <c r="U95" s="246">
        <f t="shared" si="46"/>
        <v>0.52106334094201823</v>
      </c>
      <c r="V95" s="246">
        <f t="shared" si="47"/>
        <v>0</v>
      </c>
      <c r="W95" s="246">
        <f t="shared" si="48"/>
        <v>2.3723706323331002E-2</v>
      </c>
      <c r="X95" s="246">
        <f t="shared" si="49"/>
        <v>4.213382824593187E-3</v>
      </c>
      <c r="Y95" s="246">
        <f t="shared" si="50"/>
        <v>7.6460585188786929E-4</v>
      </c>
      <c r="Z95" s="246">
        <f t="shared" si="42"/>
        <v>0.54976503594183024</v>
      </c>
      <c r="AA95" s="247">
        <f t="shared" si="43"/>
        <v>3.8443851639851166E-2</v>
      </c>
      <c r="AB95" s="122"/>
      <c r="AC95" s="244">
        <f t="shared" si="51"/>
        <v>0</v>
      </c>
      <c r="AD95" s="245">
        <f t="shared" si="52"/>
        <v>0</v>
      </c>
      <c r="AE95" s="245">
        <f t="shared" si="53"/>
        <v>357.07071151530636</v>
      </c>
      <c r="AF95" s="245">
        <f t="shared" si="54"/>
        <v>22.528651963229834</v>
      </c>
      <c r="AG95" s="245">
        <f t="shared" si="55"/>
        <v>6.7405467314286307</v>
      </c>
      <c r="AH95" s="245">
        <f t="shared" si="44"/>
        <v>386.33991020996484</v>
      </c>
      <c r="AI95" s="247">
        <f t="shared" si="45"/>
        <v>27.015894463388207</v>
      </c>
      <c r="AK95" s="259"/>
      <c r="AL95" s="59"/>
      <c r="AM95" s="59"/>
    </row>
    <row r="96" spans="1:39">
      <c r="A96" s="122"/>
      <c r="B96" s="241">
        <v>92</v>
      </c>
      <c r="C96" s="248">
        <f>'Other parameters'!$D$33</f>
        <v>0.15309420000000001</v>
      </c>
      <c r="D96" s="242">
        <f>'Other parameters'!$G$33</f>
        <v>3.3</v>
      </c>
      <c r="E96" s="234">
        <v>0</v>
      </c>
      <c r="F96" s="248">
        <f t="shared" si="57"/>
        <v>1.1840822040525054E-4</v>
      </c>
      <c r="G96" s="248">
        <f t="shared" si="35"/>
        <v>8.0000000000000016E-2</v>
      </c>
      <c r="H96" s="249">
        <f t="shared" si="36"/>
        <v>6.7891054115034627E-2</v>
      </c>
      <c r="I96" s="122"/>
      <c r="J96" s="244">
        <v>0</v>
      </c>
      <c r="K96" s="245">
        <v>0</v>
      </c>
      <c r="L96" s="245">
        <v>0</v>
      </c>
      <c r="M96" s="245">
        <v>0</v>
      </c>
      <c r="N96" s="245">
        <f t="shared" si="37"/>
        <v>0.57412845352209452</v>
      </c>
      <c r="O96" s="245">
        <f t="shared" si="38"/>
        <v>2.335545310250919E-2</v>
      </c>
      <c r="P96" s="245">
        <f t="shared" si="39"/>
        <v>1.0838031601025097E-2</v>
      </c>
      <c r="Q96" s="245">
        <f t="shared" si="40"/>
        <v>0.39167806177437092</v>
      </c>
      <c r="R96" s="243">
        <f t="shared" si="56"/>
        <v>0.99999999999999978</v>
      </c>
      <c r="S96" s="250"/>
      <c r="T96" s="244">
        <f t="shared" si="41"/>
        <v>0.15786063754554466</v>
      </c>
      <c r="U96" s="246">
        <f t="shared" si="46"/>
        <v>0.52094010390029732</v>
      </c>
      <c r="V96" s="246">
        <f t="shared" si="47"/>
        <v>0</v>
      </c>
      <c r="W96" s="246">
        <f t="shared" si="48"/>
        <v>2.3539266594405875E-2</v>
      </c>
      <c r="X96" s="246">
        <f t="shared" si="49"/>
        <v>4.180626105349145E-3</v>
      </c>
      <c r="Y96" s="246">
        <f t="shared" si="50"/>
        <v>7.5866221207175687E-4</v>
      </c>
      <c r="Z96" s="246">
        <f t="shared" si="42"/>
        <v>0.54941865881212415</v>
      </c>
      <c r="AA96" s="247">
        <f t="shared" si="43"/>
        <v>3.7300611897223668E-2</v>
      </c>
      <c r="AB96" s="122"/>
      <c r="AC96" s="244">
        <f t="shared" si="51"/>
        <v>0</v>
      </c>
      <c r="AD96" s="245">
        <f t="shared" si="52"/>
        <v>0</v>
      </c>
      <c r="AE96" s="245">
        <f t="shared" si="53"/>
        <v>354.29466866848452</v>
      </c>
      <c r="AF96" s="245">
        <f t="shared" si="54"/>
        <v>22.353504164411547</v>
      </c>
      <c r="AG96" s="245">
        <f t="shared" si="55"/>
        <v>6.6881493009925883</v>
      </c>
      <c r="AH96" s="245">
        <f t="shared" si="44"/>
        <v>383.33632213388864</v>
      </c>
      <c r="AI96" s="247">
        <f t="shared" si="45"/>
        <v>26.02510699025018</v>
      </c>
      <c r="AK96" s="259"/>
      <c r="AL96" s="59"/>
      <c r="AM96" s="59"/>
    </row>
    <row r="97" spans="1:39">
      <c r="A97" s="122"/>
      <c r="B97" s="241">
        <v>93</v>
      </c>
      <c r="C97" s="248">
        <f>'Other parameters'!$D$33</f>
        <v>0.15309420000000001</v>
      </c>
      <c r="D97" s="242">
        <f>'Other parameters'!$G$33</f>
        <v>3.3</v>
      </c>
      <c r="E97" s="234">
        <v>0</v>
      </c>
      <c r="F97" s="248">
        <f t="shared" si="57"/>
        <v>1.0714018842571976E-4</v>
      </c>
      <c r="G97" s="248">
        <f t="shared" si="35"/>
        <v>8.0000000000000016E-2</v>
      </c>
      <c r="H97" s="249">
        <f t="shared" si="36"/>
        <v>6.5913644771878277E-2</v>
      </c>
      <c r="I97" s="122"/>
      <c r="J97" s="244">
        <v>0</v>
      </c>
      <c r="K97" s="245">
        <v>0</v>
      </c>
      <c r="L97" s="245">
        <v>0</v>
      </c>
      <c r="M97" s="245">
        <v>0</v>
      </c>
      <c r="N97" s="245">
        <f t="shared" si="37"/>
        <v>0.56966489740962334</v>
      </c>
      <c r="O97" s="245">
        <f t="shared" si="38"/>
        <v>2.3173877178203007E-2</v>
      </c>
      <c r="P97" s="245">
        <f t="shared" si="39"/>
        <v>1.0753780722617694E-2</v>
      </c>
      <c r="Q97" s="245">
        <f t="shared" si="40"/>
        <v>0.39640744468955574</v>
      </c>
      <c r="R97" s="243">
        <f t="shared" si="56"/>
        <v>0.99999999999999978</v>
      </c>
      <c r="S97" s="250"/>
      <c r="T97" s="244">
        <f t="shared" si="41"/>
        <v>0.15782358291518486</v>
      </c>
      <c r="U97" s="246">
        <f t="shared" si="46"/>
        <v>0.52081782362010998</v>
      </c>
      <c r="V97" s="246">
        <f t="shared" si="47"/>
        <v>0</v>
      </c>
      <c r="W97" s="246">
        <f t="shared" si="48"/>
        <v>2.3356260793794558E-2</v>
      </c>
      <c r="X97" s="246">
        <f t="shared" si="49"/>
        <v>4.1481240148983382E-3</v>
      </c>
      <c r="Y97" s="246">
        <f t="shared" si="50"/>
        <v>7.5276465058323871E-4</v>
      </c>
      <c r="Z97" s="246">
        <f t="shared" si="42"/>
        <v>0.54907497307938624</v>
      </c>
      <c r="AA97" s="247">
        <f t="shared" si="43"/>
        <v>3.6191532728683293E-2</v>
      </c>
      <c r="AB97" s="122"/>
      <c r="AC97" s="244">
        <f t="shared" si="51"/>
        <v>0</v>
      </c>
      <c r="AD97" s="245">
        <f t="shared" si="52"/>
        <v>0</v>
      </c>
      <c r="AE97" s="245">
        <f t="shared" si="53"/>
        <v>351.5402081914786</v>
      </c>
      <c r="AF97" s="245">
        <f t="shared" si="54"/>
        <v>22.179717847258097</v>
      </c>
      <c r="AG97" s="245">
        <f t="shared" si="55"/>
        <v>6.6361580839273788</v>
      </c>
      <c r="AH97" s="245">
        <f t="shared" si="44"/>
        <v>380.35608412266407</v>
      </c>
      <c r="AI97" s="247">
        <f t="shared" si="45"/>
        <v>25.070655815683931</v>
      </c>
      <c r="AK97" s="259"/>
      <c r="AL97" s="59"/>
      <c r="AM97" s="59"/>
    </row>
    <row r="98" spans="1:39">
      <c r="A98" s="122"/>
      <c r="B98" s="241">
        <v>94</v>
      </c>
      <c r="C98" s="248">
        <f>'Other parameters'!$D$33</f>
        <v>0.15309420000000001</v>
      </c>
      <c r="D98" s="242">
        <f>'Other parameters'!$G$33</f>
        <v>3.3</v>
      </c>
      <c r="E98" s="234">
        <v>0</v>
      </c>
      <c r="F98" s="248">
        <f t="shared" si="57"/>
        <v>9.69444514630145E-5</v>
      </c>
      <c r="G98" s="248">
        <f t="shared" si="35"/>
        <v>8.0000000000000016E-2</v>
      </c>
      <c r="H98" s="249">
        <f t="shared" si="36"/>
        <v>6.3993829875609989E-2</v>
      </c>
      <c r="I98" s="122"/>
      <c r="J98" s="244">
        <v>0</v>
      </c>
      <c r="K98" s="245">
        <v>0</v>
      </c>
      <c r="L98" s="245">
        <v>0</v>
      </c>
      <c r="M98" s="245">
        <v>0</v>
      </c>
      <c r="N98" s="245">
        <f t="shared" si="37"/>
        <v>0.56523604323661158</v>
      </c>
      <c r="O98" s="245">
        <f t="shared" si="38"/>
        <v>2.2993712746046988E-2</v>
      </c>
      <c r="P98" s="245">
        <f t="shared" si="39"/>
        <v>1.0670183299832934E-2</v>
      </c>
      <c r="Q98" s="245">
        <f t="shared" si="40"/>
        <v>0.40110006071750826</v>
      </c>
      <c r="R98" s="243">
        <f t="shared" si="56"/>
        <v>0.99999999999999978</v>
      </c>
      <c r="S98" s="250"/>
      <c r="T98" s="244">
        <f t="shared" si="41"/>
        <v>0.15778681602795255</v>
      </c>
      <c r="U98" s="246">
        <f t="shared" si="46"/>
        <v>0.5206964928922434</v>
      </c>
      <c r="V98" s="246">
        <f t="shared" si="47"/>
        <v>0</v>
      </c>
      <c r="W98" s="246">
        <f t="shared" si="48"/>
        <v>2.3174677772701074E-2</v>
      </c>
      <c r="X98" s="246">
        <f t="shared" si="49"/>
        <v>4.1158745815424108E-3</v>
      </c>
      <c r="Y98" s="246">
        <f t="shared" si="50"/>
        <v>7.4691283098830548E-4</v>
      </c>
      <c r="Z98" s="246">
        <f t="shared" si="42"/>
        <v>0.54873395807747516</v>
      </c>
      <c r="AA98" s="247">
        <f t="shared" si="43"/>
        <v>3.5115587560180052E-2</v>
      </c>
      <c r="AB98" s="122"/>
      <c r="AC98" s="244">
        <f t="shared" si="51"/>
        <v>0</v>
      </c>
      <c r="AD98" s="245">
        <f t="shared" si="52"/>
        <v>0</v>
      </c>
      <c r="AE98" s="245">
        <f t="shared" si="53"/>
        <v>348.80716228131303</v>
      </c>
      <c r="AF98" s="245">
        <f t="shared" si="54"/>
        <v>22.007282469241574</v>
      </c>
      <c r="AG98" s="245">
        <f t="shared" si="55"/>
        <v>6.5845701143269038</v>
      </c>
      <c r="AH98" s="245">
        <f t="shared" si="44"/>
        <v>377.39901486488145</v>
      </c>
      <c r="AI98" s="247">
        <f t="shared" si="45"/>
        <v>24.15120835248603</v>
      </c>
      <c r="AK98" s="259"/>
      <c r="AL98" s="59"/>
      <c r="AM98" s="59"/>
    </row>
    <row r="99" spans="1:39">
      <c r="A99" s="122"/>
      <c r="B99" s="241">
        <v>95</v>
      </c>
      <c r="C99" s="248">
        <f>'Other parameters'!$D$34</f>
        <v>0.17422679999999999</v>
      </c>
      <c r="D99" s="242">
        <f>'Other parameters'!$G$34</f>
        <v>2.5</v>
      </c>
      <c r="E99" s="234">
        <v>0</v>
      </c>
      <c r="F99" s="248">
        <f t="shared" si="57"/>
        <v>8.7718967154706395E-5</v>
      </c>
      <c r="G99" s="248">
        <f t="shared" si="35"/>
        <v>8.0000000000000016E-2</v>
      </c>
      <c r="H99" s="249">
        <f t="shared" si="36"/>
        <v>6.212993191806794E-2</v>
      </c>
      <c r="I99" s="122"/>
      <c r="J99" s="244">
        <v>0</v>
      </c>
      <c r="K99" s="245">
        <v>0</v>
      </c>
      <c r="L99" s="245">
        <v>0</v>
      </c>
      <c r="M99" s="245">
        <v>0</v>
      </c>
      <c r="N99" s="245">
        <f t="shared" si="37"/>
        <v>0.56084162119899339</v>
      </c>
      <c r="O99" s="245">
        <f t="shared" si="38"/>
        <v>2.2814948867399678E-2</v>
      </c>
      <c r="P99" s="245">
        <f t="shared" si="39"/>
        <v>1.0587234511770465E-2</v>
      </c>
      <c r="Q99" s="245">
        <f t="shared" si="40"/>
        <v>0.40575619542183622</v>
      </c>
      <c r="R99" s="243">
        <f t="shared" si="56"/>
        <v>0.99999999999999978</v>
      </c>
      <c r="S99" s="250"/>
      <c r="T99" s="244">
        <f t="shared" si="41"/>
        <v>0.17888293470432795</v>
      </c>
      <c r="U99" s="246">
        <f t="shared" si="46"/>
        <v>0.44720733676081986</v>
      </c>
      <c r="V99" s="246">
        <f t="shared" si="47"/>
        <v>0</v>
      </c>
      <c r="W99" s="246">
        <f t="shared" si="48"/>
        <v>2.2994506469158731E-2</v>
      </c>
      <c r="X99" s="246">
        <f t="shared" si="49"/>
        <v>4.0838758472645422E-3</v>
      </c>
      <c r="Y99" s="246">
        <f t="shared" si="50"/>
        <v>7.4110641582393263E-4</v>
      </c>
      <c r="Z99" s="246">
        <f t="shared" si="42"/>
        <v>0.47502682549306707</v>
      </c>
      <c r="AA99" s="247">
        <f t="shared" si="43"/>
        <v>2.9513384327140197E-2</v>
      </c>
      <c r="AB99" s="122"/>
      <c r="AC99" s="244">
        <f t="shared" si="51"/>
        <v>0</v>
      </c>
      <c r="AD99" s="245">
        <f t="shared" si="52"/>
        <v>0</v>
      </c>
      <c r="AE99" s="245">
        <f t="shared" si="53"/>
        <v>346.09536444189882</v>
      </c>
      <c r="AF99" s="245">
        <f t="shared" si="54"/>
        <v>21.836187560988233</v>
      </c>
      <c r="AG99" s="245">
        <f t="shared" si="55"/>
        <v>6.5333824172135548</v>
      </c>
      <c r="AH99" s="245">
        <f t="shared" si="44"/>
        <v>374.46493442010058</v>
      </c>
      <c r="AI99" s="247">
        <f t="shared" si="45"/>
        <v>23.265480881224626</v>
      </c>
      <c r="AK99" s="259"/>
      <c r="AL99" s="59"/>
      <c r="AM99" s="59"/>
    </row>
    <row r="100" spans="1:39">
      <c r="A100" s="122"/>
      <c r="B100" s="241">
        <v>96</v>
      </c>
      <c r="C100" s="248">
        <f>'Other parameters'!$D$34</f>
        <v>0.17422679999999999</v>
      </c>
      <c r="D100" s="242">
        <f>'Other parameters'!$G$34</f>
        <v>2.5</v>
      </c>
      <c r="E100" s="234">
        <v>0</v>
      </c>
      <c r="F100" s="248">
        <f t="shared" si="57"/>
        <v>7.9371403753045696E-5</v>
      </c>
      <c r="G100" s="248">
        <f t="shared" si="35"/>
        <v>8.0000000000000016E-2</v>
      </c>
      <c r="H100" s="249">
        <f t="shared" si="36"/>
        <v>6.0320322250551395E-2</v>
      </c>
      <c r="I100" s="122"/>
      <c r="J100" s="244">
        <v>0</v>
      </c>
      <c r="K100" s="245">
        <v>0</v>
      </c>
      <c r="L100" s="245">
        <v>0</v>
      </c>
      <c r="M100" s="245">
        <v>0</v>
      </c>
      <c r="N100" s="245">
        <f t="shared" si="37"/>
        <v>0.55648136359324751</v>
      </c>
      <c r="O100" s="245">
        <f t="shared" si="38"/>
        <v>2.2637574681375189E-2</v>
      </c>
      <c r="P100" s="245">
        <f t="shared" si="39"/>
        <v>1.0504929531650237E-2</v>
      </c>
      <c r="Q100" s="245">
        <f t="shared" si="40"/>
        <v>0.41037613219372687</v>
      </c>
      <c r="R100" s="243">
        <f t="shared" si="56"/>
        <v>0.99999999999999978</v>
      </c>
      <c r="S100" s="250"/>
      <c r="T100" s="244">
        <f t="shared" si="41"/>
        <v>0.17884673677189061</v>
      </c>
      <c r="U100" s="246">
        <f t="shared" si="46"/>
        <v>0.44711684192972656</v>
      </c>
      <c r="V100" s="246">
        <f t="shared" si="47"/>
        <v>0</v>
      </c>
      <c r="W100" s="246">
        <f t="shared" si="48"/>
        <v>2.2815735907323147E-2</v>
      </c>
      <c r="X100" s="246">
        <f t="shared" si="49"/>
        <v>4.0521258679661583E-3</v>
      </c>
      <c r="Y100" s="246">
        <f t="shared" si="50"/>
        <v>7.3534506721551667E-4</v>
      </c>
      <c r="Z100" s="246">
        <f t="shared" si="42"/>
        <v>0.4747200487722314</v>
      </c>
      <c r="AA100" s="247">
        <f t="shared" si="43"/>
        <v>2.8635266320738473E-2</v>
      </c>
      <c r="AB100" s="122"/>
      <c r="AC100" s="244">
        <f t="shared" si="51"/>
        <v>0</v>
      </c>
      <c r="AD100" s="245">
        <f t="shared" si="52"/>
        <v>0</v>
      </c>
      <c r="AE100" s="245">
        <f t="shared" si="53"/>
        <v>343.40464947339308</v>
      </c>
      <c r="AF100" s="245">
        <f t="shared" si="54"/>
        <v>21.666422727544195</v>
      </c>
      <c r="AG100" s="245">
        <f t="shared" si="55"/>
        <v>6.4825920139813613</v>
      </c>
      <c r="AH100" s="245">
        <f t="shared" si="44"/>
        <v>371.55366421491868</v>
      </c>
      <c r="AI100" s="247">
        <f t="shared" si="45"/>
        <v>22.412236758817063</v>
      </c>
      <c r="AK100" s="259"/>
      <c r="AL100" s="59"/>
      <c r="AM100" s="59"/>
    </row>
    <row r="101" spans="1:39">
      <c r="A101" s="122"/>
      <c r="B101" s="241">
        <v>97</v>
      </c>
      <c r="C101" s="248">
        <f>'Other parameters'!$D$34</f>
        <v>0.17422679999999999</v>
      </c>
      <c r="D101" s="242">
        <f>'Other parameters'!$G$34</f>
        <v>2.5</v>
      </c>
      <c r="E101" s="234">
        <v>0</v>
      </c>
      <c r="F101" s="248">
        <f t="shared" si="57"/>
        <v>7.1818216037795505E-5</v>
      </c>
      <c r="G101" s="248">
        <f t="shared" si="35"/>
        <v>8.0000000000000016E-2</v>
      </c>
      <c r="H101" s="249">
        <f t="shared" si="36"/>
        <v>5.8563419660729518E-2</v>
      </c>
      <c r="I101" s="122"/>
      <c r="J101" s="244">
        <v>0</v>
      </c>
      <c r="K101" s="245">
        <v>0</v>
      </c>
      <c r="L101" s="245">
        <v>0</v>
      </c>
      <c r="M101" s="245">
        <v>0</v>
      </c>
      <c r="N101" s="245">
        <f t="shared" si="37"/>
        <v>0.55215500479945101</v>
      </c>
      <c r="O101" s="245">
        <f t="shared" si="38"/>
        <v>2.2461579405756205E-2</v>
      </c>
      <c r="P101" s="245">
        <f t="shared" si="39"/>
        <v>1.0423263534108175E-2</v>
      </c>
      <c r="Q101" s="245">
        <f t="shared" si="40"/>
        <v>0.41496015226068433</v>
      </c>
      <c r="R101" s="243">
        <f t="shared" si="56"/>
        <v>0.99999999999999978</v>
      </c>
      <c r="S101" s="250"/>
      <c r="T101" s="244">
        <f t="shared" si="41"/>
        <v>0.17881082006695748</v>
      </c>
      <c r="U101" s="246">
        <f t="shared" si="46"/>
        <v>0.44702705016739369</v>
      </c>
      <c r="V101" s="246">
        <f t="shared" si="47"/>
        <v>0</v>
      </c>
      <c r="W101" s="246">
        <f t="shared" si="48"/>
        <v>2.2638355196777493E-2</v>
      </c>
      <c r="X101" s="246">
        <f t="shared" si="49"/>
        <v>4.0206227136303603E-3</v>
      </c>
      <c r="Y101" s="246">
        <f t="shared" si="50"/>
        <v>7.2962844738757226E-4</v>
      </c>
      <c r="Z101" s="246">
        <f t="shared" si="42"/>
        <v>0.47441565652518908</v>
      </c>
      <c r="AA101" s="247">
        <f>Z101*H101</f>
        <v>2.778340318670516E-2</v>
      </c>
      <c r="AB101" s="122"/>
      <c r="AC101" s="244">
        <f t="shared" si="51"/>
        <v>0</v>
      </c>
      <c r="AD101" s="245">
        <f t="shared" si="52"/>
        <v>0</v>
      </c>
      <c r="AE101" s="245">
        <f t="shared" si="53"/>
        <v>340.73485346174124</v>
      </c>
      <c r="AF101" s="245">
        <f t="shared" si="54"/>
        <v>21.497977649249265</v>
      </c>
      <c r="AG101" s="245">
        <f t="shared" si="55"/>
        <v>6.4321959268981548</v>
      </c>
      <c r="AH101" s="245">
        <f t="shared" si="44"/>
        <v>368.66502703788865</v>
      </c>
      <c r="AI101" s="247">
        <f>AH101*H101</f>
        <v>21.590284692654066</v>
      </c>
      <c r="AK101" s="259"/>
      <c r="AL101" s="59"/>
      <c r="AM101" s="59"/>
    </row>
    <row r="102" spans="1:39">
      <c r="A102" s="122"/>
      <c r="B102" s="241">
        <v>98</v>
      </c>
      <c r="C102" s="248">
        <f>'Other parameters'!$D$34</f>
        <v>0.17422679999999999</v>
      </c>
      <c r="D102" s="242">
        <f>'Other parameters'!$G$34</f>
        <v>2.5</v>
      </c>
      <c r="E102" s="234">
        <v>0</v>
      </c>
      <c r="F102" s="248">
        <f t="shared" si="57"/>
        <v>6.4983809167587655E-5</v>
      </c>
      <c r="G102" s="248">
        <f t="shared" si="35"/>
        <v>8.0000000000000016E-2</v>
      </c>
      <c r="H102" s="249">
        <f t="shared" si="36"/>
        <v>5.6857688990999529E-2</v>
      </c>
      <c r="I102" s="122"/>
      <c r="J102" s="244">
        <v>0</v>
      </c>
      <c r="K102" s="245">
        <v>0</v>
      </c>
      <c r="L102" s="245">
        <v>0</v>
      </c>
      <c r="M102" s="245">
        <v>0</v>
      </c>
      <c r="N102" s="245">
        <f t="shared" si="37"/>
        <v>0.54786228126459346</v>
      </c>
      <c r="O102" s="245">
        <f t="shared" si="38"/>
        <v>2.2286952337583842E-2</v>
      </c>
      <c r="P102" s="245">
        <f t="shared" si="39"/>
        <v>1.0342231701222535E-2</v>
      </c>
      <c r="Q102" s="245">
        <f t="shared" si="40"/>
        <v>0.41950853469659993</v>
      </c>
      <c r="R102" s="243">
        <f t="shared" si="56"/>
        <v>0.99999999999999978</v>
      </c>
      <c r="S102" s="250"/>
      <c r="T102" s="244">
        <f t="shared" si="41"/>
        <v>0.17877518243591559</v>
      </c>
      <c r="U102" s="246">
        <f t="shared" si="46"/>
        <v>0.44693795608978898</v>
      </c>
      <c r="V102" s="246">
        <f t="shared" si="47"/>
        <v>0</v>
      </c>
      <c r="W102" s="246">
        <f t="shared" si="48"/>
        <v>2.2462353531848334E-2</v>
      </c>
      <c r="X102" s="246">
        <f t="shared" si="49"/>
        <v>3.9893644684275073E-3</v>
      </c>
      <c r="Y102" s="246">
        <f t="shared" si="50"/>
        <v>7.2395621908557758E-4</v>
      </c>
      <c r="Z102" s="246">
        <f t="shared" si="42"/>
        <v>0.47411363030915038</v>
      </c>
      <c r="AA102" s="247">
        <f>Z102*H102</f>
        <v>2.6957005338511399E-2</v>
      </c>
      <c r="AB102" s="122"/>
      <c r="AC102" s="244">
        <f t="shared" si="51"/>
        <v>0</v>
      </c>
      <c r="AD102" s="245">
        <f t="shared" si="52"/>
        <v>0</v>
      </c>
      <c r="AE102" s="245">
        <f t="shared" si="53"/>
        <v>338.08581376838066</v>
      </c>
      <c r="AF102" s="245">
        <f t="shared" si="54"/>
        <v>21.330842082301494</v>
      </c>
      <c r="AG102" s="245">
        <f t="shared" si="55"/>
        <v>6.3821911828244264</v>
      </c>
      <c r="AH102" s="245">
        <f t="shared" si="44"/>
        <v>365.7988470335066</v>
      </c>
      <c r="AI102" s="247">
        <f>AH102*H102</f>
        <v>20.798477077897328</v>
      </c>
      <c r="AK102" s="259"/>
      <c r="AL102" s="59"/>
      <c r="AM102" s="59"/>
    </row>
    <row r="103" spans="1:39">
      <c r="A103" s="122"/>
      <c r="B103" s="241">
        <v>99</v>
      </c>
      <c r="C103" s="248">
        <f>'Other parameters'!$D$34</f>
        <v>0.17422679999999999</v>
      </c>
      <c r="D103" s="242">
        <f>'Other parameters'!$G$34</f>
        <v>2.5</v>
      </c>
      <c r="E103" s="234">
        <v>0</v>
      </c>
      <c r="F103" s="248">
        <f t="shared" si="57"/>
        <v>5.8799782101341559E-5</v>
      </c>
      <c r="G103" s="248">
        <f t="shared" si="35"/>
        <v>8.0000000000000016E-2</v>
      </c>
      <c r="H103" s="249">
        <f t="shared" si="36"/>
        <v>5.5201639797086935E-2</v>
      </c>
      <c r="I103" s="122"/>
      <c r="J103" s="244">
        <v>0</v>
      </c>
      <c r="K103" s="245">
        <v>0</v>
      </c>
      <c r="L103" s="245">
        <v>0</v>
      </c>
      <c r="M103" s="245">
        <v>0</v>
      </c>
      <c r="N103" s="245">
        <f t="shared" si="37"/>
        <v>0.54360293148612127</v>
      </c>
      <c r="O103" s="245">
        <f t="shared" si="38"/>
        <v>2.2113682853492727E-2</v>
      </c>
      <c r="P103" s="245">
        <f t="shared" si="39"/>
        <v>1.0261829227483709E-2</v>
      </c>
      <c r="Q103" s="245">
        <f t="shared" si="40"/>
        <v>0.42402155643290207</v>
      </c>
      <c r="R103" s="243">
        <f t="shared" si="56"/>
        <v>0.99999999999999978</v>
      </c>
      <c r="S103" s="250"/>
      <c r="T103" s="244">
        <f t="shared" si="41"/>
        <v>0.17873982173630212</v>
      </c>
      <c r="U103" s="246">
        <f t="shared" si="46"/>
        <v>0.4468495543407553</v>
      </c>
      <c r="V103" s="246">
        <f t="shared" si="47"/>
        <v>0</v>
      </c>
      <c r="W103" s="246">
        <f t="shared" si="48"/>
        <v>2.2287720190930973E-2</v>
      </c>
      <c r="X103" s="246">
        <f t="shared" si="49"/>
        <v>3.9583492307751983E-3</v>
      </c>
      <c r="Y103" s="246">
        <f t="shared" si="50"/>
        <v>7.1832804592385972E-4</v>
      </c>
      <c r="Z103" s="246">
        <f t="shared" si="42"/>
        <v>0.47381395180838531</v>
      </c>
      <c r="AA103" s="247">
        <f>Z103*H103</f>
        <v>2.6155307098560794E-2</v>
      </c>
      <c r="AB103" s="122"/>
      <c r="AC103" s="244">
        <f t="shared" si="51"/>
        <v>0</v>
      </c>
      <c r="AD103" s="245">
        <f t="shared" si="52"/>
        <v>0</v>
      </c>
      <c r="AE103" s="245">
        <f t="shared" si="53"/>
        <v>335.45736902008542</v>
      </c>
      <c r="AF103" s="245">
        <f t="shared" si="54"/>
        <v>21.16500585907789</v>
      </c>
      <c r="AG103" s="245">
        <f t="shared" si="55"/>
        <v>6.3325748162801974</v>
      </c>
      <c r="AH103" s="245">
        <f t="shared" si="44"/>
        <v>362.95494969544353</v>
      </c>
      <c r="AI103" s="247">
        <f>AH103*H103</f>
        <v>20.035708395657682</v>
      </c>
      <c r="AK103" s="259"/>
      <c r="AL103" s="59"/>
      <c r="AM103" s="59"/>
    </row>
    <row r="104" spans="1:39">
      <c r="A104" s="122"/>
      <c r="B104" s="235">
        <v>100</v>
      </c>
      <c r="C104" s="251">
        <f>'Other parameters'!$D$35</f>
        <v>1</v>
      </c>
      <c r="D104" s="252">
        <f>'Other parameters'!$G$35</f>
        <v>1.9</v>
      </c>
      <c r="E104" s="236">
        <v>0</v>
      </c>
      <c r="F104" s="251">
        <f t="shared" si="57"/>
        <v>5.320424301765489E-5</v>
      </c>
      <c r="G104" s="251">
        <f t="shared" si="35"/>
        <v>8.0000000000000016E-2</v>
      </c>
      <c r="H104" s="253">
        <f t="shared" si="36"/>
        <v>5.3593825045715457E-2</v>
      </c>
      <c r="I104" s="122"/>
      <c r="J104" s="254">
        <v>0</v>
      </c>
      <c r="K104" s="255">
        <v>0</v>
      </c>
      <c r="L104" s="255">
        <v>0</v>
      </c>
      <c r="M104" s="255">
        <v>0</v>
      </c>
      <c r="N104" s="255">
        <f t="shared" si="37"/>
        <v>0.53937669599569138</v>
      </c>
      <c r="O104" s="255">
        <f t="shared" si="38"/>
        <v>2.1941760409845357E-2</v>
      </c>
      <c r="P104" s="255">
        <f t="shared" si="39"/>
        <v>1.0182051323884609E-2</v>
      </c>
      <c r="Q104" s="255">
        <f t="shared" si="40"/>
        <v>0.42849949227057843</v>
      </c>
      <c r="R104" s="237">
        <f t="shared" si="56"/>
        <v>0.99999999999999978</v>
      </c>
      <c r="S104" s="250"/>
      <c r="T104" s="254">
        <v>1</v>
      </c>
      <c r="U104" s="255">
        <f t="shared" si="46"/>
        <v>1.9</v>
      </c>
      <c r="V104" s="255">
        <f t="shared" si="47"/>
        <v>0</v>
      </c>
      <c r="W104" s="255">
        <f t="shared" si="48"/>
        <v>2.2114444535823348E-2</v>
      </c>
      <c r="X104" s="255">
        <f t="shared" si="49"/>
        <v>3.9275751133623187E-3</v>
      </c>
      <c r="Y104" s="255">
        <f t="shared" si="50"/>
        <v>7.1274359267192277E-4</v>
      </c>
      <c r="Z104" s="255">
        <f t="shared" si="42"/>
        <v>1.9267547632418576</v>
      </c>
      <c r="AA104" s="256">
        <f>Z104*H104</f>
        <v>0.10326215768718303</v>
      </c>
      <c r="AB104" s="122"/>
      <c r="AC104" s="254">
        <f t="shared" si="51"/>
        <v>0</v>
      </c>
      <c r="AD104" s="255">
        <f t="shared" si="52"/>
        <v>0</v>
      </c>
      <c r="AE104" s="255">
        <f t="shared" si="53"/>
        <v>332.84935909894114</v>
      </c>
      <c r="AF104" s="255">
        <f t="shared" si="54"/>
        <v>21.00045888826299</v>
      </c>
      <c r="AG104" s="255">
        <f t="shared" si="55"/>
        <v>6.2833438719691923</v>
      </c>
      <c r="AH104" s="255">
        <f t="shared" si="44"/>
        <v>360.1331618591733</v>
      </c>
      <c r="AI104" s="256">
        <f>AH104*H104</f>
        <v>19.30091366984086</v>
      </c>
      <c r="AK104" s="259"/>
      <c r="AL104" s="59"/>
      <c r="AM104" s="59"/>
    </row>
    <row r="105" spans="1:39">
      <c r="A105" s="122"/>
      <c r="B105" s="122"/>
      <c r="C105" s="122"/>
      <c r="D105" s="122"/>
      <c r="E105" s="122"/>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c r="AC105" s="234"/>
      <c r="AD105" s="234"/>
      <c r="AE105" s="234"/>
      <c r="AF105" s="234"/>
      <c r="AG105" s="234"/>
      <c r="AH105" s="234"/>
      <c r="AI105" s="234"/>
      <c r="AK105" s="59"/>
      <c r="AL105" s="59"/>
      <c r="AM105" s="59"/>
    </row>
    <row r="106" spans="1:39">
      <c r="A106" s="122"/>
      <c r="B106" s="122"/>
      <c r="C106" s="122"/>
      <c r="D106" s="122"/>
      <c r="E106" s="122"/>
      <c r="F106" s="122"/>
      <c r="G106" s="122"/>
      <c r="H106" s="122"/>
      <c r="I106" s="122"/>
      <c r="J106" s="122"/>
      <c r="K106" s="122"/>
      <c r="L106" s="122"/>
      <c r="M106" s="122"/>
      <c r="N106" s="122"/>
      <c r="O106" s="250">
        <f>SUM(O5:O104)</f>
        <v>2.1550379183186608</v>
      </c>
      <c r="P106" s="122"/>
      <c r="Q106" s="122"/>
      <c r="R106" s="122"/>
      <c r="S106" s="122"/>
      <c r="T106" s="122"/>
      <c r="U106" s="122"/>
      <c r="V106" s="122"/>
      <c r="W106" s="122"/>
      <c r="X106" s="122"/>
      <c r="Y106" s="122"/>
      <c r="Z106" s="238" t="s">
        <v>57</v>
      </c>
      <c r="AA106" s="240" t="s">
        <v>58</v>
      </c>
      <c r="AB106" s="122"/>
      <c r="AC106" s="234"/>
      <c r="AD106" s="234"/>
      <c r="AE106" s="234"/>
      <c r="AF106" s="234"/>
      <c r="AG106" s="234"/>
      <c r="AH106" s="238" t="s">
        <v>61</v>
      </c>
      <c r="AI106" s="240" t="s">
        <v>62</v>
      </c>
      <c r="AK106" s="59"/>
      <c r="AL106" s="59"/>
      <c r="AM106" s="59"/>
    </row>
    <row r="107" spans="1:39">
      <c r="A107" s="122"/>
      <c r="B107" s="122"/>
      <c r="C107" s="122"/>
      <c r="D107" s="122"/>
      <c r="E107" s="122"/>
      <c r="F107" s="122"/>
      <c r="G107" s="122"/>
      <c r="H107" s="122"/>
      <c r="I107" s="122"/>
      <c r="J107" s="122"/>
      <c r="K107" s="122"/>
      <c r="L107" s="122"/>
      <c r="M107" s="122"/>
      <c r="N107" s="122"/>
      <c r="O107" s="122"/>
      <c r="P107" s="122"/>
      <c r="Q107" s="122"/>
      <c r="R107" s="122"/>
      <c r="S107" s="122"/>
      <c r="T107" s="122"/>
      <c r="U107" s="122"/>
      <c r="V107" s="122"/>
      <c r="W107" s="122"/>
      <c r="X107" s="122"/>
      <c r="Y107" s="122"/>
      <c r="Z107" s="254">
        <f>SUM(Z12:Z104)</f>
        <v>41.091831215343355</v>
      </c>
      <c r="AA107" s="256">
        <f>SUM(AA12:AA104)</f>
        <v>8.6530868395110154</v>
      </c>
      <c r="AB107" s="122"/>
      <c r="AC107" s="234"/>
      <c r="AD107" s="234"/>
      <c r="AE107" s="234"/>
      <c r="AF107" s="234"/>
      <c r="AG107" s="234"/>
      <c r="AH107" s="257">
        <f>SUM(AH12:AH104)</f>
        <v>47577.911126682971</v>
      </c>
      <c r="AI107" s="258">
        <f>SUM(AI12:AI104)</f>
        <v>14915.169283067275</v>
      </c>
      <c r="AK107" s="259"/>
      <c r="AL107" s="59"/>
      <c r="AM107" s="59"/>
    </row>
    <row r="108" spans="1:39">
      <c r="AK108" s="59"/>
      <c r="AL108" s="59"/>
      <c r="AM108" s="59"/>
    </row>
    <row r="109" spans="1:39">
      <c r="AK109" s="59"/>
      <c r="AL109" s="59"/>
      <c r="AM109" s="59"/>
    </row>
    <row r="110" spans="1:39">
      <c r="AK110" s="59"/>
      <c r="AL110" s="59"/>
      <c r="AM110" s="59"/>
    </row>
    <row r="111" spans="1:39">
      <c r="AK111" s="59"/>
      <c r="AL111" s="59"/>
      <c r="AM111" s="59"/>
    </row>
  </sheetData>
  <mergeCells count="4">
    <mergeCell ref="B2:H2"/>
    <mergeCell ref="J2:R2"/>
    <mergeCell ref="T2:AA2"/>
    <mergeCell ref="AC2:AI2"/>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AL107"/>
  <sheetViews>
    <sheetView workbookViewId="0">
      <selection sqref="A1:XFD1048576"/>
    </sheetView>
  </sheetViews>
  <sheetFormatPr baseColWidth="10" defaultColWidth="11" defaultRowHeight="15" x14ac:dyDescent="0"/>
  <cols>
    <col min="1" max="1" width="11" style="35" customWidth="1"/>
    <col min="2" max="35" width="14.6640625" style="35" customWidth="1"/>
    <col min="36" max="16384" width="11" style="35"/>
  </cols>
  <sheetData>
    <row r="1" spans="1:38">
      <c r="A1" s="122"/>
      <c r="B1" s="122"/>
      <c r="C1" s="122"/>
      <c r="D1" s="122"/>
      <c r="E1" s="122"/>
      <c r="F1" s="122"/>
      <c r="G1" s="122"/>
      <c r="H1" s="122"/>
      <c r="I1" s="122"/>
      <c r="J1" s="122"/>
      <c r="K1" s="122"/>
      <c r="L1" s="122"/>
      <c r="M1" s="122"/>
      <c r="N1" s="122"/>
      <c r="O1" s="122"/>
      <c r="P1" s="122"/>
      <c r="Q1" s="122"/>
      <c r="R1" s="122"/>
      <c r="S1" s="122"/>
      <c r="T1" s="122"/>
      <c r="U1" s="122"/>
      <c r="V1" s="122"/>
      <c r="W1" s="122"/>
      <c r="X1" s="122"/>
      <c r="Y1" s="122"/>
      <c r="Z1" s="122"/>
      <c r="AA1" s="122"/>
      <c r="AB1" s="122"/>
      <c r="AC1" s="234"/>
      <c r="AD1" s="234"/>
      <c r="AE1" s="234"/>
      <c r="AF1" s="234"/>
      <c r="AG1" s="234"/>
      <c r="AH1" s="234"/>
      <c r="AI1" s="234"/>
    </row>
    <row r="2" spans="1:38">
      <c r="A2" s="122"/>
      <c r="B2" s="284" t="s">
        <v>152</v>
      </c>
      <c r="C2" s="285"/>
      <c r="D2" s="285"/>
      <c r="E2" s="285"/>
      <c r="F2" s="285"/>
      <c r="G2" s="285"/>
      <c r="H2" s="286"/>
      <c r="I2" s="122"/>
      <c r="J2" s="284" t="s">
        <v>153</v>
      </c>
      <c r="K2" s="285"/>
      <c r="L2" s="285"/>
      <c r="M2" s="285"/>
      <c r="N2" s="285"/>
      <c r="O2" s="285"/>
      <c r="P2" s="285"/>
      <c r="Q2" s="285"/>
      <c r="R2" s="286"/>
      <c r="S2" s="122"/>
      <c r="T2" s="284" t="s">
        <v>59</v>
      </c>
      <c r="U2" s="285"/>
      <c r="V2" s="285"/>
      <c r="W2" s="285"/>
      <c r="X2" s="285"/>
      <c r="Y2" s="285"/>
      <c r="Z2" s="285"/>
      <c r="AA2" s="287"/>
      <c r="AB2" s="122"/>
      <c r="AC2" s="284" t="s">
        <v>60</v>
      </c>
      <c r="AD2" s="285"/>
      <c r="AE2" s="285"/>
      <c r="AF2" s="285"/>
      <c r="AG2" s="285"/>
      <c r="AH2" s="285"/>
      <c r="AI2" s="286"/>
      <c r="AK2" s="59"/>
      <c r="AL2" s="59"/>
    </row>
    <row r="3" spans="1:38">
      <c r="A3" s="122"/>
      <c r="B3" s="235" t="s">
        <v>340</v>
      </c>
      <c r="C3" s="236" t="s">
        <v>339</v>
      </c>
      <c r="D3" s="236" t="s">
        <v>338</v>
      </c>
      <c r="E3" s="236" t="s">
        <v>341</v>
      </c>
      <c r="F3" s="236" t="s">
        <v>342</v>
      </c>
      <c r="G3" s="236" t="s">
        <v>343</v>
      </c>
      <c r="H3" s="237" t="s">
        <v>7</v>
      </c>
      <c r="I3" s="122"/>
      <c r="J3" s="235" t="s">
        <v>1</v>
      </c>
      <c r="K3" s="236" t="s">
        <v>344</v>
      </c>
      <c r="L3" s="236" t="s">
        <v>346</v>
      </c>
      <c r="M3" s="236" t="s">
        <v>345</v>
      </c>
      <c r="N3" s="236" t="s">
        <v>347</v>
      </c>
      <c r="O3" s="236" t="s">
        <v>348</v>
      </c>
      <c r="P3" s="236" t="s">
        <v>74</v>
      </c>
      <c r="Q3" s="236" t="s">
        <v>349</v>
      </c>
      <c r="R3" s="237" t="s">
        <v>53</v>
      </c>
      <c r="S3" s="122"/>
      <c r="T3" s="238" t="s">
        <v>304</v>
      </c>
      <c r="U3" s="239" t="s">
        <v>350</v>
      </c>
      <c r="V3" s="239" t="s">
        <v>155</v>
      </c>
      <c r="W3" s="239" t="s">
        <v>75</v>
      </c>
      <c r="X3" s="239" t="s">
        <v>76</v>
      </c>
      <c r="Y3" s="239" t="s">
        <v>351</v>
      </c>
      <c r="Z3" s="239" t="s">
        <v>352</v>
      </c>
      <c r="AA3" s="240" t="s">
        <v>353</v>
      </c>
      <c r="AB3" s="122"/>
      <c r="AC3" s="235" t="s">
        <v>2</v>
      </c>
      <c r="AD3" s="236" t="s">
        <v>78</v>
      </c>
      <c r="AE3" s="236" t="s">
        <v>3</v>
      </c>
      <c r="AF3" s="236" t="s">
        <v>4</v>
      </c>
      <c r="AG3" s="236" t="s">
        <v>77</v>
      </c>
      <c r="AH3" s="236" t="s">
        <v>5</v>
      </c>
      <c r="AI3" s="237" t="s">
        <v>6</v>
      </c>
      <c r="AK3" s="59"/>
      <c r="AL3" s="59"/>
    </row>
    <row r="4" spans="1:38">
      <c r="A4" s="122"/>
      <c r="B4" s="241">
        <v>0</v>
      </c>
      <c r="C4" s="242">
        <v>0</v>
      </c>
      <c r="D4" s="242">
        <v>0</v>
      </c>
      <c r="E4" s="234">
        <v>0</v>
      </c>
      <c r="F4" s="234">
        <v>0</v>
      </c>
      <c r="G4" s="234">
        <v>0</v>
      </c>
      <c r="H4" s="243">
        <v>0</v>
      </c>
      <c r="I4" s="122"/>
      <c r="J4" s="244">
        <v>0</v>
      </c>
      <c r="K4" s="245">
        <v>0</v>
      </c>
      <c r="L4" s="245">
        <v>0</v>
      </c>
      <c r="M4" s="245">
        <v>0</v>
      </c>
      <c r="N4" s="245">
        <v>1</v>
      </c>
      <c r="O4" s="245">
        <v>0</v>
      </c>
      <c r="P4" s="245">
        <v>0</v>
      </c>
      <c r="Q4" s="245">
        <v>0</v>
      </c>
      <c r="R4" s="243">
        <f>SUM(J4:Q4)</f>
        <v>1</v>
      </c>
      <c r="S4" s="122"/>
      <c r="T4" s="241"/>
      <c r="U4" s="246"/>
      <c r="V4" s="246"/>
      <c r="W4" s="246"/>
      <c r="X4" s="246"/>
      <c r="Y4" s="246"/>
      <c r="Z4" s="246"/>
      <c r="AA4" s="247"/>
      <c r="AB4" s="122"/>
      <c r="AC4" s="244"/>
      <c r="AD4" s="245"/>
      <c r="AE4" s="245"/>
      <c r="AF4" s="245"/>
      <c r="AG4" s="245"/>
      <c r="AH4" s="245"/>
      <c r="AI4" s="247"/>
      <c r="AK4" s="259"/>
      <c r="AL4" s="59"/>
    </row>
    <row r="5" spans="1:38">
      <c r="A5" s="122"/>
      <c r="B5" s="241">
        <v>1</v>
      </c>
      <c r="C5" s="248">
        <f>'Other parameters'!$D$15</f>
        <v>3.0620000000000001E-3</v>
      </c>
      <c r="D5" s="242">
        <f>'Other parameters'!$G$15</f>
        <v>68.400000000000006</v>
      </c>
      <c r="E5" s="248">
        <f t="shared" ref="E5:E19" si="0">IF(B5&lt;rf1age,0,pA1_3p)</f>
        <v>0</v>
      </c>
      <c r="F5" s="248">
        <f t="shared" ref="F5:F28" si="1">IF(B5&lt;rf2age,0,pA2_3p)</f>
        <v>0</v>
      </c>
      <c r="G5" s="248">
        <f t="shared" ref="G5:G36" si="2">IF(B5&lt;rhdage,0,pVS_3p)</f>
        <v>0</v>
      </c>
      <c r="H5" s="249">
        <f t="shared" ref="H5:H36" si="3">1/(1+disc)^($B5-1)</f>
        <v>1</v>
      </c>
      <c r="I5" s="122"/>
      <c r="J5" s="244">
        <v>0</v>
      </c>
      <c r="K5" s="245">
        <v>0</v>
      </c>
      <c r="L5" s="245">
        <v>0</v>
      </c>
      <c r="M5" s="245">
        <v>0</v>
      </c>
      <c r="N5" s="245">
        <f t="shared" ref="N5:N36" si="4">IF(B5&lt;rhdage,1,(K4*pARF1_RHDMild)+(M4*pARF2_RHDMild)+(N4*cpRHDMild_RHDMild)+(O4*G5))</f>
        <v>1</v>
      </c>
      <c r="O5" s="245">
        <f t="shared" ref="O5:O36" si="5">IF(B5&lt;rhdage,0,(N4*pRHDMild_RHDSevere)+(O4*(1-(G5+pRHDSevere_Death))))</f>
        <v>0</v>
      </c>
      <c r="P5" s="245">
        <f t="shared" ref="P5:P36" si="6">IF(B5&lt;rhdage,0,(N4*pRHDMild_Stroke)+(P4*(1-pStroke_Death)))</f>
        <v>0</v>
      </c>
      <c r="Q5" s="245">
        <f t="shared" ref="Q5:Q36" si="7">IF(B5&lt;rhdage,0,(K4*pARF1_Death)+(M4*pARF2_Death)+(O4*pRHDSevere_Death)+(P4*pStroke_Death)+Q4)</f>
        <v>0</v>
      </c>
      <c r="R5" s="243">
        <f t="shared" ref="R5:R11" si="8">SUM(J5:Q5)</f>
        <v>1</v>
      </c>
      <c r="S5" s="122"/>
      <c r="T5" s="244">
        <f t="shared" ref="T5:T68" si="9">((K4*pARF1_Death)+(M4*pARF2_Death)+(O4*pRHDSevere_Death)+(P4*pStroke_Death))+C5</f>
        <v>3.0620000000000001E-3</v>
      </c>
      <c r="U5" s="246">
        <f>$D5*T5*0.5</f>
        <v>0.10472040000000001</v>
      </c>
      <c r="V5" s="246">
        <f>($K5+$M5)*wAR*0.5</f>
        <v>0</v>
      </c>
      <c r="W5" s="246">
        <f>$N5*wRM*0.5</f>
        <v>2.0500000000000001E-2</v>
      </c>
      <c r="X5" s="246">
        <f>$O5*wRH*0.5</f>
        <v>0</v>
      </c>
      <c r="Y5" s="246">
        <f>$P5*wRS*0.5</f>
        <v>0</v>
      </c>
      <c r="Z5" s="246">
        <f t="shared" ref="Z5:Z68" si="10">SUM(U5:Y5)</f>
        <v>0.12522040000000001</v>
      </c>
      <c r="AA5" s="247">
        <f t="shared" ref="AA5:AA68" si="11">Z5*H5</f>
        <v>0.12522040000000001</v>
      </c>
      <c r="AB5" s="122"/>
      <c r="AC5" s="244">
        <f>($K5+$M5)*cARF*0.5</f>
        <v>0</v>
      </c>
      <c r="AD5" s="245">
        <f>$L5*cRFR*0.5</f>
        <v>0</v>
      </c>
      <c r="AE5" s="245">
        <f>$N5*cRM*0.5</f>
        <v>308.55</v>
      </c>
      <c r="AF5" s="245">
        <f>$O5*cRH*0.5</f>
        <v>0</v>
      </c>
      <c r="AG5" s="245">
        <f>$P5*cRS*0.5</f>
        <v>0</v>
      </c>
      <c r="AH5" s="245">
        <f t="shared" ref="AH5:AH68" si="12">SUM(AC5:AG5)</f>
        <v>308.55</v>
      </c>
      <c r="AI5" s="247">
        <f t="shared" ref="AI5:AI36" si="13">AH5*H5</f>
        <v>308.55</v>
      </c>
      <c r="AK5" s="259"/>
      <c r="AL5" s="59"/>
    </row>
    <row r="6" spans="1:38">
      <c r="A6" s="122"/>
      <c r="B6" s="241">
        <v>2</v>
      </c>
      <c r="C6" s="248">
        <f>'Other parameters'!$D$15</f>
        <v>3.0620000000000001E-3</v>
      </c>
      <c r="D6" s="242">
        <f>'Other parameters'!$G$15</f>
        <v>68.400000000000006</v>
      </c>
      <c r="E6" s="248">
        <f t="shared" si="0"/>
        <v>0</v>
      </c>
      <c r="F6" s="248">
        <f t="shared" si="1"/>
        <v>0</v>
      </c>
      <c r="G6" s="248">
        <f t="shared" si="2"/>
        <v>0</v>
      </c>
      <c r="H6" s="249">
        <f t="shared" si="3"/>
        <v>0.970873786407767</v>
      </c>
      <c r="I6" s="122"/>
      <c r="J6" s="244">
        <v>0</v>
      </c>
      <c r="K6" s="245">
        <v>0</v>
      </c>
      <c r="L6" s="245">
        <v>0</v>
      </c>
      <c r="M6" s="245">
        <v>0</v>
      </c>
      <c r="N6" s="245">
        <f t="shared" si="4"/>
        <v>1</v>
      </c>
      <c r="O6" s="245">
        <f t="shared" si="5"/>
        <v>0</v>
      </c>
      <c r="P6" s="245">
        <f t="shared" si="6"/>
        <v>0</v>
      </c>
      <c r="Q6" s="245">
        <f t="shared" si="7"/>
        <v>0</v>
      </c>
      <c r="R6" s="243">
        <f t="shared" si="8"/>
        <v>1</v>
      </c>
      <c r="S6" s="122"/>
      <c r="T6" s="244">
        <f t="shared" si="9"/>
        <v>3.0620000000000001E-3</v>
      </c>
      <c r="U6" s="246">
        <f t="shared" ref="U6:U69" si="14">$D6*T6</f>
        <v>0.20944080000000001</v>
      </c>
      <c r="V6" s="246">
        <f t="shared" ref="V6:V69" si="15">($K6+$M6)*wAR</f>
        <v>0</v>
      </c>
      <c r="W6" s="246">
        <f t="shared" ref="W6:W69" si="16">$N6*wRM</f>
        <v>4.1000000000000002E-2</v>
      </c>
      <c r="X6" s="246">
        <f t="shared" ref="X6:X69" si="17">$O6*wRH</f>
        <v>0</v>
      </c>
      <c r="Y6" s="246">
        <f t="shared" ref="Y6:Y69" si="18">$P6*wRS</f>
        <v>0</v>
      </c>
      <c r="Z6" s="246">
        <f t="shared" si="10"/>
        <v>0.25044080000000002</v>
      </c>
      <c r="AA6" s="247">
        <f t="shared" si="11"/>
        <v>0.24314640776699031</v>
      </c>
      <c r="AB6" s="122"/>
      <c r="AC6" s="244">
        <f t="shared" ref="AC6:AC69" si="19">($K6+$M6)*cARF</f>
        <v>0</v>
      </c>
      <c r="AD6" s="245">
        <f t="shared" ref="AD6:AD69" si="20">$L6*cRFR</f>
        <v>0</v>
      </c>
      <c r="AE6" s="245">
        <f t="shared" ref="AE6:AE69" si="21">$N6*cRM</f>
        <v>617.1</v>
      </c>
      <c r="AF6" s="245">
        <f t="shared" ref="AF6:AF69" si="22">$O6*cRH</f>
        <v>0</v>
      </c>
      <c r="AG6" s="245">
        <f t="shared" ref="AG6:AG69" si="23">$P6*cRS</f>
        <v>0</v>
      </c>
      <c r="AH6" s="245">
        <f t="shared" si="12"/>
        <v>617.1</v>
      </c>
      <c r="AI6" s="247">
        <f t="shared" si="13"/>
        <v>599.12621359223306</v>
      </c>
      <c r="AK6" s="259"/>
      <c r="AL6" s="59"/>
    </row>
    <row r="7" spans="1:38">
      <c r="A7" s="122"/>
      <c r="B7" s="241">
        <v>3</v>
      </c>
      <c r="C7" s="248">
        <f>'Other parameters'!$D$15</f>
        <v>3.0620000000000001E-3</v>
      </c>
      <c r="D7" s="242">
        <f>'Other parameters'!$G$15</f>
        <v>68.400000000000006</v>
      </c>
      <c r="E7" s="248">
        <f t="shared" si="0"/>
        <v>0</v>
      </c>
      <c r="F7" s="248">
        <f t="shared" si="1"/>
        <v>0</v>
      </c>
      <c r="G7" s="248">
        <f t="shared" si="2"/>
        <v>0</v>
      </c>
      <c r="H7" s="249">
        <f t="shared" si="3"/>
        <v>0.94259590913375435</v>
      </c>
      <c r="I7" s="122"/>
      <c r="J7" s="244">
        <v>0</v>
      </c>
      <c r="K7" s="245">
        <v>0</v>
      </c>
      <c r="L7" s="245">
        <v>0</v>
      </c>
      <c r="M7" s="245">
        <v>0</v>
      </c>
      <c r="N7" s="245">
        <f t="shared" si="4"/>
        <v>1</v>
      </c>
      <c r="O7" s="245">
        <f t="shared" si="5"/>
        <v>0</v>
      </c>
      <c r="P7" s="245">
        <f t="shared" si="6"/>
        <v>0</v>
      </c>
      <c r="Q7" s="245">
        <f t="shared" si="7"/>
        <v>0</v>
      </c>
      <c r="R7" s="243">
        <f t="shared" si="8"/>
        <v>1</v>
      </c>
      <c r="S7" s="122"/>
      <c r="T7" s="244">
        <f t="shared" si="9"/>
        <v>3.0620000000000001E-3</v>
      </c>
      <c r="U7" s="246">
        <f t="shared" si="14"/>
        <v>0.20944080000000001</v>
      </c>
      <c r="V7" s="246">
        <f t="shared" si="15"/>
        <v>0</v>
      </c>
      <c r="W7" s="246">
        <f t="shared" si="16"/>
        <v>4.1000000000000002E-2</v>
      </c>
      <c r="X7" s="246">
        <f t="shared" si="17"/>
        <v>0</v>
      </c>
      <c r="Y7" s="246">
        <f t="shared" si="18"/>
        <v>0</v>
      </c>
      <c r="Z7" s="246">
        <f t="shared" si="10"/>
        <v>0.25044080000000002</v>
      </c>
      <c r="AA7" s="247">
        <f t="shared" si="11"/>
        <v>0.23606447356018476</v>
      </c>
      <c r="AB7" s="122"/>
      <c r="AC7" s="244">
        <f t="shared" si="19"/>
        <v>0</v>
      </c>
      <c r="AD7" s="245">
        <f t="shared" si="20"/>
        <v>0</v>
      </c>
      <c r="AE7" s="245">
        <f t="shared" si="21"/>
        <v>617.1</v>
      </c>
      <c r="AF7" s="245">
        <f t="shared" si="22"/>
        <v>0</v>
      </c>
      <c r="AG7" s="245">
        <f t="shared" si="23"/>
        <v>0</v>
      </c>
      <c r="AH7" s="245">
        <f t="shared" si="12"/>
        <v>617.1</v>
      </c>
      <c r="AI7" s="247">
        <f t="shared" si="13"/>
        <v>581.67593552643984</v>
      </c>
      <c r="AK7" s="259"/>
      <c r="AL7" s="59"/>
    </row>
    <row r="8" spans="1:38">
      <c r="A8" s="122"/>
      <c r="B8" s="241">
        <v>4</v>
      </c>
      <c r="C8" s="248">
        <f>'Other parameters'!$D$15</f>
        <v>3.0620000000000001E-3</v>
      </c>
      <c r="D8" s="242">
        <f>'Other parameters'!$G$15</f>
        <v>68.400000000000006</v>
      </c>
      <c r="E8" s="248">
        <f t="shared" si="0"/>
        <v>0</v>
      </c>
      <c r="F8" s="248">
        <f t="shared" si="1"/>
        <v>0</v>
      </c>
      <c r="G8" s="248">
        <f t="shared" si="2"/>
        <v>0</v>
      </c>
      <c r="H8" s="249">
        <f t="shared" si="3"/>
        <v>0.91514165935315961</v>
      </c>
      <c r="I8" s="122"/>
      <c r="J8" s="244">
        <v>0</v>
      </c>
      <c r="K8" s="245">
        <v>0</v>
      </c>
      <c r="L8" s="245">
        <v>0</v>
      </c>
      <c r="M8" s="245">
        <v>0</v>
      </c>
      <c r="N8" s="245">
        <f t="shared" si="4"/>
        <v>1</v>
      </c>
      <c r="O8" s="245">
        <f t="shared" si="5"/>
        <v>0</v>
      </c>
      <c r="P8" s="245">
        <f t="shared" si="6"/>
        <v>0</v>
      </c>
      <c r="Q8" s="245">
        <f t="shared" si="7"/>
        <v>0</v>
      </c>
      <c r="R8" s="243">
        <f t="shared" si="8"/>
        <v>1</v>
      </c>
      <c r="S8" s="122"/>
      <c r="T8" s="244">
        <f t="shared" si="9"/>
        <v>3.0620000000000001E-3</v>
      </c>
      <c r="U8" s="246">
        <f t="shared" si="14"/>
        <v>0.20944080000000001</v>
      </c>
      <c r="V8" s="246">
        <f t="shared" si="15"/>
        <v>0</v>
      </c>
      <c r="W8" s="246">
        <f t="shared" si="16"/>
        <v>4.1000000000000002E-2</v>
      </c>
      <c r="X8" s="246">
        <f t="shared" si="17"/>
        <v>0</v>
      </c>
      <c r="Y8" s="246">
        <f t="shared" si="18"/>
        <v>0</v>
      </c>
      <c r="Z8" s="246">
        <f t="shared" si="10"/>
        <v>0.25044080000000002</v>
      </c>
      <c r="AA8" s="247">
        <f t="shared" si="11"/>
        <v>0.2291888092817328</v>
      </c>
      <c r="AB8" s="122"/>
      <c r="AC8" s="244">
        <f t="shared" si="19"/>
        <v>0</v>
      </c>
      <c r="AD8" s="245">
        <f t="shared" si="20"/>
        <v>0</v>
      </c>
      <c r="AE8" s="245">
        <f t="shared" si="21"/>
        <v>617.1</v>
      </c>
      <c r="AF8" s="245">
        <f t="shared" si="22"/>
        <v>0</v>
      </c>
      <c r="AG8" s="245">
        <f t="shared" si="23"/>
        <v>0</v>
      </c>
      <c r="AH8" s="245">
        <f t="shared" si="12"/>
        <v>617.1</v>
      </c>
      <c r="AI8" s="247">
        <f t="shared" si="13"/>
        <v>564.73391798683485</v>
      </c>
      <c r="AK8" s="259"/>
      <c r="AL8" s="59"/>
    </row>
    <row r="9" spans="1:38">
      <c r="A9" s="122"/>
      <c r="B9" s="241">
        <v>5</v>
      </c>
      <c r="C9" s="248">
        <f>'Other parameters'!$D$16</f>
        <v>2.2790000000000002E-3</v>
      </c>
      <c r="D9" s="242">
        <f>'Other parameters'!$G$16</f>
        <v>65.5</v>
      </c>
      <c r="E9" s="248">
        <f t="shared" si="0"/>
        <v>0</v>
      </c>
      <c r="F9" s="248">
        <f t="shared" si="1"/>
        <v>0</v>
      </c>
      <c r="G9" s="248">
        <f t="shared" si="2"/>
        <v>0</v>
      </c>
      <c r="H9" s="249">
        <f t="shared" si="3"/>
        <v>0.888487047915689</v>
      </c>
      <c r="I9" s="122"/>
      <c r="J9" s="244">
        <v>0</v>
      </c>
      <c r="K9" s="245">
        <v>0</v>
      </c>
      <c r="L9" s="245">
        <v>0</v>
      </c>
      <c r="M9" s="245">
        <v>0</v>
      </c>
      <c r="N9" s="245">
        <f t="shared" si="4"/>
        <v>1</v>
      </c>
      <c r="O9" s="245">
        <f t="shared" si="5"/>
        <v>0</v>
      </c>
      <c r="P9" s="245">
        <f t="shared" si="6"/>
        <v>0</v>
      </c>
      <c r="Q9" s="245">
        <f t="shared" si="7"/>
        <v>0</v>
      </c>
      <c r="R9" s="243">
        <f t="shared" si="8"/>
        <v>1</v>
      </c>
      <c r="S9" s="122"/>
      <c r="T9" s="244">
        <f t="shared" si="9"/>
        <v>2.2790000000000002E-3</v>
      </c>
      <c r="U9" s="246">
        <f t="shared" si="14"/>
        <v>0.1492745</v>
      </c>
      <c r="V9" s="246">
        <f t="shared" si="15"/>
        <v>0</v>
      </c>
      <c r="W9" s="246">
        <f t="shared" si="16"/>
        <v>4.1000000000000002E-2</v>
      </c>
      <c r="X9" s="246">
        <f t="shared" si="17"/>
        <v>0</v>
      </c>
      <c r="Y9" s="246">
        <f t="shared" si="18"/>
        <v>0</v>
      </c>
      <c r="Z9" s="246">
        <f t="shared" si="10"/>
        <v>0.19027450000000001</v>
      </c>
      <c r="AA9" s="247">
        <f t="shared" si="11"/>
        <v>0.16905642879863378</v>
      </c>
      <c r="AB9" s="122"/>
      <c r="AC9" s="244">
        <f t="shared" si="19"/>
        <v>0</v>
      </c>
      <c r="AD9" s="245">
        <f t="shared" si="20"/>
        <v>0</v>
      </c>
      <c r="AE9" s="245">
        <f t="shared" si="21"/>
        <v>617.1</v>
      </c>
      <c r="AF9" s="245">
        <f t="shared" si="22"/>
        <v>0</v>
      </c>
      <c r="AG9" s="245">
        <f t="shared" si="23"/>
        <v>0</v>
      </c>
      <c r="AH9" s="245">
        <f t="shared" si="12"/>
        <v>617.1</v>
      </c>
      <c r="AI9" s="247">
        <f t="shared" si="13"/>
        <v>548.28535726877169</v>
      </c>
      <c r="AK9" s="259"/>
      <c r="AL9" s="59"/>
    </row>
    <row r="10" spans="1:38">
      <c r="A10" s="122"/>
      <c r="B10" s="241">
        <v>6</v>
      </c>
      <c r="C10" s="248">
        <f>'Other parameters'!$D$16</f>
        <v>2.2790000000000002E-3</v>
      </c>
      <c r="D10" s="242">
        <f>'Other parameters'!$G$16</f>
        <v>65.5</v>
      </c>
      <c r="E10" s="248">
        <f t="shared" si="0"/>
        <v>0</v>
      </c>
      <c r="F10" s="248">
        <f t="shared" si="1"/>
        <v>0</v>
      </c>
      <c r="G10" s="248">
        <f t="shared" si="2"/>
        <v>0</v>
      </c>
      <c r="H10" s="249">
        <f t="shared" si="3"/>
        <v>0.86260878438416411</v>
      </c>
      <c r="I10" s="122"/>
      <c r="J10" s="244">
        <v>0</v>
      </c>
      <c r="K10" s="245">
        <v>0</v>
      </c>
      <c r="L10" s="245">
        <v>0</v>
      </c>
      <c r="M10" s="245">
        <v>0</v>
      </c>
      <c r="N10" s="245">
        <f t="shared" si="4"/>
        <v>1</v>
      </c>
      <c r="O10" s="245">
        <f t="shared" si="5"/>
        <v>0</v>
      </c>
      <c r="P10" s="245">
        <f t="shared" si="6"/>
        <v>0</v>
      </c>
      <c r="Q10" s="245">
        <f t="shared" si="7"/>
        <v>0</v>
      </c>
      <c r="R10" s="243">
        <f t="shared" si="8"/>
        <v>1</v>
      </c>
      <c r="S10" s="122"/>
      <c r="T10" s="244">
        <f t="shared" si="9"/>
        <v>2.2790000000000002E-3</v>
      </c>
      <c r="U10" s="246">
        <f t="shared" si="14"/>
        <v>0.1492745</v>
      </c>
      <c r="V10" s="246">
        <f t="shared" si="15"/>
        <v>0</v>
      </c>
      <c r="W10" s="246">
        <f t="shared" si="16"/>
        <v>4.1000000000000002E-2</v>
      </c>
      <c r="X10" s="246">
        <f t="shared" si="17"/>
        <v>0</v>
      </c>
      <c r="Y10" s="246">
        <f t="shared" si="18"/>
        <v>0</v>
      </c>
      <c r="Z10" s="246">
        <f t="shared" si="10"/>
        <v>0.19027450000000001</v>
      </c>
      <c r="AA10" s="247">
        <f t="shared" si="11"/>
        <v>0.16413245514430463</v>
      </c>
      <c r="AB10" s="122"/>
      <c r="AC10" s="244">
        <f t="shared" si="19"/>
        <v>0</v>
      </c>
      <c r="AD10" s="245">
        <f t="shared" si="20"/>
        <v>0</v>
      </c>
      <c r="AE10" s="245">
        <f t="shared" si="21"/>
        <v>617.1</v>
      </c>
      <c r="AF10" s="245">
        <f t="shared" si="22"/>
        <v>0</v>
      </c>
      <c r="AG10" s="245">
        <f t="shared" si="23"/>
        <v>0</v>
      </c>
      <c r="AH10" s="245">
        <f t="shared" si="12"/>
        <v>617.1</v>
      </c>
      <c r="AI10" s="247">
        <f t="shared" si="13"/>
        <v>532.31588084346765</v>
      </c>
      <c r="AK10" s="259"/>
      <c r="AL10" s="59"/>
    </row>
    <row r="11" spans="1:38">
      <c r="A11" s="122"/>
      <c r="B11" s="241">
        <v>7</v>
      </c>
      <c r="C11" s="248">
        <f>'Other parameters'!$D$16</f>
        <v>2.2790000000000002E-3</v>
      </c>
      <c r="D11" s="242">
        <f>'Other parameters'!$G$16</f>
        <v>65.5</v>
      </c>
      <c r="E11" s="248">
        <f t="shared" si="0"/>
        <v>0</v>
      </c>
      <c r="F11" s="248">
        <f t="shared" si="1"/>
        <v>0</v>
      </c>
      <c r="G11" s="248">
        <f t="shared" si="2"/>
        <v>0</v>
      </c>
      <c r="H11" s="249">
        <f t="shared" si="3"/>
        <v>0.83748425668365445</v>
      </c>
      <c r="I11" s="122"/>
      <c r="J11" s="244">
        <v>0</v>
      </c>
      <c r="K11" s="245">
        <v>0</v>
      </c>
      <c r="L11" s="245">
        <v>0</v>
      </c>
      <c r="M11" s="245">
        <v>0</v>
      </c>
      <c r="N11" s="245">
        <f t="shared" si="4"/>
        <v>1</v>
      </c>
      <c r="O11" s="245">
        <f t="shared" si="5"/>
        <v>0</v>
      </c>
      <c r="P11" s="245">
        <f t="shared" si="6"/>
        <v>0</v>
      </c>
      <c r="Q11" s="245">
        <f t="shared" si="7"/>
        <v>0</v>
      </c>
      <c r="R11" s="243">
        <f t="shared" si="8"/>
        <v>1</v>
      </c>
      <c r="S11" s="122"/>
      <c r="T11" s="244">
        <f t="shared" si="9"/>
        <v>2.2790000000000002E-3</v>
      </c>
      <c r="U11" s="246">
        <f t="shared" si="14"/>
        <v>0.1492745</v>
      </c>
      <c r="V11" s="246">
        <f t="shared" si="15"/>
        <v>0</v>
      </c>
      <c r="W11" s="246">
        <f t="shared" si="16"/>
        <v>4.1000000000000002E-2</v>
      </c>
      <c r="X11" s="246">
        <f t="shared" si="17"/>
        <v>0</v>
      </c>
      <c r="Y11" s="246">
        <f t="shared" si="18"/>
        <v>0</v>
      </c>
      <c r="Z11" s="246">
        <f t="shared" si="10"/>
        <v>0.19027450000000001</v>
      </c>
      <c r="AA11" s="247">
        <f t="shared" si="11"/>
        <v>0.15935189819835402</v>
      </c>
      <c r="AB11" s="122"/>
      <c r="AC11" s="244">
        <f t="shared" si="19"/>
        <v>0</v>
      </c>
      <c r="AD11" s="245">
        <f t="shared" si="20"/>
        <v>0</v>
      </c>
      <c r="AE11" s="245">
        <f t="shared" si="21"/>
        <v>617.1</v>
      </c>
      <c r="AF11" s="245">
        <f t="shared" si="22"/>
        <v>0</v>
      </c>
      <c r="AG11" s="245">
        <f t="shared" si="23"/>
        <v>0</v>
      </c>
      <c r="AH11" s="245">
        <f t="shared" si="12"/>
        <v>617.1</v>
      </c>
      <c r="AI11" s="247">
        <f t="shared" si="13"/>
        <v>516.81153479948318</v>
      </c>
      <c r="AK11" s="259"/>
      <c r="AL11" s="59"/>
    </row>
    <row r="12" spans="1:38">
      <c r="A12" s="122"/>
      <c r="B12" s="241">
        <v>8</v>
      </c>
      <c r="C12" s="248">
        <f>'Other parameters'!$D$16</f>
        <v>2.2790000000000002E-3</v>
      </c>
      <c r="D12" s="242">
        <f>'Other parameters'!$G$16</f>
        <v>65.5</v>
      </c>
      <c r="E12" s="248">
        <f t="shared" si="0"/>
        <v>4.194E-4</v>
      </c>
      <c r="F12" s="248">
        <f t="shared" si="1"/>
        <v>0</v>
      </c>
      <c r="G12" s="248">
        <f t="shared" si="2"/>
        <v>0</v>
      </c>
      <c r="H12" s="249">
        <f t="shared" si="3"/>
        <v>0.81309151134335378</v>
      </c>
      <c r="I12" s="122"/>
      <c r="J12" s="244">
        <v>0</v>
      </c>
      <c r="K12" s="245">
        <v>0</v>
      </c>
      <c r="L12" s="245">
        <v>0</v>
      </c>
      <c r="M12" s="245">
        <v>0</v>
      </c>
      <c r="N12" s="245">
        <f t="shared" si="4"/>
        <v>1</v>
      </c>
      <c r="O12" s="245">
        <f t="shared" si="5"/>
        <v>0</v>
      </c>
      <c r="P12" s="245">
        <f t="shared" si="6"/>
        <v>0</v>
      </c>
      <c r="Q12" s="245">
        <f t="shared" si="7"/>
        <v>0</v>
      </c>
      <c r="R12" s="243">
        <f>SUM(J12:Q12)</f>
        <v>1</v>
      </c>
      <c r="S12" s="122"/>
      <c r="T12" s="244">
        <f t="shared" si="9"/>
        <v>2.2790000000000002E-3</v>
      </c>
      <c r="U12" s="246">
        <f t="shared" si="14"/>
        <v>0.1492745</v>
      </c>
      <c r="V12" s="246">
        <f t="shared" si="15"/>
        <v>0</v>
      </c>
      <c r="W12" s="246">
        <f t="shared" si="16"/>
        <v>4.1000000000000002E-2</v>
      </c>
      <c r="X12" s="246">
        <f t="shared" si="17"/>
        <v>0</v>
      </c>
      <c r="Y12" s="246">
        <f t="shared" si="18"/>
        <v>0</v>
      </c>
      <c r="Z12" s="246">
        <f t="shared" si="10"/>
        <v>0.19027450000000001</v>
      </c>
      <c r="AA12" s="247">
        <f t="shared" si="11"/>
        <v>0.15471058077510097</v>
      </c>
      <c r="AB12" s="122"/>
      <c r="AC12" s="244">
        <f t="shared" si="19"/>
        <v>0</v>
      </c>
      <c r="AD12" s="245">
        <f t="shared" si="20"/>
        <v>0</v>
      </c>
      <c r="AE12" s="245">
        <f t="shared" si="21"/>
        <v>617.1</v>
      </c>
      <c r="AF12" s="245">
        <f t="shared" si="22"/>
        <v>0</v>
      </c>
      <c r="AG12" s="245">
        <f t="shared" si="23"/>
        <v>0</v>
      </c>
      <c r="AH12" s="245">
        <f t="shared" si="12"/>
        <v>617.1</v>
      </c>
      <c r="AI12" s="247">
        <f t="shared" si="13"/>
        <v>501.75877164998366</v>
      </c>
      <c r="AK12" s="259"/>
      <c r="AL12" s="59"/>
    </row>
    <row r="13" spans="1:38">
      <c r="A13" s="122"/>
      <c r="B13" s="241">
        <v>9</v>
      </c>
      <c r="C13" s="248">
        <f>'Other parameters'!$D$16</f>
        <v>2.2790000000000002E-3</v>
      </c>
      <c r="D13" s="242">
        <f>'Other parameters'!$G$16</f>
        <v>65.5</v>
      </c>
      <c r="E13" s="248">
        <f t="shared" si="0"/>
        <v>4.194E-4</v>
      </c>
      <c r="F13" s="248">
        <f t="shared" si="1"/>
        <v>0</v>
      </c>
      <c r="G13" s="248">
        <f t="shared" si="2"/>
        <v>0</v>
      </c>
      <c r="H13" s="249">
        <f t="shared" si="3"/>
        <v>0.78940923431393573</v>
      </c>
      <c r="I13" s="122"/>
      <c r="J13" s="244">
        <v>0</v>
      </c>
      <c r="K13" s="245">
        <v>0</v>
      </c>
      <c r="L13" s="245">
        <v>0</v>
      </c>
      <c r="M13" s="245">
        <v>0</v>
      </c>
      <c r="N13" s="245">
        <f t="shared" si="4"/>
        <v>1</v>
      </c>
      <c r="O13" s="245">
        <f t="shared" si="5"/>
        <v>0</v>
      </c>
      <c r="P13" s="245">
        <f t="shared" si="6"/>
        <v>0</v>
      </c>
      <c r="Q13" s="245">
        <f t="shared" si="7"/>
        <v>0</v>
      </c>
      <c r="R13" s="243">
        <f t="shared" ref="R13:R76" si="24">SUM(J13:Q13)</f>
        <v>1</v>
      </c>
      <c r="S13" s="122"/>
      <c r="T13" s="244">
        <f t="shared" si="9"/>
        <v>2.2790000000000002E-3</v>
      </c>
      <c r="U13" s="246">
        <f t="shared" si="14"/>
        <v>0.1492745</v>
      </c>
      <c r="V13" s="246">
        <f t="shared" si="15"/>
        <v>0</v>
      </c>
      <c r="W13" s="246">
        <f t="shared" si="16"/>
        <v>4.1000000000000002E-2</v>
      </c>
      <c r="X13" s="246">
        <f t="shared" si="17"/>
        <v>0</v>
      </c>
      <c r="Y13" s="246">
        <f t="shared" si="18"/>
        <v>0</v>
      </c>
      <c r="Z13" s="246">
        <f t="shared" si="10"/>
        <v>0.19027450000000001</v>
      </c>
      <c r="AA13" s="247">
        <f t="shared" si="11"/>
        <v>0.15020444735446697</v>
      </c>
      <c r="AB13" s="122"/>
      <c r="AC13" s="244">
        <f t="shared" si="19"/>
        <v>0</v>
      </c>
      <c r="AD13" s="245">
        <f t="shared" si="20"/>
        <v>0</v>
      </c>
      <c r="AE13" s="245">
        <f t="shared" si="21"/>
        <v>617.1</v>
      </c>
      <c r="AF13" s="245">
        <f t="shared" si="22"/>
        <v>0</v>
      </c>
      <c r="AG13" s="245">
        <f t="shared" si="23"/>
        <v>0</v>
      </c>
      <c r="AH13" s="245">
        <f t="shared" si="12"/>
        <v>617.1</v>
      </c>
      <c r="AI13" s="247">
        <f t="shared" si="13"/>
        <v>487.14443849512975</v>
      </c>
      <c r="AK13" s="259"/>
      <c r="AL13" s="59"/>
    </row>
    <row r="14" spans="1:38">
      <c r="A14" s="122"/>
      <c r="B14" s="241">
        <v>10</v>
      </c>
      <c r="C14" s="248">
        <f>'Other parameters'!$D$17</f>
        <v>1.7776000000000001E-3</v>
      </c>
      <c r="D14" s="242">
        <f>'Other parameters'!$G$17</f>
        <v>61.2</v>
      </c>
      <c r="E14" s="248">
        <f t="shared" si="0"/>
        <v>4.194E-4</v>
      </c>
      <c r="F14" s="248">
        <f t="shared" si="1"/>
        <v>0</v>
      </c>
      <c r="G14" s="248">
        <f t="shared" si="2"/>
        <v>0</v>
      </c>
      <c r="H14" s="249">
        <f t="shared" si="3"/>
        <v>0.76641673234362695</v>
      </c>
      <c r="I14" s="122"/>
      <c r="J14" s="244">
        <v>0</v>
      </c>
      <c r="K14" s="245">
        <v>0</v>
      </c>
      <c r="L14" s="245">
        <v>0</v>
      </c>
      <c r="M14" s="245">
        <v>0</v>
      </c>
      <c r="N14" s="245">
        <f t="shared" si="4"/>
        <v>1</v>
      </c>
      <c r="O14" s="245">
        <f t="shared" si="5"/>
        <v>0</v>
      </c>
      <c r="P14" s="245">
        <f t="shared" si="6"/>
        <v>0</v>
      </c>
      <c r="Q14" s="245">
        <f t="shared" si="7"/>
        <v>0</v>
      </c>
      <c r="R14" s="243">
        <f t="shared" si="24"/>
        <v>1</v>
      </c>
      <c r="S14" s="122"/>
      <c r="T14" s="244">
        <f t="shared" si="9"/>
        <v>1.7776000000000001E-3</v>
      </c>
      <c r="U14" s="246">
        <f t="shared" si="14"/>
        <v>0.10878912</v>
      </c>
      <c r="V14" s="246">
        <f t="shared" si="15"/>
        <v>0</v>
      </c>
      <c r="W14" s="246">
        <f t="shared" si="16"/>
        <v>4.1000000000000002E-2</v>
      </c>
      <c r="X14" s="246">
        <f t="shared" si="17"/>
        <v>0</v>
      </c>
      <c r="Y14" s="246">
        <f t="shared" si="18"/>
        <v>0</v>
      </c>
      <c r="Z14" s="246">
        <f t="shared" si="10"/>
        <v>0.14978912</v>
      </c>
      <c r="AA14" s="247">
        <f t="shared" si="11"/>
        <v>0.11480088789102742</v>
      </c>
      <c r="AB14" s="122"/>
      <c r="AC14" s="244">
        <f t="shared" si="19"/>
        <v>0</v>
      </c>
      <c r="AD14" s="245">
        <f t="shared" si="20"/>
        <v>0</v>
      </c>
      <c r="AE14" s="245">
        <f t="shared" si="21"/>
        <v>617.1</v>
      </c>
      <c r="AF14" s="245">
        <f t="shared" si="22"/>
        <v>0</v>
      </c>
      <c r="AG14" s="245">
        <f t="shared" si="23"/>
        <v>0</v>
      </c>
      <c r="AH14" s="245">
        <f t="shared" si="12"/>
        <v>617.1</v>
      </c>
      <c r="AI14" s="247">
        <f t="shared" si="13"/>
        <v>472.95576552925223</v>
      </c>
      <c r="AK14" s="259"/>
      <c r="AL14" s="59"/>
    </row>
    <row r="15" spans="1:38">
      <c r="A15" s="122"/>
      <c r="B15" s="241">
        <v>11</v>
      </c>
      <c r="C15" s="248">
        <f>'Other parameters'!$D$17</f>
        <v>1.7776000000000001E-3</v>
      </c>
      <c r="D15" s="242">
        <f>'Other parameters'!$G$17</f>
        <v>61.2</v>
      </c>
      <c r="E15" s="248">
        <f t="shared" si="0"/>
        <v>4.194E-4</v>
      </c>
      <c r="F15" s="248">
        <f t="shared" si="1"/>
        <v>0</v>
      </c>
      <c r="G15" s="248">
        <f t="shared" si="2"/>
        <v>0</v>
      </c>
      <c r="H15" s="249">
        <f t="shared" si="3"/>
        <v>0.74409391489672516</v>
      </c>
      <c r="I15" s="122"/>
      <c r="J15" s="244">
        <v>0</v>
      </c>
      <c r="K15" s="245">
        <v>0</v>
      </c>
      <c r="L15" s="245">
        <v>0</v>
      </c>
      <c r="M15" s="245">
        <v>0</v>
      </c>
      <c r="N15" s="245">
        <f t="shared" si="4"/>
        <v>1</v>
      </c>
      <c r="O15" s="245">
        <f t="shared" si="5"/>
        <v>0</v>
      </c>
      <c r="P15" s="245">
        <f t="shared" si="6"/>
        <v>0</v>
      </c>
      <c r="Q15" s="245">
        <f t="shared" si="7"/>
        <v>0</v>
      </c>
      <c r="R15" s="243">
        <f t="shared" si="24"/>
        <v>1</v>
      </c>
      <c r="S15" s="122"/>
      <c r="T15" s="244">
        <f t="shared" si="9"/>
        <v>1.7776000000000001E-3</v>
      </c>
      <c r="U15" s="246">
        <f t="shared" si="14"/>
        <v>0.10878912</v>
      </c>
      <c r="V15" s="246">
        <f t="shared" si="15"/>
        <v>0</v>
      </c>
      <c r="W15" s="246">
        <f t="shared" si="16"/>
        <v>4.1000000000000002E-2</v>
      </c>
      <c r="X15" s="246">
        <f t="shared" si="17"/>
        <v>0</v>
      </c>
      <c r="Y15" s="246">
        <f t="shared" si="18"/>
        <v>0</v>
      </c>
      <c r="Z15" s="246">
        <f t="shared" si="10"/>
        <v>0.14978912</v>
      </c>
      <c r="AA15" s="247">
        <f t="shared" si="11"/>
        <v>0.11145717270973535</v>
      </c>
      <c r="AB15" s="122"/>
      <c r="AC15" s="244">
        <f t="shared" si="19"/>
        <v>0</v>
      </c>
      <c r="AD15" s="245">
        <f t="shared" si="20"/>
        <v>0</v>
      </c>
      <c r="AE15" s="245">
        <f t="shared" si="21"/>
        <v>617.1</v>
      </c>
      <c r="AF15" s="245">
        <f t="shared" si="22"/>
        <v>0</v>
      </c>
      <c r="AG15" s="245">
        <f t="shared" si="23"/>
        <v>0</v>
      </c>
      <c r="AH15" s="245">
        <f t="shared" si="12"/>
        <v>617.1</v>
      </c>
      <c r="AI15" s="247">
        <f t="shared" si="13"/>
        <v>459.18035488276911</v>
      </c>
      <c r="AK15" s="259"/>
      <c r="AL15" s="59"/>
    </row>
    <row r="16" spans="1:38">
      <c r="A16" s="122"/>
      <c r="B16" s="241">
        <v>12</v>
      </c>
      <c r="C16" s="248">
        <f>'Other parameters'!$D$17</f>
        <v>1.7776000000000001E-3</v>
      </c>
      <c r="D16" s="242">
        <f>'Other parameters'!$G$17</f>
        <v>61.2</v>
      </c>
      <c r="E16" s="248">
        <f t="shared" si="0"/>
        <v>4.194E-4</v>
      </c>
      <c r="F16" s="248">
        <f t="shared" si="1"/>
        <v>0.10631249999999999</v>
      </c>
      <c r="G16" s="248">
        <f t="shared" si="2"/>
        <v>0</v>
      </c>
      <c r="H16" s="249">
        <f t="shared" si="3"/>
        <v>0.72242127659876232</v>
      </c>
      <c r="I16" s="122"/>
      <c r="J16" s="244">
        <v>0</v>
      </c>
      <c r="K16" s="245">
        <v>0</v>
      </c>
      <c r="L16" s="245">
        <v>0</v>
      </c>
      <c r="M16" s="245">
        <v>0</v>
      </c>
      <c r="N16" s="245">
        <f t="shared" si="4"/>
        <v>1</v>
      </c>
      <c r="O16" s="245">
        <f t="shared" si="5"/>
        <v>0</v>
      </c>
      <c r="P16" s="245">
        <f t="shared" si="6"/>
        <v>0</v>
      </c>
      <c r="Q16" s="245">
        <f t="shared" si="7"/>
        <v>0</v>
      </c>
      <c r="R16" s="243">
        <f t="shared" si="24"/>
        <v>1</v>
      </c>
      <c r="S16" s="122"/>
      <c r="T16" s="244">
        <f t="shared" si="9"/>
        <v>1.7776000000000001E-3</v>
      </c>
      <c r="U16" s="246">
        <f t="shared" si="14"/>
        <v>0.10878912</v>
      </c>
      <c r="V16" s="246">
        <f t="shared" si="15"/>
        <v>0</v>
      </c>
      <c r="W16" s="246">
        <f t="shared" si="16"/>
        <v>4.1000000000000002E-2</v>
      </c>
      <c r="X16" s="246">
        <f t="shared" si="17"/>
        <v>0</v>
      </c>
      <c r="Y16" s="246">
        <f t="shared" si="18"/>
        <v>0</v>
      </c>
      <c r="Z16" s="246">
        <f t="shared" si="10"/>
        <v>0.14978912</v>
      </c>
      <c r="AA16" s="247">
        <f t="shared" si="11"/>
        <v>0.1082108472910052</v>
      </c>
      <c r="AB16" s="122"/>
      <c r="AC16" s="244">
        <f t="shared" si="19"/>
        <v>0</v>
      </c>
      <c r="AD16" s="245">
        <f t="shared" si="20"/>
        <v>0</v>
      </c>
      <c r="AE16" s="245">
        <f t="shared" si="21"/>
        <v>617.1</v>
      </c>
      <c r="AF16" s="245">
        <f t="shared" si="22"/>
        <v>0</v>
      </c>
      <c r="AG16" s="245">
        <f t="shared" si="23"/>
        <v>0</v>
      </c>
      <c r="AH16" s="245">
        <f t="shared" si="12"/>
        <v>617.1</v>
      </c>
      <c r="AI16" s="247">
        <f t="shared" si="13"/>
        <v>445.80616978909626</v>
      </c>
      <c r="AK16" s="259"/>
      <c r="AL16" s="59"/>
    </row>
    <row r="17" spans="1:38">
      <c r="A17" s="122"/>
      <c r="B17" s="241">
        <v>13</v>
      </c>
      <c r="C17" s="248">
        <f>'Other parameters'!$D$17</f>
        <v>1.7776000000000001E-3</v>
      </c>
      <c r="D17" s="242">
        <f>'Other parameters'!$G$17</f>
        <v>61.2</v>
      </c>
      <c r="E17" s="248">
        <f t="shared" si="0"/>
        <v>4.194E-4</v>
      </c>
      <c r="F17" s="248">
        <f t="shared" si="1"/>
        <v>0.10631249999999999</v>
      </c>
      <c r="G17" s="248">
        <f t="shared" si="2"/>
        <v>0</v>
      </c>
      <c r="H17" s="249">
        <f t="shared" si="3"/>
        <v>0.70137988019297326</v>
      </c>
      <c r="I17" s="122"/>
      <c r="J17" s="244">
        <v>0</v>
      </c>
      <c r="K17" s="245">
        <v>0</v>
      </c>
      <c r="L17" s="245">
        <v>0</v>
      </c>
      <c r="M17" s="245">
        <v>0</v>
      </c>
      <c r="N17" s="245">
        <f t="shared" si="4"/>
        <v>1</v>
      </c>
      <c r="O17" s="245">
        <f t="shared" si="5"/>
        <v>0</v>
      </c>
      <c r="P17" s="245">
        <f t="shared" si="6"/>
        <v>0</v>
      </c>
      <c r="Q17" s="245">
        <f t="shared" si="7"/>
        <v>0</v>
      </c>
      <c r="R17" s="243">
        <f t="shared" si="24"/>
        <v>1</v>
      </c>
      <c r="S17" s="122"/>
      <c r="T17" s="244">
        <f t="shared" si="9"/>
        <v>1.7776000000000001E-3</v>
      </c>
      <c r="U17" s="246">
        <f t="shared" si="14"/>
        <v>0.10878912</v>
      </c>
      <c r="V17" s="246">
        <f t="shared" si="15"/>
        <v>0</v>
      </c>
      <c r="W17" s="246">
        <f t="shared" si="16"/>
        <v>4.1000000000000002E-2</v>
      </c>
      <c r="X17" s="246">
        <f t="shared" si="17"/>
        <v>0</v>
      </c>
      <c r="Y17" s="246">
        <f t="shared" si="18"/>
        <v>0</v>
      </c>
      <c r="Z17" s="246">
        <f t="shared" si="10"/>
        <v>0.14978912</v>
      </c>
      <c r="AA17" s="247">
        <f t="shared" si="11"/>
        <v>0.10505907503981089</v>
      </c>
      <c r="AB17" s="122"/>
      <c r="AC17" s="244">
        <f t="shared" si="19"/>
        <v>0</v>
      </c>
      <c r="AD17" s="245">
        <f t="shared" si="20"/>
        <v>0</v>
      </c>
      <c r="AE17" s="245">
        <f t="shared" si="21"/>
        <v>617.1</v>
      </c>
      <c r="AF17" s="245">
        <f t="shared" si="22"/>
        <v>0</v>
      </c>
      <c r="AG17" s="245">
        <f t="shared" si="23"/>
        <v>0</v>
      </c>
      <c r="AH17" s="245">
        <f t="shared" si="12"/>
        <v>617.1</v>
      </c>
      <c r="AI17" s="247">
        <f t="shared" si="13"/>
        <v>432.82152406708383</v>
      </c>
      <c r="AK17" s="259"/>
      <c r="AL17" s="59"/>
    </row>
    <row r="18" spans="1:38">
      <c r="A18" s="122"/>
      <c r="B18" s="241">
        <v>14</v>
      </c>
      <c r="C18" s="248">
        <f>'Other parameters'!$D$17</f>
        <v>1.7776000000000001E-3</v>
      </c>
      <c r="D18" s="242">
        <f>'Other parameters'!$G$17</f>
        <v>61.2</v>
      </c>
      <c r="E18" s="248">
        <f t="shared" si="0"/>
        <v>4.194E-4</v>
      </c>
      <c r="F18" s="248">
        <f t="shared" si="1"/>
        <v>0.10631249999999999</v>
      </c>
      <c r="G18" s="248">
        <f t="shared" si="2"/>
        <v>0</v>
      </c>
      <c r="H18" s="249">
        <f t="shared" si="3"/>
        <v>0.68095133999317792</v>
      </c>
      <c r="I18" s="122"/>
      <c r="J18" s="244">
        <v>0</v>
      </c>
      <c r="K18" s="245">
        <v>0</v>
      </c>
      <c r="L18" s="245">
        <v>0</v>
      </c>
      <c r="M18" s="245">
        <v>0</v>
      </c>
      <c r="N18" s="245">
        <f t="shared" si="4"/>
        <v>1</v>
      </c>
      <c r="O18" s="245">
        <f t="shared" si="5"/>
        <v>0</v>
      </c>
      <c r="P18" s="245">
        <f t="shared" si="6"/>
        <v>0</v>
      </c>
      <c r="Q18" s="245">
        <f t="shared" si="7"/>
        <v>0</v>
      </c>
      <c r="R18" s="243">
        <f t="shared" si="24"/>
        <v>1</v>
      </c>
      <c r="S18" s="122"/>
      <c r="T18" s="244">
        <f t="shared" si="9"/>
        <v>1.7776000000000001E-3</v>
      </c>
      <c r="U18" s="246">
        <f t="shared" si="14"/>
        <v>0.10878912</v>
      </c>
      <c r="V18" s="246">
        <f t="shared" si="15"/>
        <v>0</v>
      </c>
      <c r="W18" s="246">
        <f t="shared" si="16"/>
        <v>4.1000000000000002E-2</v>
      </c>
      <c r="X18" s="246">
        <f t="shared" si="17"/>
        <v>0</v>
      </c>
      <c r="Y18" s="246">
        <f t="shared" si="18"/>
        <v>0</v>
      </c>
      <c r="Z18" s="246">
        <f t="shared" si="10"/>
        <v>0.14978912</v>
      </c>
      <c r="AA18" s="247">
        <f t="shared" si="11"/>
        <v>0.10199910198039892</v>
      </c>
      <c r="AB18" s="122"/>
      <c r="AC18" s="244">
        <f t="shared" si="19"/>
        <v>0</v>
      </c>
      <c r="AD18" s="245">
        <f t="shared" si="20"/>
        <v>0</v>
      </c>
      <c r="AE18" s="245">
        <f t="shared" si="21"/>
        <v>617.1</v>
      </c>
      <c r="AF18" s="245">
        <f t="shared" si="22"/>
        <v>0</v>
      </c>
      <c r="AG18" s="245">
        <f t="shared" si="23"/>
        <v>0</v>
      </c>
      <c r="AH18" s="245">
        <f t="shared" si="12"/>
        <v>617.1</v>
      </c>
      <c r="AI18" s="247">
        <f t="shared" si="13"/>
        <v>420.21507190979008</v>
      </c>
      <c r="AK18" s="259"/>
      <c r="AL18" s="59"/>
    </row>
    <row r="19" spans="1:38">
      <c r="A19" s="122"/>
      <c r="B19" s="241">
        <v>15</v>
      </c>
      <c r="C19" s="248">
        <f>'Other parameters'!$D$18</f>
        <v>1.9608E-3</v>
      </c>
      <c r="D19" s="242">
        <f>'Other parameters'!$G$18</f>
        <v>56.7</v>
      </c>
      <c r="E19" s="248">
        <f t="shared" si="0"/>
        <v>4.194E-4</v>
      </c>
      <c r="F19" s="248">
        <f t="shared" si="1"/>
        <v>0.10631249999999999</v>
      </c>
      <c r="G19" s="248">
        <f t="shared" si="2"/>
        <v>0</v>
      </c>
      <c r="H19" s="249">
        <f t="shared" si="3"/>
        <v>0.66111780581861923</v>
      </c>
      <c r="I19" s="122"/>
      <c r="J19" s="244">
        <v>0</v>
      </c>
      <c r="K19" s="245">
        <v>0</v>
      </c>
      <c r="L19" s="245">
        <v>0</v>
      </c>
      <c r="M19" s="245">
        <v>0</v>
      </c>
      <c r="N19" s="245">
        <f t="shared" si="4"/>
        <v>1</v>
      </c>
      <c r="O19" s="245">
        <f t="shared" si="5"/>
        <v>0</v>
      </c>
      <c r="P19" s="245">
        <f t="shared" si="6"/>
        <v>0</v>
      </c>
      <c r="Q19" s="245">
        <f t="shared" si="7"/>
        <v>0</v>
      </c>
      <c r="R19" s="243">
        <f t="shared" si="24"/>
        <v>1</v>
      </c>
      <c r="S19" s="250"/>
      <c r="T19" s="244">
        <f t="shared" si="9"/>
        <v>1.9608E-3</v>
      </c>
      <c r="U19" s="246">
        <f t="shared" si="14"/>
        <v>0.11117736</v>
      </c>
      <c r="V19" s="246">
        <f t="shared" si="15"/>
        <v>0</v>
      </c>
      <c r="W19" s="246">
        <f t="shared" si="16"/>
        <v>4.1000000000000002E-2</v>
      </c>
      <c r="X19" s="246">
        <f t="shared" si="17"/>
        <v>0</v>
      </c>
      <c r="Y19" s="246">
        <f t="shared" si="18"/>
        <v>0</v>
      </c>
      <c r="Z19" s="246">
        <f t="shared" si="10"/>
        <v>0.15217736000000001</v>
      </c>
      <c r="AA19" s="247">
        <f t="shared" si="11"/>
        <v>0.10060716233847013</v>
      </c>
      <c r="AB19" s="122"/>
      <c r="AC19" s="244">
        <f t="shared" si="19"/>
        <v>0</v>
      </c>
      <c r="AD19" s="245">
        <f t="shared" si="20"/>
        <v>0</v>
      </c>
      <c r="AE19" s="245">
        <f t="shared" si="21"/>
        <v>617.1</v>
      </c>
      <c r="AF19" s="245">
        <f t="shared" si="22"/>
        <v>0</v>
      </c>
      <c r="AG19" s="245">
        <f t="shared" si="23"/>
        <v>0</v>
      </c>
      <c r="AH19" s="245">
        <f t="shared" si="12"/>
        <v>617.1</v>
      </c>
      <c r="AI19" s="247">
        <f t="shared" si="13"/>
        <v>407.97579797066993</v>
      </c>
      <c r="AK19" s="259"/>
      <c r="AL19" s="59"/>
    </row>
    <row r="20" spans="1:38">
      <c r="A20" s="122"/>
      <c r="B20" s="241">
        <v>16</v>
      </c>
      <c r="C20" s="248">
        <f>'Other parameters'!$D$18</f>
        <v>1.9608E-3</v>
      </c>
      <c r="D20" s="242">
        <f>'Other parameters'!$G$18</f>
        <v>56.7</v>
      </c>
      <c r="E20" s="248">
        <f t="shared" ref="E20:E39" si="25">IF(B20&lt;rf1age,0,(pA1_3p*EXP(-0.1*(B20-$B$19))))</f>
        <v>3.7948881312428143E-4</v>
      </c>
      <c r="F20" s="248">
        <f t="shared" si="1"/>
        <v>0.10631249999999999</v>
      </c>
      <c r="G20" s="248">
        <f t="shared" si="2"/>
        <v>0</v>
      </c>
      <c r="H20" s="249">
        <f t="shared" si="3"/>
        <v>0.64186194739671765</v>
      </c>
      <c r="I20" s="122"/>
      <c r="J20" s="244">
        <v>0</v>
      </c>
      <c r="K20" s="245">
        <v>0</v>
      </c>
      <c r="L20" s="245">
        <v>0</v>
      </c>
      <c r="M20" s="245">
        <v>0</v>
      </c>
      <c r="N20" s="245">
        <f t="shared" si="4"/>
        <v>1</v>
      </c>
      <c r="O20" s="245">
        <f t="shared" si="5"/>
        <v>0</v>
      </c>
      <c r="P20" s="245">
        <f t="shared" si="6"/>
        <v>0</v>
      </c>
      <c r="Q20" s="245">
        <f t="shared" si="7"/>
        <v>0</v>
      </c>
      <c r="R20" s="243">
        <f t="shared" si="24"/>
        <v>1</v>
      </c>
      <c r="S20" s="250"/>
      <c r="T20" s="244">
        <f t="shared" si="9"/>
        <v>1.9608E-3</v>
      </c>
      <c r="U20" s="246">
        <f t="shared" si="14"/>
        <v>0.11117736</v>
      </c>
      <c r="V20" s="246">
        <f t="shared" si="15"/>
        <v>0</v>
      </c>
      <c r="W20" s="246">
        <f t="shared" si="16"/>
        <v>4.1000000000000002E-2</v>
      </c>
      <c r="X20" s="246">
        <f t="shared" si="17"/>
        <v>0</v>
      </c>
      <c r="Y20" s="246">
        <f t="shared" si="18"/>
        <v>0</v>
      </c>
      <c r="Z20" s="246">
        <f t="shared" si="10"/>
        <v>0.15217736000000001</v>
      </c>
      <c r="AA20" s="247">
        <f t="shared" si="11"/>
        <v>9.7676856639291376E-2</v>
      </c>
      <c r="AB20" s="122"/>
      <c r="AC20" s="244">
        <f t="shared" si="19"/>
        <v>0</v>
      </c>
      <c r="AD20" s="245">
        <f t="shared" si="20"/>
        <v>0</v>
      </c>
      <c r="AE20" s="245">
        <f t="shared" si="21"/>
        <v>617.1</v>
      </c>
      <c r="AF20" s="245">
        <f t="shared" si="22"/>
        <v>0</v>
      </c>
      <c r="AG20" s="245">
        <f t="shared" si="23"/>
        <v>0</v>
      </c>
      <c r="AH20" s="245">
        <f t="shared" si="12"/>
        <v>617.1</v>
      </c>
      <c r="AI20" s="247">
        <f t="shared" si="13"/>
        <v>396.09300773851447</v>
      </c>
      <c r="AK20" s="259"/>
      <c r="AL20" s="59"/>
    </row>
    <row r="21" spans="1:38">
      <c r="A21" s="122"/>
      <c r="B21" s="241">
        <v>17</v>
      </c>
      <c r="C21" s="248">
        <f>'Other parameters'!$D$18</f>
        <v>1.9608E-3</v>
      </c>
      <c r="D21" s="242">
        <f>'Other parameters'!$G$18</f>
        <v>56.7</v>
      </c>
      <c r="E21" s="248">
        <f t="shared" si="25"/>
        <v>3.4337567784090557E-4</v>
      </c>
      <c r="F21" s="248">
        <f t="shared" si="1"/>
        <v>0.10631249999999999</v>
      </c>
      <c r="G21" s="248">
        <f t="shared" si="2"/>
        <v>0</v>
      </c>
      <c r="H21" s="249">
        <f t="shared" si="3"/>
        <v>0.62316693922011435</v>
      </c>
      <c r="I21" s="122"/>
      <c r="J21" s="244">
        <v>0</v>
      </c>
      <c r="K21" s="245">
        <v>0</v>
      </c>
      <c r="L21" s="245">
        <v>0</v>
      </c>
      <c r="M21" s="245">
        <v>0</v>
      </c>
      <c r="N21" s="245">
        <f t="shared" si="4"/>
        <v>1</v>
      </c>
      <c r="O21" s="245">
        <f t="shared" si="5"/>
        <v>0</v>
      </c>
      <c r="P21" s="245">
        <f t="shared" si="6"/>
        <v>0</v>
      </c>
      <c r="Q21" s="245">
        <f t="shared" si="7"/>
        <v>0</v>
      </c>
      <c r="R21" s="243">
        <f t="shared" si="24"/>
        <v>1</v>
      </c>
      <c r="S21" s="250"/>
      <c r="T21" s="244">
        <f t="shared" si="9"/>
        <v>1.9608E-3</v>
      </c>
      <c r="U21" s="246">
        <f t="shared" si="14"/>
        <v>0.11117736</v>
      </c>
      <c r="V21" s="246">
        <f t="shared" si="15"/>
        <v>0</v>
      </c>
      <c r="W21" s="246">
        <f t="shared" si="16"/>
        <v>4.1000000000000002E-2</v>
      </c>
      <c r="X21" s="246">
        <f t="shared" si="17"/>
        <v>0</v>
      </c>
      <c r="Y21" s="246">
        <f t="shared" si="18"/>
        <v>0</v>
      </c>
      <c r="Z21" s="246">
        <f t="shared" si="10"/>
        <v>0.15217736000000001</v>
      </c>
      <c r="AA21" s="247">
        <f t="shared" si="11"/>
        <v>9.4831899649797463E-2</v>
      </c>
      <c r="AB21" s="122"/>
      <c r="AC21" s="244">
        <f t="shared" si="19"/>
        <v>0</v>
      </c>
      <c r="AD21" s="245">
        <f t="shared" si="20"/>
        <v>0</v>
      </c>
      <c r="AE21" s="245">
        <f t="shared" si="21"/>
        <v>617.1</v>
      </c>
      <c r="AF21" s="245">
        <f t="shared" si="22"/>
        <v>0</v>
      </c>
      <c r="AG21" s="245">
        <f t="shared" si="23"/>
        <v>0</v>
      </c>
      <c r="AH21" s="245">
        <f t="shared" si="12"/>
        <v>617.1</v>
      </c>
      <c r="AI21" s="247">
        <f t="shared" si="13"/>
        <v>384.55631819273259</v>
      </c>
      <c r="AK21" s="259"/>
      <c r="AL21" s="59"/>
    </row>
    <row r="22" spans="1:38">
      <c r="A22" s="122"/>
      <c r="B22" s="241">
        <v>18</v>
      </c>
      <c r="C22" s="248">
        <f>'Other parameters'!$D$18</f>
        <v>1.9608E-3</v>
      </c>
      <c r="D22" s="242">
        <f>'Other parameters'!$G$18</f>
        <v>56.7</v>
      </c>
      <c r="E22" s="248">
        <f t="shared" si="25"/>
        <v>3.1069916175391246E-4</v>
      </c>
      <c r="F22" s="248">
        <f t="shared" si="1"/>
        <v>0.10631249999999999</v>
      </c>
      <c r="G22" s="248">
        <f t="shared" si="2"/>
        <v>0</v>
      </c>
      <c r="H22" s="249">
        <f t="shared" si="3"/>
        <v>0.60501644584477121</v>
      </c>
      <c r="I22" s="122"/>
      <c r="J22" s="244">
        <v>0</v>
      </c>
      <c r="K22" s="245">
        <v>0</v>
      </c>
      <c r="L22" s="245">
        <v>0</v>
      </c>
      <c r="M22" s="245">
        <v>0</v>
      </c>
      <c r="N22" s="245">
        <f t="shared" si="4"/>
        <v>1</v>
      </c>
      <c r="O22" s="245">
        <f t="shared" si="5"/>
        <v>0</v>
      </c>
      <c r="P22" s="245">
        <f t="shared" si="6"/>
        <v>0</v>
      </c>
      <c r="Q22" s="245">
        <f t="shared" si="7"/>
        <v>0</v>
      </c>
      <c r="R22" s="243">
        <f t="shared" si="24"/>
        <v>1</v>
      </c>
      <c r="S22" s="250"/>
      <c r="T22" s="244">
        <f t="shared" si="9"/>
        <v>1.9608E-3</v>
      </c>
      <c r="U22" s="246">
        <f t="shared" si="14"/>
        <v>0.11117736</v>
      </c>
      <c r="V22" s="246">
        <f t="shared" si="15"/>
        <v>0</v>
      </c>
      <c r="W22" s="246">
        <f t="shared" si="16"/>
        <v>4.1000000000000002E-2</v>
      </c>
      <c r="X22" s="246">
        <f t="shared" si="17"/>
        <v>0</v>
      </c>
      <c r="Y22" s="246">
        <f t="shared" si="18"/>
        <v>0</v>
      </c>
      <c r="Z22" s="246">
        <f t="shared" si="10"/>
        <v>0.15217736000000001</v>
      </c>
      <c r="AA22" s="247">
        <f t="shared" si="11"/>
        <v>9.2069805485240255E-2</v>
      </c>
      <c r="AB22" s="122"/>
      <c r="AC22" s="244">
        <f t="shared" si="19"/>
        <v>0</v>
      </c>
      <c r="AD22" s="245">
        <f t="shared" si="20"/>
        <v>0</v>
      </c>
      <c r="AE22" s="245">
        <f t="shared" si="21"/>
        <v>617.1</v>
      </c>
      <c r="AF22" s="245">
        <f t="shared" si="22"/>
        <v>0</v>
      </c>
      <c r="AG22" s="245">
        <f t="shared" si="23"/>
        <v>0</v>
      </c>
      <c r="AH22" s="245">
        <f t="shared" si="12"/>
        <v>617.1</v>
      </c>
      <c r="AI22" s="247">
        <f t="shared" si="13"/>
        <v>373.35564873080835</v>
      </c>
      <c r="AK22" s="259"/>
      <c r="AL22" s="59"/>
    </row>
    <row r="23" spans="1:38">
      <c r="A23" s="122"/>
      <c r="B23" s="241">
        <v>19</v>
      </c>
      <c r="C23" s="248">
        <f>'Other parameters'!$D$18</f>
        <v>1.9608E-3</v>
      </c>
      <c r="D23" s="242">
        <f>'Other parameters'!$G$18</f>
        <v>56.7</v>
      </c>
      <c r="E23" s="248">
        <f t="shared" si="25"/>
        <v>2.8113222730734712E-4</v>
      </c>
      <c r="F23" s="248">
        <f t="shared" si="1"/>
        <v>0.10631249999999999</v>
      </c>
      <c r="G23" s="248">
        <f t="shared" si="2"/>
        <v>0</v>
      </c>
      <c r="H23" s="249">
        <f t="shared" si="3"/>
        <v>0.5873946076162827</v>
      </c>
      <c r="I23" s="122"/>
      <c r="J23" s="244">
        <v>0</v>
      </c>
      <c r="K23" s="245">
        <v>0</v>
      </c>
      <c r="L23" s="245">
        <v>0</v>
      </c>
      <c r="M23" s="245">
        <v>0</v>
      </c>
      <c r="N23" s="245">
        <f t="shared" si="4"/>
        <v>1</v>
      </c>
      <c r="O23" s="245">
        <f t="shared" si="5"/>
        <v>0</v>
      </c>
      <c r="P23" s="245">
        <f t="shared" si="6"/>
        <v>0</v>
      </c>
      <c r="Q23" s="245">
        <f t="shared" si="7"/>
        <v>0</v>
      </c>
      <c r="R23" s="243">
        <f t="shared" si="24"/>
        <v>1</v>
      </c>
      <c r="S23" s="250"/>
      <c r="T23" s="244">
        <f t="shared" si="9"/>
        <v>1.9608E-3</v>
      </c>
      <c r="U23" s="246">
        <f t="shared" si="14"/>
        <v>0.11117736</v>
      </c>
      <c r="V23" s="246">
        <f t="shared" si="15"/>
        <v>0</v>
      </c>
      <c r="W23" s="246">
        <f t="shared" si="16"/>
        <v>4.1000000000000002E-2</v>
      </c>
      <c r="X23" s="246">
        <f t="shared" si="17"/>
        <v>0</v>
      </c>
      <c r="Y23" s="246">
        <f t="shared" si="18"/>
        <v>0</v>
      </c>
      <c r="Z23" s="246">
        <f t="shared" si="10"/>
        <v>0.15217736000000001</v>
      </c>
      <c r="AA23" s="247">
        <f t="shared" si="11"/>
        <v>8.9388160665281796E-2</v>
      </c>
      <c r="AB23" s="122"/>
      <c r="AC23" s="244">
        <f t="shared" si="19"/>
        <v>0</v>
      </c>
      <c r="AD23" s="245">
        <f t="shared" si="20"/>
        <v>0</v>
      </c>
      <c r="AE23" s="245">
        <f t="shared" si="21"/>
        <v>617.1</v>
      </c>
      <c r="AF23" s="245">
        <f t="shared" si="22"/>
        <v>0</v>
      </c>
      <c r="AG23" s="245">
        <f t="shared" si="23"/>
        <v>0</v>
      </c>
      <c r="AH23" s="245">
        <f t="shared" si="12"/>
        <v>617.1</v>
      </c>
      <c r="AI23" s="247">
        <f t="shared" si="13"/>
        <v>362.48121236000804</v>
      </c>
      <c r="AK23" s="259"/>
      <c r="AL23" s="59"/>
    </row>
    <row r="24" spans="1:38">
      <c r="A24" s="122"/>
      <c r="B24" s="241">
        <v>20</v>
      </c>
      <c r="C24" s="248">
        <f>'Other parameters'!$D$19</f>
        <v>2.3103999999999998E-3</v>
      </c>
      <c r="D24" s="242">
        <f>'Other parameters'!$G$19</f>
        <v>52.3</v>
      </c>
      <c r="E24" s="248">
        <f t="shared" si="25"/>
        <v>2.5437895868347845E-4</v>
      </c>
      <c r="F24" s="248">
        <f t="shared" si="1"/>
        <v>0.10631249999999999</v>
      </c>
      <c r="G24" s="248">
        <f t="shared" si="2"/>
        <v>0</v>
      </c>
      <c r="H24" s="249">
        <f t="shared" si="3"/>
        <v>0.57028602681192497</v>
      </c>
      <c r="I24" s="122"/>
      <c r="J24" s="244">
        <v>0</v>
      </c>
      <c r="K24" s="245">
        <v>0</v>
      </c>
      <c r="L24" s="245">
        <v>0</v>
      </c>
      <c r="M24" s="245">
        <v>0</v>
      </c>
      <c r="N24" s="245">
        <f t="shared" si="4"/>
        <v>1</v>
      </c>
      <c r="O24" s="245">
        <f t="shared" si="5"/>
        <v>0</v>
      </c>
      <c r="P24" s="245">
        <f t="shared" si="6"/>
        <v>0</v>
      </c>
      <c r="Q24" s="245">
        <f t="shared" si="7"/>
        <v>0</v>
      </c>
      <c r="R24" s="243">
        <f t="shared" si="24"/>
        <v>1</v>
      </c>
      <c r="S24" s="250"/>
      <c r="T24" s="244">
        <f t="shared" si="9"/>
        <v>2.3103999999999998E-3</v>
      </c>
      <c r="U24" s="246">
        <f t="shared" si="14"/>
        <v>0.12083391999999998</v>
      </c>
      <c r="V24" s="246">
        <f t="shared" si="15"/>
        <v>0</v>
      </c>
      <c r="W24" s="246">
        <f t="shared" si="16"/>
        <v>4.1000000000000002E-2</v>
      </c>
      <c r="X24" s="246">
        <f t="shared" si="17"/>
        <v>0</v>
      </c>
      <c r="Y24" s="246">
        <f t="shared" si="18"/>
        <v>0</v>
      </c>
      <c r="Z24" s="246">
        <f t="shared" si="10"/>
        <v>0.16183391999999999</v>
      </c>
      <c r="AA24" s="247">
        <f t="shared" si="11"/>
        <v>9.2291623240198919E-2</v>
      </c>
      <c r="AB24" s="122"/>
      <c r="AC24" s="244">
        <f t="shared" si="19"/>
        <v>0</v>
      </c>
      <c r="AD24" s="245">
        <f t="shared" si="20"/>
        <v>0</v>
      </c>
      <c r="AE24" s="245">
        <f t="shared" si="21"/>
        <v>617.1</v>
      </c>
      <c r="AF24" s="245">
        <f t="shared" si="22"/>
        <v>0</v>
      </c>
      <c r="AG24" s="245">
        <f t="shared" si="23"/>
        <v>0</v>
      </c>
      <c r="AH24" s="245">
        <f t="shared" si="12"/>
        <v>617.1</v>
      </c>
      <c r="AI24" s="247">
        <f t="shared" si="13"/>
        <v>351.92350714563889</v>
      </c>
      <c r="AK24" s="259"/>
      <c r="AL24" s="59"/>
    </row>
    <row r="25" spans="1:38">
      <c r="A25" s="122"/>
      <c r="B25" s="241">
        <v>21</v>
      </c>
      <c r="C25" s="248">
        <f>'Other parameters'!$D$19</f>
        <v>2.3103999999999998E-3</v>
      </c>
      <c r="D25" s="242">
        <f>'Other parameters'!$G$19</f>
        <v>52.3</v>
      </c>
      <c r="E25" s="248">
        <f t="shared" si="25"/>
        <v>2.3017160017783467E-4</v>
      </c>
      <c r="F25" s="248">
        <f t="shared" si="1"/>
        <v>0.10631249999999999</v>
      </c>
      <c r="G25" s="248">
        <f t="shared" si="2"/>
        <v>0</v>
      </c>
      <c r="H25" s="249">
        <f t="shared" si="3"/>
        <v>0.55367575418633497</v>
      </c>
      <c r="I25" s="122"/>
      <c r="J25" s="244">
        <v>0</v>
      </c>
      <c r="K25" s="245">
        <v>0</v>
      </c>
      <c r="L25" s="245">
        <v>0</v>
      </c>
      <c r="M25" s="245">
        <v>0</v>
      </c>
      <c r="N25" s="245">
        <f t="shared" si="4"/>
        <v>1</v>
      </c>
      <c r="O25" s="245">
        <f t="shared" si="5"/>
        <v>0</v>
      </c>
      <c r="P25" s="245">
        <f t="shared" si="6"/>
        <v>0</v>
      </c>
      <c r="Q25" s="245">
        <f t="shared" si="7"/>
        <v>0</v>
      </c>
      <c r="R25" s="243">
        <f t="shared" si="24"/>
        <v>1</v>
      </c>
      <c r="S25" s="250"/>
      <c r="T25" s="244">
        <f t="shared" si="9"/>
        <v>2.3103999999999998E-3</v>
      </c>
      <c r="U25" s="246">
        <f t="shared" si="14"/>
        <v>0.12083391999999998</v>
      </c>
      <c r="V25" s="246">
        <f t="shared" si="15"/>
        <v>0</v>
      </c>
      <c r="W25" s="246">
        <f t="shared" si="16"/>
        <v>4.1000000000000002E-2</v>
      </c>
      <c r="X25" s="246">
        <f t="shared" si="17"/>
        <v>0</v>
      </c>
      <c r="Y25" s="246">
        <f t="shared" si="18"/>
        <v>0</v>
      </c>
      <c r="Z25" s="246">
        <f t="shared" si="10"/>
        <v>0.16183391999999999</v>
      </c>
      <c r="AA25" s="247">
        <f t="shared" si="11"/>
        <v>8.9603517708930991E-2</v>
      </c>
      <c r="AB25" s="122"/>
      <c r="AC25" s="244">
        <f t="shared" si="19"/>
        <v>0</v>
      </c>
      <c r="AD25" s="245">
        <f t="shared" si="20"/>
        <v>0</v>
      </c>
      <c r="AE25" s="245">
        <f t="shared" si="21"/>
        <v>617.1</v>
      </c>
      <c r="AF25" s="245">
        <f t="shared" si="22"/>
        <v>0</v>
      </c>
      <c r="AG25" s="245">
        <f t="shared" si="23"/>
        <v>0</v>
      </c>
      <c r="AH25" s="245">
        <f t="shared" si="12"/>
        <v>617.1</v>
      </c>
      <c r="AI25" s="247">
        <f t="shared" si="13"/>
        <v>341.6733079083873</v>
      </c>
      <c r="AK25" s="259"/>
      <c r="AL25" s="59"/>
    </row>
    <row r="26" spans="1:38">
      <c r="A26" s="122"/>
      <c r="B26" s="241">
        <v>22</v>
      </c>
      <c r="C26" s="248">
        <f>'Other parameters'!$D$19</f>
        <v>2.3103999999999998E-3</v>
      </c>
      <c r="D26" s="242">
        <f>'Other parameters'!$G$19</f>
        <v>52.3</v>
      </c>
      <c r="E26" s="248">
        <f t="shared" si="25"/>
        <v>2.0826787641011713E-4</v>
      </c>
      <c r="F26" s="248">
        <f t="shared" si="1"/>
        <v>0.10631249999999999</v>
      </c>
      <c r="G26" s="248">
        <f t="shared" si="2"/>
        <v>0</v>
      </c>
      <c r="H26" s="249">
        <f t="shared" si="3"/>
        <v>0.5375492759090631</v>
      </c>
      <c r="I26" s="122"/>
      <c r="J26" s="244">
        <v>0</v>
      </c>
      <c r="K26" s="245">
        <v>0</v>
      </c>
      <c r="L26" s="245">
        <v>0</v>
      </c>
      <c r="M26" s="245">
        <v>0</v>
      </c>
      <c r="N26" s="245">
        <f t="shared" si="4"/>
        <v>1</v>
      </c>
      <c r="O26" s="245">
        <f t="shared" si="5"/>
        <v>0</v>
      </c>
      <c r="P26" s="245">
        <f t="shared" si="6"/>
        <v>0</v>
      </c>
      <c r="Q26" s="245">
        <f t="shared" si="7"/>
        <v>0</v>
      </c>
      <c r="R26" s="243">
        <f t="shared" si="24"/>
        <v>1</v>
      </c>
      <c r="S26" s="250"/>
      <c r="T26" s="244">
        <f t="shared" si="9"/>
        <v>2.3103999999999998E-3</v>
      </c>
      <c r="U26" s="246">
        <f t="shared" si="14"/>
        <v>0.12083391999999998</v>
      </c>
      <c r="V26" s="246">
        <f t="shared" si="15"/>
        <v>0</v>
      </c>
      <c r="W26" s="246">
        <f t="shared" si="16"/>
        <v>4.1000000000000002E-2</v>
      </c>
      <c r="X26" s="246">
        <f t="shared" si="17"/>
        <v>0</v>
      </c>
      <c r="Y26" s="246">
        <f t="shared" si="18"/>
        <v>0</v>
      </c>
      <c r="Z26" s="246">
        <f t="shared" si="10"/>
        <v>0.16183391999999999</v>
      </c>
      <c r="AA26" s="247">
        <f t="shared" si="11"/>
        <v>8.699370651352524E-2</v>
      </c>
      <c r="AB26" s="122"/>
      <c r="AC26" s="244">
        <f t="shared" si="19"/>
        <v>0</v>
      </c>
      <c r="AD26" s="245">
        <f t="shared" si="20"/>
        <v>0</v>
      </c>
      <c r="AE26" s="245">
        <f t="shared" si="21"/>
        <v>617.1</v>
      </c>
      <c r="AF26" s="245">
        <f t="shared" si="22"/>
        <v>0</v>
      </c>
      <c r="AG26" s="245">
        <f t="shared" si="23"/>
        <v>0</v>
      </c>
      <c r="AH26" s="245">
        <f t="shared" si="12"/>
        <v>617.1</v>
      </c>
      <c r="AI26" s="247">
        <f t="shared" si="13"/>
        <v>331.72165816348286</v>
      </c>
      <c r="AK26" s="259"/>
      <c r="AL26" s="59"/>
    </row>
    <row r="27" spans="1:38">
      <c r="A27" s="122"/>
      <c r="B27" s="241">
        <v>23</v>
      </c>
      <c r="C27" s="248">
        <f>'Other parameters'!$D$19</f>
        <v>2.3103999999999998E-3</v>
      </c>
      <c r="D27" s="242">
        <f>'Other parameters'!$G$19</f>
        <v>52.3</v>
      </c>
      <c r="E27" s="248">
        <f t="shared" si="25"/>
        <v>1.8844856755076273E-4</v>
      </c>
      <c r="F27" s="248">
        <f t="shared" si="1"/>
        <v>0.10631249999999999</v>
      </c>
      <c r="G27" s="248">
        <f t="shared" si="2"/>
        <v>0</v>
      </c>
      <c r="H27" s="249">
        <f t="shared" si="3"/>
        <v>0.52189250088258554</v>
      </c>
      <c r="I27" s="122"/>
      <c r="J27" s="244">
        <v>0</v>
      </c>
      <c r="K27" s="245">
        <v>0</v>
      </c>
      <c r="L27" s="245">
        <v>0</v>
      </c>
      <c r="M27" s="245">
        <v>0</v>
      </c>
      <c r="N27" s="245">
        <f t="shared" si="4"/>
        <v>1</v>
      </c>
      <c r="O27" s="245">
        <f t="shared" si="5"/>
        <v>0</v>
      </c>
      <c r="P27" s="245">
        <f t="shared" si="6"/>
        <v>0</v>
      </c>
      <c r="Q27" s="245">
        <f t="shared" si="7"/>
        <v>0</v>
      </c>
      <c r="R27" s="243">
        <f t="shared" si="24"/>
        <v>1</v>
      </c>
      <c r="S27" s="250"/>
      <c r="T27" s="244">
        <f t="shared" si="9"/>
        <v>2.3103999999999998E-3</v>
      </c>
      <c r="U27" s="246">
        <f t="shared" si="14"/>
        <v>0.12083391999999998</v>
      </c>
      <c r="V27" s="246">
        <f t="shared" si="15"/>
        <v>0</v>
      </c>
      <c r="W27" s="246">
        <f t="shared" si="16"/>
        <v>4.1000000000000002E-2</v>
      </c>
      <c r="X27" s="246">
        <f t="shared" si="17"/>
        <v>0</v>
      </c>
      <c r="Y27" s="246">
        <f t="shared" si="18"/>
        <v>0</v>
      </c>
      <c r="Z27" s="246">
        <f t="shared" si="10"/>
        <v>0.16183391999999999</v>
      </c>
      <c r="AA27" s="247">
        <f t="shared" si="11"/>
        <v>8.4459909236432276E-2</v>
      </c>
      <c r="AB27" s="122"/>
      <c r="AC27" s="244">
        <f t="shared" si="19"/>
        <v>0</v>
      </c>
      <c r="AD27" s="245">
        <f t="shared" si="20"/>
        <v>0</v>
      </c>
      <c r="AE27" s="245">
        <f t="shared" si="21"/>
        <v>617.1</v>
      </c>
      <c r="AF27" s="245">
        <f t="shared" si="22"/>
        <v>0</v>
      </c>
      <c r="AG27" s="245">
        <f t="shared" si="23"/>
        <v>0</v>
      </c>
      <c r="AH27" s="245">
        <f t="shared" si="12"/>
        <v>617.1</v>
      </c>
      <c r="AI27" s="247">
        <f t="shared" si="13"/>
        <v>322.05986229464355</v>
      </c>
      <c r="AK27" s="259"/>
      <c r="AL27" s="59"/>
    </row>
    <row r="28" spans="1:38">
      <c r="A28" s="122"/>
      <c r="B28" s="241">
        <v>24</v>
      </c>
      <c r="C28" s="248">
        <f>'Other parameters'!$D$19</f>
        <v>2.3103999999999998E-3</v>
      </c>
      <c r="D28" s="242">
        <f>'Other parameters'!$G$19</f>
        <v>52.3</v>
      </c>
      <c r="E28" s="248">
        <f t="shared" si="25"/>
        <v>1.7051531529520728E-4</v>
      </c>
      <c r="F28" s="248">
        <f t="shared" si="1"/>
        <v>0.10631249999999999</v>
      </c>
      <c r="G28" s="248">
        <f t="shared" si="2"/>
        <v>0.76</v>
      </c>
      <c r="H28" s="249">
        <f t="shared" si="3"/>
        <v>0.50669174842969467</v>
      </c>
      <c r="I28" s="122"/>
      <c r="J28" s="244">
        <v>0</v>
      </c>
      <c r="K28" s="245">
        <v>0</v>
      </c>
      <c r="L28" s="245">
        <v>0</v>
      </c>
      <c r="M28" s="245">
        <v>0</v>
      </c>
      <c r="N28" s="245">
        <f t="shared" si="4"/>
        <v>0.9889711225391683</v>
      </c>
      <c r="O28" s="245">
        <f t="shared" si="5"/>
        <v>8.0231034247650879E-3</v>
      </c>
      <c r="P28" s="245">
        <f t="shared" si="6"/>
        <v>3.0057740360666108E-3</v>
      </c>
      <c r="Q28" s="245">
        <f t="shared" si="7"/>
        <v>0</v>
      </c>
      <c r="R28" s="243">
        <f t="shared" si="24"/>
        <v>1</v>
      </c>
      <c r="S28" s="250"/>
      <c r="T28" s="244">
        <f t="shared" si="9"/>
        <v>2.3103999999999998E-3</v>
      </c>
      <c r="U28" s="246">
        <f t="shared" si="14"/>
        <v>0.12083391999999998</v>
      </c>
      <c r="V28" s="246">
        <f t="shared" si="15"/>
        <v>0</v>
      </c>
      <c r="W28" s="246">
        <f t="shared" si="16"/>
        <v>4.0547816024105905E-2</v>
      </c>
      <c r="X28" s="246">
        <f t="shared" si="17"/>
        <v>1.4361355130329506E-3</v>
      </c>
      <c r="Y28" s="246">
        <f t="shared" si="18"/>
        <v>2.1040418252466278E-4</v>
      </c>
      <c r="Z28" s="246">
        <f t="shared" si="10"/>
        <v>0.1630282757196635</v>
      </c>
      <c r="AA28" s="247">
        <f t="shared" si="11"/>
        <v>8.2605082067874633E-2</v>
      </c>
      <c r="AB28" s="122"/>
      <c r="AC28" s="244">
        <f t="shared" si="19"/>
        <v>0</v>
      </c>
      <c r="AD28" s="245">
        <f t="shared" si="20"/>
        <v>0</v>
      </c>
      <c r="AE28" s="245">
        <f t="shared" si="21"/>
        <v>610.29407971892078</v>
      </c>
      <c r="AF28" s="245">
        <f t="shared" si="22"/>
        <v>7.6789122878426657</v>
      </c>
      <c r="AG28" s="245">
        <f t="shared" si="23"/>
        <v>1.8548631576567056</v>
      </c>
      <c r="AH28" s="245">
        <f t="shared" si="12"/>
        <v>619.82785516442016</v>
      </c>
      <c r="AI28" s="247">
        <f t="shared" si="13"/>
        <v>314.06165965868757</v>
      </c>
      <c r="AK28" s="259"/>
      <c r="AL28" s="59"/>
    </row>
    <row r="29" spans="1:38">
      <c r="A29" s="122"/>
      <c r="B29" s="241">
        <v>25</v>
      </c>
      <c r="C29" s="248">
        <f>'Other parameters'!$D$20</f>
        <v>2.8233999999999998E-3</v>
      </c>
      <c r="D29" s="242">
        <f>'Other parameters'!$G$20</f>
        <v>47.9</v>
      </c>
      <c r="E29" s="248">
        <f t="shared" si="25"/>
        <v>1.5428863762730291E-4</v>
      </c>
      <c r="F29" s="248">
        <f t="shared" ref="F29:F60" si="26">IF(B29&lt;rf2age,0,(pA2_3p*EXP(-0.1*(B29-$B$28))))</f>
        <v>9.6195528004947933E-2</v>
      </c>
      <c r="G29" s="248">
        <f t="shared" si="2"/>
        <v>0.76</v>
      </c>
      <c r="H29" s="249">
        <f t="shared" si="3"/>
        <v>0.49193373633950943</v>
      </c>
      <c r="I29" s="122"/>
      <c r="J29" s="244">
        <v>0</v>
      </c>
      <c r="K29" s="245">
        <v>0</v>
      </c>
      <c r="L29" s="245">
        <v>0</v>
      </c>
      <c r="M29" s="245">
        <v>0</v>
      </c>
      <c r="N29" s="245">
        <f t="shared" si="4"/>
        <v>0.98416143981920412</v>
      </c>
      <c r="O29" s="245">
        <f t="shared" si="5"/>
        <v>8.8572744940857585E-3</v>
      </c>
      <c r="P29" s="245">
        <f t="shared" si="6"/>
        <v>5.4764334945913689E-3</v>
      </c>
      <c r="Q29" s="245">
        <f t="shared" si="7"/>
        <v>1.50485219211876E-3</v>
      </c>
      <c r="R29" s="243">
        <f t="shared" si="24"/>
        <v>1</v>
      </c>
      <c r="S29" s="250"/>
      <c r="T29" s="244">
        <f t="shared" si="9"/>
        <v>4.3282521921187596E-3</v>
      </c>
      <c r="U29" s="246">
        <f t="shared" si="14"/>
        <v>0.20732328000248859</v>
      </c>
      <c r="V29" s="246">
        <f t="shared" si="15"/>
        <v>0</v>
      </c>
      <c r="W29" s="246">
        <f t="shared" si="16"/>
        <v>4.0350619032587368E-2</v>
      </c>
      <c r="X29" s="246">
        <f t="shared" si="17"/>
        <v>1.5854521344413506E-3</v>
      </c>
      <c r="Y29" s="246">
        <f t="shared" si="18"/>
        <v>3.8335034462139584E-4</v>
      </c>
      <c r="Z29" s="246">
        <f t="shared" si="10"/>
        <v>0.24964270151413873</v>
      </c>
      <c r="AA29" s="247">
        <f t="shared" si="11"/>
        <v>0.12280766690573917</v>
      </c>
      <c r="AB29" s="122"/>
      <c r="AC29" s="244">
        <f t="shared" si="19"/>
        <v>0</v>
      </c>
      <c r="AD29" s="245">
        <f t="shared" si="20"/>
        <v>0</v>
      </c>
      <c r="AE29" s="245">
        <f t="shared" si="21"/>
        <v>607.32602451243088</v>
      </c>
      <c r="AF29" s="245">
        <f t="shared" si="22"/>
        <v>8.4772974182894796</v>
      </c>
      <c r="AG29" s="245">
        <f t="shared" si="23"/>
        <v>3.3795071095123337</v>
      </c>
      <c r="AH29" s="245">
        <f t="shared" si="12"/>
        <v>619.18282904023272</v>
      </c>
      <c r="AI29" s="247">
        <f t="shared" si="13"/>
        <v>304.59692256702937</v>
      </c>
      <c r="AK29" s="259"/>
      <c r="AL29" s="59"/>
    </row>
    <row r="30" spans="1:38">
      <c r="A30" s="122"/>
      <c r="B30" s="241">
        <v>26</v>
      </c>
      <c r="C30" s="248">
        <f>'Other parameters'!$D$20</f>
        <v>2.8233999999999998E-3</v>
      </c>
      <c r="D30" s="242">
        <f>'Other parameters'!$G$20</f>
        <v>47.9</v>
      </c>
      <c r="E30" s="248">
        <f t="shared" si="25"/>
        <v>1.3960613250297457E-4</v>
      </c>
      <c r="F30" s="248">
        <f t="shared" si="26"/>
        <v>8.7041313186602937E-2</v>
      </c>
      <c r="G30" s="248">
        <f t="shared" si="2"/>
        <v>0.76</v>
      </c>
      <c r="H30" s="249">
        <f t="shared" si="3"/>
        <v>0.47760556926165965</v>
      </c>
      <c r="I30" s="122"/>
      <c r="J30" s="244">
        <v>0</v>
      </c>
      <c r="K30" s="245">
        <v>0</v>
      </c>
      <c r="L30" s="245">
        <v>0</v>
      </c>
      <c r="M30" s="245">
        <v>0</v>
      </c>
      <c r="N30" s="245">
        <f t="shared" si="4"/>
        <v>0.98003877251326765</v>
      </c>
      <c r="O30" s="245">
        <f t="shared" si="5"/>
        <v>8.9146155851550588E-3</v>
      </c>
      <c r="P30" s="245">
        <f t="shared" si="6"/>
        <v>7.5200360041011056E-3</v>
      </c>
      <c r="Q30" s="245">
        <f t="shared" si="7"/>
        <v>3.5265758974762388E-3</v>
      </c>
      <c r="R30" s="243">
        <f t="shared" si="24"/>
        <v>1</v>
      </c>
      <c r="S30" s="250"/>
      <c r="T30" s="244">
        <f t="shared" si="9"/>
        <v>4.8451237053574788E-3</v>
      </c>
      <c r="U30" s="246">
        <f t="shared" si="14"/>
        <v>0.23208142548662322</v>
      </c>
      <c r="V30" s="246">
        <f t="shared" si="15"/>
        <v>0</v>
      </c>
      <c r="W30" s="246">
        <f t="shared" si="16"/>
        <v>4.0181589673043978E-2</v>
      </c>
      <c r="X30" s="246">
        <f t="shared" si="17"/>
        <v>1.5957161897427554E-3</v>
      </c>
      <c r="Y30" s="246">
        <f t="shared" si="18"/>
        <v>5.2640252028707745E-4</v>
      </c>
      <c r="Z30" s="246">
        <f t="shared" si="10"/>
        <v>0.27438513386969704</v>
      </c>
      <c r="AA30" s="247">
        <f t="shared" si="11"/>
        <v>0.13104786805877333</v>
      </c>
      <c r="AB30" s="122"/>
      <c r="AC30" s="244">
        <f t="shared" si="19"/>
        <v>0</v>
      </c>
      <c r="AD30" s="245">
        <f t="shared" si="20"/>
        <v>0</v>
      </c>
      <c r="AE30" s="245">
        <f t="shared" si="21"/>
        <v>604.78192651793745</v>
      </c>
      <c r="AF30" s="245">
        <f t="shared" si="22"/>
        <v>8.5321785765519067</v>
      </c>
      <c r="AG30" s="245">
        <f t="shared" si="23"/>
        <v>4.6406142181307928</v>
      </c>
      <c r="AH30" s="245">
        <f t="shared" si="12"/>
        <v>617.95471931262023</v>
      </c>
      <c r="AI30" s="247">
        <f t="shared" si="13"/>
        <v>295.13861549523307</v>
      </c>
      <c r="AK30" s="259"/>
      <c r="AL30" s="59"/>
    </row>
    <row r="31" spans="1:38">
      <c r="A31" s="122"/>
      <c r="B31" s="241">
        <v>27</v>
      </c>
      <c r="C31" s="248">
        <f>'Other parameters'!$D$20</f>
        <v>2.8233999999999998E-3</v>
      </c>
      <c r="D31" s="242">
        <f>'Other parameters'!$G$20</f>
        <v>47.9</v>
      </c>
      <c r="E31" s="248">
        <f t="shared" si="25"/>
        <v>1.2632085247597753E-4</v>
      </c>
      <c r="F31" s="248">
        <f t="shared" si="26"/>
        <v>7.8758237086225119E-2</v>
      </c>
      <c r="G31" s="248">
        <f t="shared" si="2"/>
        <v>0.76</v>
      </c>
      <c r="H31" s="249">
        <f t="shared" si="3"/>
        <v>0.46369472743850448</v>
      </c>
      <c r="I31" s="122"/>
      <c r="J31" s="244">
        <v>0</v>
      </c>
      <c r="K31" s="245">
        <v>0</v>
      </c>
      <c r="L31" s="245">
        <v>0</v>
      </c>
      <c r="M31" s="245">
        <v>0</v>
      </c>
      <c r="N31" s="245">
        <f t="shared" si="4"/>
        <v>0.97600515282907274</v>
      </c>
      <c r="O31" s="245">
        <f t="shared" si="5"/>
        <v>8.8881332244466031E-3</v>
      </c>
      <c r="P31" s="245">
        <f t="shared" si="6"/>
        <v>9.2099650881751916E-3</v>
      </c>
      <c r="Q31" s="245">
        <f t="shared" si="7"/>
        <v>5.8967488583055059E-3</v>
      </c>
      <c r="R31" s="243">
        <f t="shared" si="24"/>
        <v>1</v>
      </c>
      <c r="S31" s="250"/>
      <c r="T31" s="244">
        <f t="shared" si="9"/>
        <v>5.1935729608292673E-3</v>
      </c>
      <c r="U31" s="246">
        <f t="shared" si="14"/>
        <v>0.2487721448237219</v>
      </c>
      <c r="V31" s="246">
        <f t="shared" si="15"/>
        <v>0</v>
      </c>
      <c r="W31" s="246">
        <f t="shared" si="16"/>
        <v>4.0016211265991981E-2</v>
      </c>
      <c r="X31" s="246">
        <f t="shared" si="17"/>
        <v>1.5909758471759419E-3</v>
      </c>
      <c r="Y31" s="246">
        <f t="shared" si="18"/>
        <v>6.4469755617226347E-4</v>
      </c>
      <c r="Z31" s="246">
        <f t="shared" si="10"/>
        <v>0.29102402949306205</v>
      </c>
      <c r="AA31" s="247">
        <f t="shared" si="11"/>
        <v>0.1349463080338407</v>
      </c>
      <c r="AB31" s="122"/>
      <c r="AC31" s="244">
        <f t="shared" si="19"/>
        <v>0</v>
      </c>
      <c r="AD31" s="245">
        <f t="shared" si="20"/>
        <v>0</v>
      </c>
      <c r="AE31" s="245">
        <f t="shared" si="21"/>
        <v>602.29277981082078</v>
      </c>
      <c r="AF31" s="245">
        <f t="shared" si="22"/>
        <v>8.5068323091178435</v>
      </c>
      <c r="AG31" s="245">
        <f t="shared" si="23"/>
        <v>5.6834694559129106</v>
      </c>
      <c r="AH31" s="245">
        <f t="shared" si="12"/>
        <v>616.48308157585154</v>
      </c>
      <c r="AI31" s="247">
        <f t="shared" si="13"/>
        <v>285.85995448176379</v>
      </c>
      <c r="AK31" s="259"/>
      <c r="AL31" s="59"/>
    </row>
    <row r="32" spans="1:38">
      <c r="A32" s="122"/>
      <c r="B32" s="241">
        <v>28</v>
      </c>
      <c r="C32" s="248">
        <f>'Other parameters'!$D$20</f>
        <v>2.8233999999999998E-3</v>
      </c>
      <c r="D32" s="242">
        <f>'Other parameters'!$G$20</f>
        <v>47.9</v>
      </c>
      <c r="E32" s="248">
        <f t="shared" si="25"/>
        <v>1.1429983399846488E-4</v>
      </c>
      <c r="F32" s="248">
        <f t="shared" si="26"/>
        <v>7.1263399894163901E-2</v>
      </c>
      <c r="G32" s="248">
        <f t="shared" si="2"/>
        <v>0.76</v>
      </c>
      <c r="H32" s="249">
        <f t="shared" si="3"/>
        <v>0.45018905576553836</v>
      </c>
      <c r="I32" s="122"/>
      <c r="J32" s="244">
        <v>0</v>
      </c>
      <c r="K32" s="245">
        <v>0</v>
      </c>
      <c r="L32" s="245">
        <v>0</v>
      </c>
      <c r="M32" s="245">
        <v>0</v>
      </c>
      <c r="N32" s="245">
        <f t="shared" si="4"/>
        <v>0.97199589284795995</v>
      </c>
      <c r="O32" s="245">
        <f t="shared" si="5"/>
        <v>8.8527256050626654E-3</v>
      </c>
      <c r="P32" s="245">
        <f t="shared" si="6"/>
        <v>1.0605551865890786E-2</v>
      </c>
      <c r="Q32" s="245">
        <f t="shared" si="7"/>
        <v>8.5458296810865877E-3</v>
      </c>
      <c r="R32" s="243">
        <f t="shared" si="24"/>
        <v>1</v>
      </c>
      <c r="S32" s="250"/>
      <c r="T32" s="244">
        <f t="shared" si="9"/>
        <v>5.4724808227810829E-3</v>
      </c>
      <c r="U32" s="246">
        <f t="shared" si="14"/>
        <v>0.26213183141121388</v>
      </c>
      <c r="V32" s="246">
        <f t="shared" si="15"/>
        <v>0</v>
      </c>
      <c r="W32" s="246">
        <f t="shared" si="16"/>
        <v>3.9851831606766357E-2</v>
      </c>
      <c r="X32" s="246">
        <f t="shared" si="17"/>
        <v>1.5846378833062171E-3</v>
      </c>
      <c r="Y32" s="246">
        <f t="shared" si="18"/>
        <v>7.4238863061235505E-4</v>
      </c>
      <c r="Z32" s="246">
        <f t="shared" si="10"/>
        <v>0.30431068953189883</v>
      </c>
      <c r="AA32" s="247">
        <f t="shared" si="11"/>
        <v>0.13699734197972543</v>
      </c>
      <c r="AB32" s="122"/>
      <c r="AC32" s="244">
        <f t="shared" si="19"/>
        <v>0</v>
      </c>
      <c r="AD32" s="245">
        <f t="shared" si="20"/>
        <v>0</v>
      </c>
      <c r="AE32" s="245">
        <f t="shared" si="21"/>
        <v>599.8186654764761</v>
      </c>
      <c r="AF32" s="245">
        <f t="shared" si="22"/>
        <v>8.4729436766054764</v>
      </c>
      <c r="AG32" s="245">
        <f t="shared" si="23"/>
        <v>6.5446860564412042</v>
      </c>
      <c r="AH32" s="245">
        <f t="shared" si="12"/>
        <v>614.83629520952275</v>
      </c>
      <c r="AI32" s="247">
        <f t="shared" si="13"/>
        <v>276.79257119075686</v>
      </c>
      <c r="AK32" s="259"/>
      <c r="AL32" s="59"/>
    </row>
    <row r="33" spans="1:38">
      <c r="A33" s="122"/>
      <c r="B33" s="241">
        <v>29</v>
      </c>
      <c r="C33" s="248">
        <f>'Other parameters'!$D$20</f>
        <v>2.8233999999999998E-3</v>
      </c>
      <c r="D33" s="242">
        <f>'Other parameters'!$G$20</f>
        <v>47.9</v>
      </c>
      <c r="E33" s="248">
        <f t="shared" si="25"/>
        <v>1.0342276667710974E-4</v>
      </c>
      <c r="F33" s="248">
        <f t="shared" si="26"/>
        <v>6.4481790760699334E-2</v>
      </c>
      <c r="G33" s="248">
        <f t="shared" si="2"/>
        <v>0.76</v>
      </c>
      <c r="H33" s="249">
        <f t="shared" si="3"/>
        <v>0.4370767531704256</v>
      </c>
      <c r="I33" s="122"/>
      <c r="J33" s="244">
        <v>0</v>
      </c>
      <c r="K33" s="245">
        <v>0</v>
      </c>
      <c r="L33" s="245">
        <v>0</v>
      </c>
      <c r="M33" s="245">
        <v>0</v>
      </c>
      <c r="N33" s="245">
        <f t="shared" si="4"/>
        <v>0.96800394071315576</v>
      </c>
      <c r="O33" s="245">
        <f t="shared" si="5"/>
        <v>8.8164870213482734E-3</v>
      </c>
      <c r="P33" s="245">
        <f t="shared" si="6"/>
        <v>1.1756024722172805E-2</v>
      </c>
      <c r="Q33" s="245">
        <f t="shared" si="7"/>
        <v>1.1423547543323182E-2</v>
      </c>
      <c r="R33" s="243">
        <f t="shared" si="24"/>
        <v>1</v>
      </c>
      <c r="S33" s="250"/>
      <c r="T33" s="244">
        <f t="shared" si="9"/>
        <v>5.701117862236595E-3</v>
      </c>
      <c r="U33" s="246">
        <f t="shared" si="14"/>
        <v>0.2730835456011329</v>
      </c>
      <c r="V33" s="246">
        <f t="shared" si="15"/>
        <v>0</v>
      </c>
      <c r="W33" s="246">
        <f t="shared" si="16"/>
        <v>3.9688161569239391E-2</v>
      </c>
      <c r="X33" s="246">
        <f t="shared" si="17"/>
        <v>1.5781511768213408E-3</v>
      </c>
      <c r="Y33" s="246">
        <f t="shared" si="18"/>
        <v>8.2292173055209636E-4</v>
      </c>
      <c r="Z33" s="246">
        <f t="shared" si="10"/>
        <v>0.31517278007774574</v>
      </c>
      <c r="AA33" s="247">
        <f t="shared" si="11"/>
        <v>0.1377546954040777</v>
      </c>
      <c r="AB33" s="122"/>
      <c r="AC33" s="244">
        <f t="shared" si="19"/>
        <v>0</v>
      </c>
      <c r="AD33" s="245">
        <f t="shared" si="20"/>
        <v>0</v>
      </c>
      <c r="AE33" s="245">
        <f t="shared" si="21"/>
        <v>597.35523181408848</v>
      </c>
      <c r="AF33" s="245">
        <f t="shared" si="22"/>
        <v>8.438259728132433</v>
      </c>
      <c r="AG33" s="245">
        <f t="shared" si="23"/>
        <v>7.254642856052838</v>
      </c>
      <c r="AH33" s="245">
        <f t="shared" si="12"/>
        <v>613.04813439827365</v>
      </c>
      <c r="AI33" s="247">
        <f t="shared" si="13"/>
        <v>267.94908811998414</v>
      </c>
      <c r="AK33" s="259"/>
      <c r="AL33" s="59"/>
    </row>
    <row r="34" spans="1:38">
      <c r="A34" s="122"/>
      <c r="B34" s="241">
        <v>30</v>
      </c>
      <c r="C34" s="248">
        <f>'Other parameters'!$D$21</f>
        <v>3.3604000000000004E-3</v>
      </c>
      <c r="D34" s="242">
        <f>'Other parameters'!$G$21</f>
        <v>43.5</v>
      </c>
      <c r="E34" s="248">
        <f t="shared" si="25"/>
        <v>9.3580789166251466E-5</v>
      </c>
      <c r="F34" s="248">
        <f t="shared" si="26"/>
        <v>5.8345537062246176E-2</v>
      </c>
      <c r="G34" s="248">
        <f t="shared" si="2"/>
        <v>0.76</v>
      </c>
      <c r="H34" s="249">
        <f t="shared" si="3"/>
        <v>0.42434636230138412</v>
      </c>
      <c r="I34" s="122"/>
      <c r="J34" s="244">
        <v>0</v>
      </c>
      <c r="K34" s="245">
        <v>0</v>
      </c>
      <c r="L34" s="245">
        <v>0</v>
      </c>
      <c r="M34" s="245">
        <v>0</v>
      </c>
      <c r="N34" s="245">
        <f t="shared" si="4"/>
        <v>0.96402847400565295</v>
      </c>
      <c r="O34" s="245">
        <f t="shared" si="5"/>
        <v>8.7802917393768731E-3</v>
      </c>
      <c r="P34" s="245">
        <f t="shared" si="6"/>
        <v>1.2702369705375711E-2</v>
      </c>
      <c r="Q34" s="245">
        <f t="shared" si="7"/>
        <v>1.4488864549594575E-2</v>
      </c>
      <c r="R34" s="243">
        <f t="shared" si="24"/>
        <v>1.0000000000000002</v>
      </c>
      <c r="S34" s="250"/>
      <c r="T34" s="244">
        <f t="shared" si="9"/>
        <v>6.4257170062713932E-3</v>
      </c>
      <c r="U34" s="246">
        <f t="shared" si="14"/>
        <v>0.27951868977280558</v>
      </c>
      <c r="V34" s="246">
        <f t="shared" si="15"/>
        <v>0</v>
      </c>
      <c r="W34" s="246">
        <f t="shared" si="16"/>
        <v>3.9525167434231775E-2</v>
      </c>
      <c r="X34" s="246">
        <f t="shared" si="17"/>
        <v>1.5716722213484603E-3</v>
      </c>
      <c r="Y34" s="246">
        <f t="shared" si="18"/>
        <v>8.8916587937629989E-4</v>
      </c>
      <c r="Z34" s="246">
        <f t="shared" si="10"/>
        <v>0.32150469530776216</v>
      </c>
      <c r="AA34" s="247">
        <f t="shared" si="11"/>
        <v>0.13642934791666375</v>
      </c>
      <c r="AB34" s="122"/>
      <c r="AC34" s="244">
        <f t="shared" si="19"/>
        <v>0</v>
      </c>
      <c r="AD34" s="245">
        <f t="shared" si="20"/>
        <v>0</v>
      </c>
      <c r="AE34" s="245">
        <f t="shared" si="21"/>
        <v>594.90197130888851</v>
      </c>
      <c r="AF34" s="245">
        <f t="shared" si="22"/>
        <v>8.403617223757605</v>
      </c>
      <c r="AG34" s="245">
        <f t="shared" si="23"/>
        <v>7.8386323451873512</v>
      </c>
      <c r="AH34" s="245">
        <f t="shared" si="12"/>
        <v>611.14422087783339</v>
      </c>
      <c r="AI34" s="247">
        <f t="shared" si="13"/>
        <v>259.33682697102222</v>
      </c>
      <c r="AK34" s="259"/>
      <c r="AL34" s="59"/>
    </row>
    <row r="35" spans="1:38">
      <c r="A35" s="122"/>
      <c r="B35" s="241">
        <v>31</v>
      </c>
      <c r="C35" s="248">
        <f>'Other parameters'!$D$21</f>
        <v>3.3604000000000004E-3</v>
      </c>
      <c r="D35" s="242">
        <f>'Other parameters'!$G$21</f>
        <v>43.5</v>
      </c>
      <c r="E35" s="248">
        <f t="shared" si="25"/>
        <v>8.4675399646958469E-5</v>
      </c>
      <c r="F35" s="248">
        <f t="shared" si="26"/>
        <v>5.2793225109324216E-2</v>
      </c>
      <c r="G35" s="248">
        <f t="shared" si="2"/>
        <v>0.76</v>
      </c>
      <c r="H35" s="249">
        <f t="shared" si="3"/>
        <v>0.41198675951590691</v>
      </c>
      <c r="I35" s="122"/>
      <c r="J35" s="244">
        <v>0</v>
      </c>
      <c r="K35" s="245">
        <v>0</v>
      </c>
      <c r="L35" s="245">
        <v>0</v>
      </c>
      <c r="M35" s="245">
        <v>0</v>
      </c>
      <c r="N35" s="245">
        <f t="shared" si="4"/>
        <v>0.96006934381901843</v>
      </c>
      <c r="O35" s="245">
        <f t="shared" si="5"/>
        <v>8.7442337013941551E-3</v>
      </c>
      <c r="P35" s="245">
        <f t="shared" si="6"/>
        <v>1.3478725721773072E-2</v>
      </c>
      <c r="Q35" s="245">
        <f t="shared" si="7"/>
        <v>1.7707696757814428E-2</v>
      </c>
      <c r="R35" s="243">
        <f t="shared" si="24"/>
        <v>1</v>
      </c>
      <c r="S35" s="250"/>
      <c r="T35" s="244">
        <f t="shared" si="9"/>
        <v>6.5792322082198536E-3</v>
      </c>
      <c r="U35" s="246">
        <f t="shared" si="14"/>
        <v>0.28619660105756362</v>
      </c>
      <c r="V35" s="246">
        <f t="shared" si="15"/>
        <v>0</v>
      </c>
      <c r="W35" s="246">
        <f t="shared" si="16"/>
        <v>3.936284309657976E-2</v>
      </c>
      <c r="X35" s="246">
        <f t="shared" si="17"/>
        <v>1.5652178325495536E-3</v>
      </c>
      <c r="Y35" s="246">
        <f t="shared" si="18"/>
        <v>9.4351080052411515E-4</v>
      </c>
      <c r="Z35" s="246">
        <f t="shared" si="10"/>
        <v>0.32806817278721706</v>
      </c>
      <c r="AA35" s="247">
        <f t="shared" si="11"/>
        <v>0.1351597434069102</v>
      </c>
      <c r="AB35" s="122"/>
      <c r="AC35" s="244">
        <f t="shared" si="19"/>
        <v>0</v>
      </c>
      <c r="AD35" s="245">
        <f t="shared" si="20"/>
        <v>0</v>
      </c>
      <c r="AE35" s="245">
        <f t="shared" si="21"/>
        <v>592.4587920707163</v>
      </c>
      <c r="AF35" s="245">
        <f t="shared" si="22"/>
        <v>8.3691060756043463</v>
      </c>
      <c r="AG35" s="245">
        <f t="shared" si="23"/>
        <v>8.3177216429061627</v>
      </c>
      <c r="AH35" s="245">
        <f t="shared" si="12"/>
        <v>609.14561978922677</v>
      </c>
      <c r="AI35" s="247">
        <f t="shared" si="13"/>
        <v>250.95992997027224</v>
      </c>
      <c r="AK35" s="259"/>
      <c r="AL35" s="59"/>
    </row>
    <row r="36" spans="1:38">
      <c r="A36" s="122"/>
      <c r="B36" s="241">
        <v>32</v>
      </c>
      <c r="C36" s="248">
        <f>'Other parameters'!$D$21</f>
        <v>3.3604000000000004E-3</v>
      </c>
      <c r="D36" s="242">
        <f>'Other parameters'!$G$21</f>
        <v>43.5</v>
      </c>
      <c r="E36" s="248">
        <f t="shared" si="25"/>
        <v>7.6617469987716891E-5</v>
      </c>
      <c r="F36" s="248">
        <f t="shared" si="26"/>
        <v>4.7769285497712116E-2</v>
      </c>
      <c r="G36" s="248">
        <f t="shared" si="2"/>
        <v>0.76</v>
      </c>
      <c r="H36" s="249">
        <f t="shared" si="3"/>
        <v>0.39998714516107459</v>
      </c>
      <c r="I36" s="122"/>
      <c r="J36" s="244">
        <v>0</v>
      </c>
      <c r="K36" s="245">
        <v>0</v>
      </c>
      <c r="L36" s="245">
        <v>0</v>
      </c>
      <c r="M36" s="245">
        <v>0</v>
      </c>
      <c r="N36" s="245">
        <f t="shared" si="4"/>
        <v>0.95612647428519693</v>
      </c>
      <c r="O36" s="245">
        <f t="shared" si="5"/>
        <v>8.7083225160666661E-3</v>
      </c>
      <c r="P36" s="245">
        <f t="shared" si="6"/>
        <v>1.4113530032711681E-2</v>
      </c>
      <c r="Q36" s="245">
        <f t="shared" si="7"/>
        <v>2.1051673166024801E-2</v>
      </c>
      <c r="R36" s="243">
        <f t="shared" si="24"/>
        <v>1</v>
      </c>
      <c r="S36" s="250"/>
      <c r="T36" s="244">
        <f t="shared" si="9"/>
        <v>6.7043764082103732E-3</v>
      </c>
      <c r="U36" s="246">
        <f t="shared" si="14"/>
        <v>0.29164037375715124</v>
      </c>
      <c r="V36" s="246">
        <f t="shared" si="15"/>
        <v>0</v>
      </c>
      <c r="W36" s="246">
        <f t="shared" si="16"/>
        <v>3.9201185445693072E-2</v>
      </c>
      <c r="X36" s="246">
        <f t="shared" si="17"/>
        <v>1.5587897303759332E-3</v>
      </c>
      <c r="Y36" s="246">
        <f t="shared" si="18"/>
        <v>9.8794710228981776E-4</v>
      </c>
      <c r="Z36" s="246">
        <f t="shared" si="10"/>
        <v>0.33338829603551007</v>
      </c>
      <c r="AA36" s="247">
        <f t="shared" si="11"/>
        <v>0.13335103276135887</v>
      </c>
      <c r="AB36" s="122"/>
      <c r="AC36" s="244">
        <f t="shared" si="19"/>
        <v>0</v>
      </c>
      <c r="AD36" s="245">
        <f t="shared" si="20"/>
        <v>0</v>
      </c>
      <c r="AE36" s="245">
        <f t="shared" si="21"/>
        <v>590.02564728139509</v>
      </c>
      <c r="AF36" s="245">
        <f t="shared" si="22"/>
        <v>8.3347354801274065</v>
      </c>
      <c r="AG36" s="245">
        <f t="shared" si="23"/>
        <v>8.7094593831863794</v>
      </c>
      <c r="AH36" s="245">
        <f t="shared" si="12"/>
        <v>607.0698421447089</v>
      </c>
      <c r="AI36" s="247">
        <f t="shared" si="13"/>
        <v>242.82013307284632</v>
      </c>
      <c r="AK36" s="259"/>
      <c r="AL36" s="59"/>
    </row>
    <row r="37" spans="1:38">
      <c r="A37" s="122"/>
      <c r="B37" s="241">
        <v>33</v>
      </c>
      <c r="C37" s="248">
        <f>'Other parameters'!$D$21</f>
        <v>3.3604000000000004E-3</v>
      </c>
      <c r="D37" s="242">
        <f>'Other parameters'!$G$21</f>
        <v>43.5</v>
      </c>
      <c r="E37" s="248">
        <f t="shared" si="25"/>
        <v>6.9326353720133391E-5</v>
      </c>
      <c r="F37" s="248">
        <f t="shared" si="26"/>
        <v>4.3223436951172436E-2</v>
      </c>
      <c r="G37" s="248">
        <f t="shared" ref="G37:G68" si="27">IF(B37&lt;rhdage,0,pVS_3p)</f>
        <v>0.76</v>
      </c>
      <c r="H37" s="249">
        <f t="shared" ref="H37:H68" si="28">1/(1+disc)^($B37-1)</f>
        <v>0.38833703413696569</v>
      </c>
      <c r="I37" s="122"/>
      <c r="J37" s="244">
        <v>0</v>
      </c>
      <c r="K37" s="245">
        <v>0</v>
      </c>
      <c r="L37" s="245">
        <v>0</v>
      </c>
      <c r="M37" s="245">
        <v>0</v>
      </c>
      <c r="N37" s="245">
        <f t="shared" ref="N37:N68" si="29">IF(B37&lt;rhdage,1,(K36*pARF1_RHDMild)+(M36*pARF2_RHDMild)+(N36*cpRHDMild_RHDMild)+(O36*G37))</f>
        <v>0.95219979767545915</v>
      </c>
      <c r="O37" s="245">
        <f t="shared" ref="O37:O68" si="30">IF(B37&lt;rhdage,0,(N36*pRHDMild_RHDSevere)+(O36*(1-(G37+pRHDSevere_Death))))</f>
        <v>8.6725586796937981E-3</v>
      </c>
      <c r="P37" s="245">
        <f t="shared" ref="P37:P68" si="31">IF(B37&lt;rhdage,0,(N36*pRHDMild_Stroke)+(P36*(1-pStroke_Death)))</f>
        <v>1.4630470648851184E-2</v>
      </c>
      <c r="Q37" s="245">
        <f t="shared" ref="Q37:Q68" si="32">IF(B37&lt;rhdage,0,(K36*pARF1_Death)+(M36*pARF2_Death)+(O36*pRHDSevere_Death)+(P36*pStroke_Death)+Q36)</f>
        <v>2.4497172995995985E-2</v>
      </c>
      <c r="R37" s="243">
        <f t="shared" si="24"/>
        <v>1</v>
      </c>
      <c r="S37" s="250"/>
      <c r="T37" s="244">
        <f t="shared" si="9"/>
        <v>6.8058998299711845E-3</v>
      </c>
      <c r="U37" s="246">
        <f t="shared" si="14"/>
        <v>0.29605664260374653</v>
      </c>
      <c r="V37" s="246">
        <f t="shared" si="15"/>
        <v>0</v>
      </c>
      <c r="W37" s="246">
        <f t="shared" si="16"/>
        <v>3.9040191704693826E-2</v>
      </c>
      <c r="X37" s="246">
        <f t="shared" si="17"/>
        <v>1.5523880036651897E-3</v>
      </c>
      <c r="Y37" s="246">
        <f t="shared" si="18"/>
        <v>1.024132945419583E-3</v>
      </c>
      <c r="Z37" s="246">
        <f t="shared" si="10"/>
        <v>0.33767335525752512</v>
      </c>
      <c r="AA37" s="247">
        <f t="shared" si="11"/>
        <v>0.13113106928778528</v>
      </c>
      <c r="AB37" s="122"/>
      <c r="AC37" s="244">
        <f t="shared" si="19"/>
        <v>0</v>
      </c>
      <c r="AD37" s="245">
        <f t="shared" si="20"/>
        <v>0</v>
      </c>
      <c r="AE37" s="245">
        <f t="shared" si="21"/>
        <v>587.60249514552584</v>
      </c>
      <c r="AF37" s="245">
        <f t="shared" si="22"/>
        <v>8.3005059123349341</v>
      </c>
      <c r="AG37" s="245">
        <f t="shared" si="23"/>
        <v>9.0284634374060655</v>
      </c>
      <c r="AH37" s="245">
        <f t="shared" si="12"/>
        <v>604.93146449526694</v>
      </c>
      <c r="AI37" s="247">
        <f t="shared" ref="AI37:AI68" si="33">AH37*H37</f>
        <v>234.91729077822313</v>
      </c>
      <c r="AK37" s="259"/>
      <c r="AL37" s="59"/>
    </row>
    <row r="38" spans="1:38">
      <c r="A38" s="122"/>
      <c r="B38" s="241">
        <v>34</v>
      </c>
      <c r="C38" s="248">
        <f>'Other parameters'!$D$21</f>
        <v>3.3604000000000004E-3</v>
      </c>
      <c r="D38" s="242">
        <f>'Other parameters'!$G$21</f>
        <v>43.5</v>
      </c>
      <c r="E38" s="248">
        <f t="shared" si="25"/>
        <v>6.2729078901973133E-5</v>
      </c>
      <c r="F38" s="248">
        <f t="shared" si="26"/>
        <v>3.9110183089538959E-2</v>
      </c>
      <c r="G38" s="248">
        <f t="shared" si="27"/>
        <v>0.76</v>
      </c>
      <c r="H38" s="249">
        <f t="shared" si="28"/>
        <v>0.37702624673491814</v>
      </c>
      <c r="I38" s="122"/>
      <c r="J38" s="244">
        <v>0</v>
      </c>
      <c r="K38" s="245">
        <v>0</v>
      </c>
      <c r="L38" s="245">
        <v>0</v>
      </c>
      <c r="M38" s="245">
        <v>0</v>
      </c>
      <c r="N38" s="245">
        <f t="shared" si="29"/>
        <v>0.94828924738523501</v>
      </c>
      <c r="O38" s="245">
        <f t="shared" si="30"/>
        <v>8.6369417059553866E-3</v>
      </c>
      <c r="P38" s="245">
        <f t="shared" si="31"/>
        <v>1.5049279479493811E-2</v>
      </c>
      <c r="Q38" s="245">
        <f t="shared" si="32"/>
        <v>2.8024531429315859E-2</v>
      </c>
      <c r="R38" s="243">
        <f t="shared" si="24"/>
        <v>1.0000000000000002</v>
      </c>
      <c r="S38" s="250"/>
      <c r="T38" s="244">
        <f t="shared" si="9"/>
        <v>6.8877584333198729E-3</v>
      </c>
      <c r="U38" s="246">
        <f t="shared" si="14"/>
        <v>0.2996174918494145</v>
      </c>
      <c r="V38" s="246">
        <f t="shared" si="15"/>
        <v>0</v>
      </c>
      <c r="W38" s="246">
        <f t="shared" si="16"/>
        <v>3.887985914279464E-2</v>
      </c>
      <c r="X38" s="246">
        <f t="shared" si="17"/>
        <v>1.546012565366014E-3</v>
      </c>
      <c r="Y38" s="246">
        <f t="shared" si="18"/>
        <v>1.0534495635645669E-3</v>
      </c>
      <c r="Z38" s="246">
        <f t="shared" si="10"/>
        <v>0.34109681312113971</v>
      </c>
      <c r="AA38" s="247">
        <f t="shared" si="11"/>
        <v>0.12860245122430508</v>
      </c>
      <c r="AB38" s="122"/>
      <c r="AC38" s="244">
        <f t="shared" si="19"/>
        <v>0</v>
      </c>
      <c r="AD38" s="245">
        <f t="shared" si="20"/>
        <v>0</v>
      </c>
      <c r="AE38" s="245">
        <f t="shared" si="21"/>
        <v>585.1892945614286</v>
      </c>
      <c r="AF38" s="245">
        <f t="shared" si="22"/>
        <v>8.2664169067699014</v>
      </c>
      <c r="AG38" s="245">
        <f t="shared" si="23"/>
        <v>9.286910366795631</v>
      </c>
      <c r="AH38" s="245">
        <f t="shared" si="12"/>
        <v>602.74262183499411</v>
      </c>
      <c r="AI38" s="247">
        <f t="shared" si="33"/>
        <v>227.24978845761194</v>
      </c>
      <c r="AK38" s="259"/>
      <c r="AL38" s="59"/>
    </row>
    <row r="39" spans="1:38">
      <c r="A39" s="122"/>
      <c r="B39" s="241">
        <v>35</v>
      </c>
      <c r="C39" s="248">
        <f>'Other parameters'!$D$22</f>
        <v>4.1983999999999997E-3</v>
      </c>
      <c r="D39" s="242">
        <f>'Other parameters'!$G$22</f>
        <v>39.200000000000003</v>
      </c>
      <c r="E39" s="248">
        <f t="shared" si="25"/>
        <v>5.6759617789435369E-5</v>
      </c>
      <c r="F39" s="248">
        <f t="shared" si="26"/>
        <v>3.5388357085652078E-2</v>
      </c>
      <c r="G39" s="248">
        <f t="shared" si="27"/>
        <v>0.76</v>
      </c>
      <c r="H39" s="249">
        <f t="shared" si="28"/>
        <v>0.36604489974263904</v>
      </c>
      <c r="I39" s="122"/>
      <c r="J39" s="244">
        <v>0</v>
      </c>
      <c r="K39" s="245">
        <v>0</v>
      </c>
      <c r="L39" s="245">
        <v>0</v>
      </c>
      <c r="M39" s="245">
        <v>0</v>
      </c>
      <c r="N39" s="245">
        <f t="shared" si="29"/>
        <v>0.94439475717492505</v>
      </c>
      <c r="O39" s="245">
        <f t="shared" si="30"/>
        <v>8.6014710045492562E-3</v>
      </c>
      <c r="P39" s="245">
        <f t="shared" si="31"/>
        <v>1.5386393004890031E-2</v>
      </c>
      <c r="Q39" s="245">
        <f t="shared" si="32"/>
        <v>3.1617378815635748E-2</v>
      </c>
      <c r="R39" s="243">
        <f t="shared" si="24"/>
        <v>1</v>
      </c>
      <c r="S39" s="250"/>
      <c r="T39" s="244">
        <f t="shared" si="9"/>
        <v>7.7912473863198895E-3</v>
      </c>
      <c r="U39" s="246">
        <f t="shared" si="14"/>
        <v>0.30541689754373968</v>
      </c>
      <c r="V39" s="246">
        <f t="shared" si="15"/>
        <v>0</v>
      </c>
      <c r="W39" s="246">
        <f t="shared" si="16"/>
        <v>3.8720185044171927E-2</v>
      </c>
      <c r="X39" s="246">
        <f t="shared" si="17"/>
        <v>1.5396633098143167E-3</v>
      </c>
      <c r="Y39" s="246">
        <f t="shared" si="18"/>
        <v>1.0770475103423023E-3</v>
      </c>
      <c r="Z39" s="246">
        <f t="shared" si="10"/>
        <v>0.34675379340806822</v>
      </c>
      <c r="AA39" s="247">
        <f t="shared" si="11"/>
        <v>0.1269274575434361</v>
      </c>
      <c r="AB39" s="122"/>
      <c r="AC39" s="244">
        <f t="shared" si="19"/>
        <v>0</v>
      </c>
      <c r="AD39" s="245">
        <f t="shared" si="20"/>
        <v>0</v>
      </c>
      <c r="AE39" s="245">
        <f t="shared" si="21"/>
        <v>582.78600465264628</v>
      </c>
      <c r="AF39" s="245">
        <f t="shared" si="22"/>
        <v>8.2324678984540931</v>
      </c>
      <c r="AG39" s="245">
        <f t="shared" si="23"/>
        <v>9.494943123317638</v>
      </c>
      <c r="AH39" s="245">
        <f t="shared" si="12"/>
        <v>600.51341567441796</v>
      </c>
      <c r="AI39" s="247">
        <f t="shared" si="33"/>
        <v>219.81487303465204</v>
      </c>
      <c r="AK39" s="259"/>
      <c r="AL39" s="59"/>
    </row>
    <row r="40" spans="1:38">
      <c r="A40" s="122"/>
      <c r="B40" s="241">
        <v>36</v>
      </c>
      <c r="C40" s="248">
        <f>'Other parameters'!$D$22</f>
        <v>4.1983999999999997E-3</v>
      </c>
      <c r="D40" s="242">
        <f>'Other parameters'!$G$22</f>
        <v>39.200000000000003</v>
      </c>
      <c r="E40" s="234">
        <v>0</v>
      </c>
      <c r="F40" s="248">
        <f t="shared" si="26"/>
        <v>3.2020709653915978E-2</v>
      </c>
      <c r="G40" s="248">
        <f t="shared" si="27"/>
        <v>0.76</v>
      </c>
      <c r="H40" s="249">
        <f t="shared" si="28"/>
        <v>0.35538339780838735</v>
      </c>
      <c r="I40" s="122"/>
      <c r="J40" s="244">
        <v>0</v>
      </c>
      <c r="K40" s="245">
        <v>0</v>
      </c>
      <c r="L40" s="245">
        <v>0</v>
      </c>
      <c r="M40" s="245">
        <v>0</v>
      </c>
      <c r="N40" s="245">
        <f t="shared" si="29"/>
        <v>0.94051626108684838</v>
      </c>
      <c r="O40" s="245">
        <f t="shared" si="30"/>
        <v>8.5661459761435001E-3</v>
      </c>
      <c r="P40" s="245">
        <f t="shared" si="31"/>
        <v>1.5655502613987217E-2</v>
      </c>
      <c r="Q40" s="245">
        <f t="shared" si="32"/>
        <v>3.5262090323021043E-2</v>
      </c>
      <c r="R40" s="243">
        <f t="shared" si="24"/>
        <v>1</v>
      </c>
      <c r="S40" s="250"/>
      <c r="T40" s="244">
        <f t="shared" si="9"/>
        <v>7.8431115073852916E-3</v>
      </c>
      <c r="U40" s="246">
        <f t="shared" si="14"/>
        <v>0.30744997108950345</v>
      </c>
      <c r="V40" s="246">
        <f t="shared" si="15"/>
        <v>0</v>
      </c>
      <c r="W40" s="246">
        <f t="shared" si="16"/>
        <v>3.8561166704560786E-2</v>
      </c>
      <c r="X40" s="246">
        <f t="shared" si="17"/>
        <v>1.5333401297296864E-3</v>
      </c>
      <c r="Y40" s="246">
        <f t="shared" si="18"/>
        <v>1.0958851829791054E-3</v>
      </c>
      <c r="Z40" s="246">
        <f t="shared" si="10"/>
        <v>0.34864036310677299</v>
      </c>
      <c r="AA40" s="247">
        <f t="shared" si="11"/>
        <v>0.12390099685403491</v>
      </c>
      <c r="AB40" s="122"/>
      <c r="AC40" s="244">
        <f t="shared" si="19"/>
        <v>0</v>
      </c>
      <c r="AD40" s="245">
        <f t="shared" si="20"/>
        <v>0</v>
      </c>
      <c r="AE40" s="245">
        <f t="shared" si="21"/>
        <v>580.39258471669416</v>
      </c>
      <c r="AF40" s="245">
        <f t="shared" si="22"/>
        <v>8.1986583137669449</v>
      </c>
      <c r="AG40" s="245">
        <f t="shared" si="23"/>
        <v>9.6610106630915116</v>
      </c>
      <c r="AH40" s="245">
        <f t="shared" si="12"/>
        <v>598.25225369355257</v>
      </c>
      <c r="AI40" s="247">
        <f t="shared" si="33"/>
        <v>212.60891866414008</v>
      </c>
      <c r="AK40" s="259"/>
      <c r="AL40" s="59"/>
    </row>
    <row r="41" spans="1:38">
      <c r="A41" s="122"/>
      <c r="B41" s="241">
        <v>37</v>
      </c>
      <c r="C41" s="248">
        <f>'Other parameters'!$D$22</f>
        <v>4.1983999999999997E-3</v>
      </c>
      <c r="D41" s="242">
        <f>'Other parameters'!$G$22</f>
        <v>39.200000000000003</v>
      </c>
      <c r="E41" s="234">
        <v>0</v>
      </c>
      <c r="F41" s="248">
        <f t="shared" si="26"/>
        <v>2.8973536246928461E-2</v>
      </c>
      <c r="G41" s="248">
        <f t="shared" si="27"/>
        <v>0.76</v>
      </c>
      <c r="H41" s="249">
        <f t="shared" si="28"/>
        <v>0.34503242505668674</v>
      </c>
      <c r="I41" s="122"/>
      <c r="J41" s="244">
        <v>0</v>
      </c>
      <c r="K41" s="245">
        <v>0</v>
      </c>
      <c r="L41" s="245">
        <v>0</v>
      </c>
      <c r="M41" s="245">
        <v>0</v>
      </c>
      <c r="N41" s="245">
        <f t="shared" si="29"/>
        <v>0.93665369343527105</v>
      </c>
      <c r="O41" s="245">
        <f t="shared" si="30"/>
        <v>8.5309660226296526E-3</v>
      </c>
      <c r="P41" s="245">
        <f t="shared" si="31"/>
        <v>1.5868013035524646E-2</v>
      </c>
      <c r="Q41" s="245">
        <f t="shared" si="32"/>
        <v>3.8947327506574848E-2</v>
      </c>
      <c r="R41" s="243">
        <f t="shared" si="24"/>
        <v>1.0000000000000002</v>
      </c>
      <c r="S41" s="250"/>
      <c r="T41" s="244">
        <f t="shared" si="9"/>
        <v>7.883637183553803E-3</v>
      </c>
      <c r="U41" s="246">
        <f t="shared" si="14"/>
        <v>0.30903857759530912</v>
      </c>
      <c r="V41" s="246">
        <f t="shared" si="15"/>
        <v>0</v>
      </c>
      <c r="W41" s="246">
        <f t="shared" si="16"/>
        <v>3.8402801430846116E-2</v>
      </c>
      <c r="X41" s="246">
        <f t="shared" si="17"/>
        <v>1.5270429180507077E-3</v>
      </c>
      <c r="Y41" s="246">
        <f t="shared" si="18"/>
        <v>1.1107609124867254E-3</v>
      </c>
      <c r="Z41" s="246">
        <f t="shared" si="10"/>
        <v>0.35007918285669271</v>
      </c>
      <c r="AA41" s="247">
        <f t="shared" si="11"/>
        <v>0.12078866942290796</v>
      </c>
      <c r="AB41" s="122"/>
      <c r="AC41" s="244">
        <f t="shared" si="19"/>
        <v>0</v>
      </c>
      <c r="AD41" s="245">
        <f t="shared" si="20"/>
        <v>0</v>
      </c>
      <c r="AE41" s="245">
        <f t="shared" si="21"/>
        <v>578.00899421890574</v>
      </c>
      <c r="AF41" s="245">
        <f t="shared" si="22"/>
        <v>8.1649875802588401</v>
      </c>
      <c r="AG41" s="245">
        <f t="shared" si="23"/>
        <v>9.7921508442222596</v>
      </c>
      <c r="AH41" s="245">
        <f t="shared" si="12"/>
        <v>595.96613264338691</v>
      </c>
      <c r="AI41" s="247">
        <f t="shared" si="33"/>
        <v>205.62763999760281</v>
      </c>
      <c r="AK41" s="259"/>
      <c r="AL41" s="59"/>
    </row>
    <row r="42" spans="1:38">
      <c r="A42" s="122"/>
      <c r="B42" s="241">
        <v>38</v>
      </c>
      <c r="C42" s="248">
        <f>'Other parameters'!$D$22</f>
        <v>4.1983999999999997E-3</v>
      </c>
      <c r="D42" s="242">
        <f>'Other parameters'!$G$22</f>
        <v>39.200000000000003</v>
      </c>
      <c r="E42" s="234">
        <v>0</v>
      </c>
      <c r="F42" s="248">
        <f t="shared" si="26"/>
        <v>2.6216339729042033E-2</v>
      </c>
      <c r="G42" s="248">
        <f t="shared" si="27"/>
        <v>0.76</v>
      </c>
      <c r="H42" s="249">
        <f t="shared" si="28"/>
        <v>0.33498293694823961</v>
      </c>
      <c r="I42" s="122"/>
      <c r="J42" s="244">
        <v>0</v>
      </c>
      <c r="K42" s="245">
        <v>0</v>
      </c>
      <c r="L42" s="245">
        <v>0</v>
      </c>
      <c r="M42" s="245">
        <v>0</v>
      </c>
      <c r="N42" s="245">
        <f t="shared" si="29"/>
        <v>0.93280698880433655</v>
      </c>
      <c r="O42" s="245">
        <f t="shared" si="30"/>
        <v>8.4959305482218018E-3</v>
      </c>
      <c r="P42" s="245">
        <f t="shared" si="31"/>
        <v>1.6033424211105662E-2</v>
      </c>
      <c r="Q42" s="245">
        <f t="shared" si="32"/>
        <v>4.266365643633617E-2</v>
      </c>
      <c r="R42" s="243">
        <f t="shared" si="24"/>
        <v>1.0000000000000002</v>
      </c>
      <c r="S42" s="250"/>
      <c r="T42" s="244">
        <f t="shared" si="9"/>
        <v>7.9147289297613228E-3</v>
      </c>
      <c r="U42" s="246">
        <f t="shared" si="14"/>
        <v>0.31025737404664389</v>
      </c>
      <c r="V42" s="246">
        <f t="shared" si="15"/>
        <v>0</v>
      </c>
      <c r="W42" s="246">
        <f t="shared" si="16"/>
        <v>3.8245086540977802E-2</v>
      </c>
      <c r="X42" s="246">
        <f t="shared" si="17"/>
        <v>1.5207715681317025E-3</v>
      </c>
      <c r="Y42" s="246">
        <f t="shared" si="18"/>
        <v>1.1223396947773964E-3</v>
      </c>
      <c r="Z42" s="246">
        <f t="shared" si="10"/>
        <v>0.35114557185053075</v>
      </c>
      <c r="AA42" s="247">
        <f t="shared" si="11"/>
        <v>0.11762777495485988</v>
      </c>
      <c r="AB42" s="122"/>
      <c r="AC42" s="244">
        <f t="shared" si="19"/>
        <v>0</v>
      </c>
      <c r="AD42" s="245">
        <f t="shared" si="20"/>
        <v>0</v>
      </c>
      <c r="AE42" s="245">
        <f t="shared" si="21"/>
        <v>575.6351927911561</v>
      </c>
      <c r="AF42" s="245">
        <f t="shared" si="22"/>
        <v>8.1314551277030862</v>
      </c>
      <c r="AG42" s="245">
        <f t="shared" si="23"/>
        <v>9.8942260806733042</v>
      </c>
      <c r="AH42" s="245">
        <f t="shared" si="12"/>
        <v>593.66087399953255</v>
      </c>
      <c r="AI42" s="247">
        <f t="shared" si="33"/>
        <v>198.86626312362222</v>
      </c>
      <c r="AK42" s="259"/>
      <c r="AL42" s="59"/>
    </row>
    <row r="43" spans="1:38">
      <c r="A43" s="122"/>
      <c r="B43" s="241">
        <v>39</v>
      </c>
      <c r="C43" s="248">
        <f>'Other parameters'!$D$22</f>
        <v>4.1983999999999997E-3</v>
      </c>
      <c r="D43" s="242">
        <f>'Other parameters'!$G$22</f>
        <v>39.200000000000003</v>
      </c>
      <c r="E43" s="234">
        <v>0</v>
      </c>
      <c r="F43" s="248">
        <f t="shared" si="26"/>
        <v>2.3721525150779944E-2</v>
      </c>
      <c r="G43" s="248">
        <f t="shared" si="27"/>
        <v>0.76</v>
      </c>
      <c r="H43" s="249">
        <f t="shared" si="28"/>
        <v>0.3252261523769317</v>
      </c>
      <c r="I43" s="122"/>
      <c r="J43" s="244">
        <v>0</v>
      </c>
      <c r="K43" s="245">
        <v>0</v>
      </c>
      <c r="L43" s="245">
        <v>0</v>
      </c>
      <c r="M43" s="245">
        <v>0</v>
      </c>
      <c r="N43" s="245">
        <f t="shared" si="29"/>
        <v>0.92897608204685467</v>
      </c>
      <c r="O43" s="245">
        <f t="shared" si="30"/>
        <v>8.4610389595663887E-3</v>
      </c>
      <c r="P43" s="245">
        <f t="shared" si="31"/>
        <v>1.6159649395460569E-2</v>
      </c>
      <c r="Q43" s="245">
        <f t="shared" si="32"/>
        <v>4.6403229598118538E-2</v>
      </c>
      <c r="R43" s="243">
        <f t="shared" si="24"/>
        <v>1.0000000000000002</v>
      </c>
      <c r="S43" s="250"/>
      <c r="T43" s="244">
        <f t="shared" si="9"/>
        <v>7.9379731617823697E-3</v>
      </c>
      <c r="U43" s="246">
        <f t="shared" si="14"/>
        <v>0.31116854794186893</v>
      </c>
      <c r="V43" s="246">
        <f t="shared" si="15"/>
        <v>0</v>
      </c>
      <c r="W43" s="246">
        <f t="shared" si="16"/>
        <v>3.808801936392104E-2</v>
      </c>
      <c r="X43" s="246">
        <f t="shared" si="17"/>
        <v>1.5145259737623835E-3</v>
      </c>
      <c r="Y43" s="246">
        <f t="shared" si="18"/>
        <v>1.1311754576822399E-3</v>
      </c>
      <c r="Z43" s="246">
        <f t="shared" si="10"/>
        <v>0.35190226873723462</v>
      </c>
      <c r="AA43" s="247">
        <f t="shared" si="11"/>
        <v>0.11444782087412383</v>
      </c>
      <c r="AB43" s="122"/>
      <c r="AC43" s="244">
        <f t="shared" si="19"/>
        <v>0</v>
      </c>
      <c r="AD43" s="245">
        <f t="shared" si="20"/>
        <v>0</v>
      </c>
      <c r="AE43" s="245">
        <f t="shared" si="21"/>
        <v>573.27114023111403</v>
      </c>
      <c r="AF43" s="245">
        <f t="shared" si="22"/>
        <v>8.0980603882009916</v>
      </c>
      <c r="AG43" s="245">
        <f t="shared" si="23"/>
        <v>9.9721196419387166</v>
      </c>
      <c r="AH43" s="245">
        <f t="shared" si="12"/>
        <v>591.34132026125371</v>
      </c>
      <c r="AI43" s="247">
        <f t="shared" si="33"/>
        <v>192.31966233006247</v>
      </c>
      <c r="AK43" s="259"/>
      <c r="AL43" s="59"/>
    </row>
    <row r="44" spans="1:38">
      <c r="A44" s="122"/>
      <c r="B44" s="241">
        <v>40</v>
      </c>
      <c r="C44" s="248">
        <f>'Other parameters'!$D$23</f>
        <v>5.1936000000000005E-3</v>
      </c>
      <c r="D44" s="242">
        <f>'Other parameters'!$G$23</f>
        <v>35</v>
      </c>
      <c r="E44" s="234">
        <v>0</v>
      </c>
      <c r="F44" s="248">
        <f t="shared" si="26"/>
        <v>2.1464123569306798E-2</v>
      </c>
      <c r="G44" s="248">
        <f t="shared" si="27"/>
        <v>0.76</v>
      </c>
      <c r="H44" s="249">
        <f t="shared" si="28"/>
        <v>0.31575354599702099</v>
      </c>
      <c r="I44" s="122"/>
      <c r="J44" s="244">
        <v>0</v>
      </c>
      <c r="K44" s="245">
        <v>0</v>
      </c>
      <c r="L44" s="245">
        <v>0</v>
      </c>
      <c r="M44" s="245">
        <v>0</v>
      </c>
      <c r="N44" s="245">
        <f t="shared" si="29"/>
        <v>0.92516090828318687</v>
      </c>
      <c r="O44" s="245">
        <f t="shared" si="30"/>
        <v>8.4262906657451078E-3</v>
      </c>
      <c r="P44" s="245">
        <f t="shared" si="31"/>
        <v>1.6253280133961975E-2</v>
      </c>
      <c r="Q44" s="245">
        <f t="shared" si="32"/>
        <v>5.0159520917106251E-2</v>
      </c>
      <c r="R44" s="243">
        <f t="shared" si="24"/>
        <v>1.0000000000000002</v>
      </c>
      <c r="S44" s="250"/>
      <c r="T44" s="244">
        <f t="shared" si="9"/>
        <v>8.9498913189877145E-3</v>
      </c>
      <c r="U44" s="246">
        <f t="shared" si="14"/>
        <v>0.31324619616457</v>
      </c>
      <c r="V44" s="246">
        <f t="shared" si="15"/>
        <v>0</v>
      </c>
      <c r="W44" s="246">
        <f t="shared" si="16"/>
        <v>3.7931597239610662E-2</v>
      </c>
      <c r="X44" s="246">
        <f t="shared" si="17"/>
        <v>1.5083060291683742E-3</v>
      </c>
      <c r="Y44" s="246">
        <f t="shared" si="18"/>
        <v>1.1377296093773384E-3</v>
      </c>
      <c r="Z44" s="246">
        <f t="shared" si="10"/>
        <v>0.35382382904272636</v>
      </c>
      <c r="AA44" s="247">
        <f t="shared" si="11"/>
        <v>0.11172112867848459</v>
      </c>
      <c r="AB44" s="122"/>
      <c r="AC44" s="244">
        <f t="shared" si="19"/>
        <v>0</v>
      </c>
      <c r="AD44" s="245">
        <f t="shared" si="20"/>
        <v>0</v>
      </c>
      <c r="AE44" s="245">
        <f t="shared" si="21"/>
        <v>570.91679650155459</v>
      </c>
      <c r="AF44" s="245">
        <f t="shared" si="22"/>
        <v>8.064802796184642</v>
      </c>
      <c r="AG44" s="245">
        <f t="shared" si="23"/>
        <v>10.029899170667935</v>
      </c>
      <c r="AH44" s="245">
        <f t="shared" si="12"/>
        <v>589.01149846840713</v>
      </c>
      <c r="AI44" s="247">
        <f t="shared" si="33"/>
        <v>185.98246927441843</v>
      </c>
      <c r="AK44" s="259"/>
      <c r="AL44" s="59"/>
    </row>
    <row r="45" spans="1:38">
      <c r="A45" s="122"/>
      <c r="B45" s="241">
        <v>41</v>
      </c>
      <c r="C45" s="248">
        <f>'Other parameters'!$D$23</f>
        <v>5.1936000000000005E-3</v>
      </c>
      <c r="D45" s="242">
        <f>'Other parameters'!$G$23</f>
        <v>35</v>
      </c>
      <c r="E45" s="234">
        <v>0</v>
      </c>
      <c r="F45" s="248">
        <f t="shared" si="26"/>
        <v>1.9421542150856345E-2</v>
      </c>
      <c r="G45" s="248">
        <f t="shared" si="27"/>
        <v>0.76</v>
      </c>
      <c r="H45" s="249">
        <f t="shared" si="28"/>
        <v>0.30655684077380685</v>
      </c>
      <c r="I45" s="122"/>
      <c r="J45" s="244">
        <v>0</v>
      </c>
      <c r="K45" s="245">
        <v>0</v>
      </c>
      <c r="L45" s="245">
        <v>0</v>
      </c>
      <c r="M45" s="245">
        <v>0</v>
      </c>
      <c r="N45" s="245">
        <f t="shared" si="29"/>
        <v>0.92136140290014612</v>
      </c>
      <c r="O45" s="245">
        <f t="shared" si="30"/>
        <v>8.3916850782663043E-3</v>
      </c>
      <c r="P45" s="245">
        <f t="shared" si="31"/>
        <v>1.6319806988891732E-2</v>
      </c>
      <c r="Q45" s="245">
        <f t="shared" si="32"/>
        <v>5.3927105032696043E-2</v>
      </c>
      <c r="R45" s="243">
        <f t="shared" si="24"/>
        <v>1</v>
      </c>
      <c r="S45" s="250"/>
      <c r="T45" s="244">
        <f t="shared" si="9"/>
        <v>8.9611841155897883E-3</v>
      </c>
      <c r="U45" s="246">
        <f t="shared" si="14"/>
        <v>0.31364144404564259</v>
      </c>
      <c r="V45" s="246">
        <f t="shared" si="15"/>
        <v>0</v>
      </c>
      <c r="W45" s="246">
        <f t="shared" si="16"/>
        <v>3.7775817518905991E-2</v>
      </c>
      <c r="X45" s="246">
        <f t="shared" si="17"/>
        <v>1.5021116290096683E-3</v>
      </c>
      <c r="Y45" s="246">
        <f t="shared" si="18"/>
        <v>1.1423864892224213E-3</v>
      </c>
      <c r="Z45" s="246">
        <f t="shared" si="10"/>
        <v>0.35406175968278064</v>
      </c>
      <c r="AA45" s="247">
        <f t="shared" si="11"/>
        <v>0.10854005448716805</v>
      </c>
      <c r="AB45" s="122"/>
      <c r="AC45" s="244">
        <f t="shared" si="19"/>
        <v>0</v>
      </c>
      <c r="AD45" s="245">
        <f t="shared" si="20"/>
        <v>0</v>
      </c>
      <c r="AE45" s="245">
        <f t="shared" si="21"/>
        <v>568.57212172968025</v>
      </c>
      <c r="AF45" s="245">
        <f t="shared" si="22"/>
        <v>8.0316817884086795</v>
      </c>
      <c r="AG45" s="245">
        <f t="shared" si="23"/>
        <v>10.070952892845089</v>
      </c>
      <c r="AH45" s="245">
        <f t="shared" si="12"/>
        <v>586.67475641093404</v>
      </c>
      <c r="AI45" s="247">
        <f t="shared" si="33"/>
        <v>179.84915988707863</v>
      </c>
      <c r="AK45" s="259"/>
      <c r="AL45" s="59"/>
    </row>
    <row r="46" spans="1:38">
      <c r="A46" s="122"/>
      <c r="B46" s="241">
        <v>42</v>
      </c>
      <c r="C46" s="248">
        <f>'Other parameters'!$D$23</f>
        <v>5.1936000000000005E-3</v>
      </c>
      <c r="D46" s="242">
        <f>'Other parameters'!$G$23</f>
        <v>35</v>
      </c>
      <c r="E46" s="234">
        <v>0</v>
      </c>
      <c r="F46" s="248">
        <f t="shared" si="26"/>
        <v>1.7573338054057416E-2</v>
      </c>
      <c r="G46" s="248">
        <f t="shared" si="27"/>
        <v>0.76</v>
      </c>
      <c r="H46" s="249">
        <f t="shared" si="28"/>
        <v>0.29762800075126877</v>
      </c>
      <c r="I46" s="122"/>
      <c r="J46" s="244">
        <v>0</v>
      </c>
      <c r="K46" s="245">
        <v>0</v>
      </c>
      <c r="L46" s="245">
        <v>0</v>
      </c>
      <c r="M46" s="245">
        <v>0</v>
      </c>
      <c r="N46" s="245">
        <f t="shared" si="29"/>
        <v>0.91757750154990281</v>
      </c>
      <c r="O46" s="245">
        <f t="shared" si="30"/>
        <v>8.3572216110551524E-3</v>
      </c>
      <c r="P46" s="245">
        <f t="shared" si="31"/>
        <v>1.6363803404417978E-2</v>
      </c>
      <c r="Q46" s="245">
        <f t="shared" si="32"/>
        <v>5.7701473434624249E-2</v>
      </c>
      <c r="R46" s="243">
        <f t="shared" si="24"/>
        <v>1.0000000000000002</v>
      </c>
      <c r="S46" s="250"/>
      <c r="T46" s="244">
        <f t="shared" si="9"/>
        <v>8.9679684019282075E-3</v>
      </c>
      <c r="U46" s="246">
        <f t="shared" si="14"/>
        <v>0.31387889406748726</v>
      </c>
      <c r="V46" s="246">
        <f t="shared" si="15"/>
        <v>0</v>
      </c>
      <c r="W46" s="246">
        <f t="shared" si="16"/>
        <v>3.7620677563546014E-2</v>
      </c>
      <c r="X46" s="246">
        <f t="shared" si="17"/>
        <v>1.4959426683788723E-3</v>
      </c>
      <c r="Y46" s="246">
        <f t="shared" si="18"/>
        <v>1.1454662383092585E-3</v>
      </c>
      <c r="Z46" s="246">
        <f t="shared" si="10"/>
        <v>0.35414098053772142</v>
      </c>
      <c r="AA46" s="247">
        <f t="shared" si="11"/>
        <v>0.10540227202153601</v>
      </c>
      <c r="AB46" s="122"/>
      <c r="AC46" s="244">
        <f t="shared" si="19"/>
        <v>0</v>
      </c>
      <c r="AD46" s="245">
        <f t="shared" si="20"/>
        <v>0</v>
      </c>
      <c r="AE46" s="245">
        <f t="shared" si="21"/>
        <v>566.23707620644507</v>
      </c>
      <c r="AF46" s="245">
        <f t="shared" si="22"/>
        <v>7.9986968039408861</v>
      </c>
      <c r="AG46" s="245">
        <f t="shared" si="23"/>
        <v>10.098103080866334</v>
      </c>
      <c r="AH46" s="245">
        <f t="shared" si="12"/>
        <v>584.33387609125225</v>
      </c>
      <c r="AI46" s="247">
        <f t="shared" si="33"/>
        <v>173.91412331227903</v>
      </c>
      <c r="AK46" s="259"/>
      <c r="AL46" s="59"/>
    </row>
    <row r="47" spans="1:38">
      <c r="A47" s="122"/>
      <c r="B47" s="241">
        <v>43</v>
      </c>
      <c r="C47" s="248">
        <f>'Other parameters'!$D$23</f>
        <v>5.1936000000000005E-3</v>
      </c>
      <c r="D47" s="242">
        <f>'Other parameters'!$G$23</f>
        <v>35</v>
      </c>
      <c r="E47" s="234">
        <v>0</v>
      </c>
      <c r="F47" s="248">
        <f t="shared" si="26"/>
        <v>1.5901013831106387E-2</v>
      </c>
      <c r="G47" s="248">
        <f t="shared" si="27"/>
        <v>0.76</v>
      </c>
      <c r="H47" s="249">
        <f t="shared" si="28"/>
        <v>0.28895922403035801</v>
      </c>
      <c r="I47" s="122"/>
      <c r="J47" s="244">
        <v>0</v>
      </c>
      <c r="K47" s="245">
        <v>0</v>
      </c>
      <c r="L47" s="245">
        <v>0</v>
      </c>
      <c r="M47" s="245">
        <v>0</v>
      </c>
      <c r="N47" s="245">
        <f t="shared" si="29"/>
        <v>0.91380914014889469</v>
      </c>
      <c r="O47" s="245">
        <f t="shared" si="30"/>
        <v>8.3228996804437603E-3</v>
      </c>
      <c r="P47" s="245">
        <f t="shared" si="31"/>
        <v>1.6389078866117741E-2</v>
      </c>
      <c r="Q47" s="245">
        <f t="shared" si="32"/>
        <v>6.1478881304543945E-2</v>
      </c>
      <c r="R47" s="243">
        <f t="shared" si="24"/>
        <v>1.0000000000000002</v>
      </c>
      <c r="S47" s="250"/>
      <c r="T47" s="244">
        <f t="shared" si="9"/>
        <v>8.9710078699196966E-3</v>
      </c>
      <c r="U47" s="246">
        <f t="shared" si="14"/>
        <v>0.3139852754471894</v>
      </c>
      <c r="V47" s="246">
        <f t="shared" si="15"/>
        <v>0</v>
      </c>
      <c r="W47" s="246">
        <f t="shared" si="16"/>
        <v>3.7466174746104683E-2</v>
      </c>
      <c r="X47" s="246">
        <f t="shared" si="17"/>
        <v>1.489799042799433E-3</v>
      </c>
      <c r="Y47" s="246">
        <f t="shared" si="18"/>
        <v>1.147235520628242E-3</v>
      </c>
      <c r="Z47" s="246">
        <f t="shared" si="10"/>
        <v>0.35408848475672178</v>
      </c>
      <c r="AA47" s="247">
        <f t="shared" si="11"/>
        <v>0.10231713379338757</v>
      </c>
      <c r="AB47" s="122"/>
      <c r="AC47" s="244">
        <f t="shared" si="19"/>
        <v>0</v>
      </c>
      <c r="AD47" s="245">
        <f t="shared" si="20"/>
        <v>0</v>
      </c>
      <c r="AE47" s="245">
        <f t="shared" si="21"/>
        <v>563.91162038588288</v>
      </c>
      <c r="AF47" s="245">
        <f t="shared" si="22"/>
        <v>7.9658472841527228</v>
      </c>
      <c r="AG47" s="245">
        <f t="shared" si="23"/>
        <v>10.113700568281258</v>
      </c>
      <c r="AH47" s="245">
        <f t="shared" si="12"/>
        <v>581.99116823831685</v>
      </c>
      <c r="AI47" s="247">
        <f t="shared" si="33"/>
        <v>168.17171636666558</v>
      </c>
      <c r="AK47" s="259"/>
      <c r="AL47" s="59"/>
    </row>
    <row r="48" spans="1:38">
      <c r="A48" s="122"/>
      <c r="B48" s="241">
        <v>44</v>
      </c>
      <c r="C48" s="248">
        <f>'Other parameters'!$D$23</f>
        <v>5.1936000000000005E-3</v>
      </c>
      <c r="D48" s="242">
        <f>'Other parameters'!$G$23</f>
        <v>35</v>
      </c>
      <c r="E48" s="234">
        <v>0</v>
      </c>
      <c r="F48" s="248">
        <f t="shared" si="26"/>
        <v>1.4387832299092386E-2</v>
      </c>
      <c r="G48" s="248">
        <f t="shared" si="27"/>
        <v>0.76</v>
      </c>
      <c r="H48" s="249">
        <f t="shared" si="28"/>
        <v>0.28054293595180391</v>
      </c>
      <c r="I48" s="122"/>
      <c r="J48" s="244">
        <v>0</v>
      </c>
      <c r="K48" s="245">
        <v>0</v>
      </c>
      <c r="L48" s="245">
        <v>0</v>
      </c>
      <c r="M48" s="245">
        <v>0</v>
      </c>
      <c r="N48" s="245">
        <f t="shared" si="29"/>
        <v>0.91005625487674191</v>
      </c>
      <c r="O48" s="245">
        <f t="shared" si="30"/>
        <v>8.2887187051612701E-3</v>
      </c>
      <c r="P48" s="245">
        <f t="shared" si="31"/>
        <v>1.6398806482855979E-2</v>
      </c>
      <c r="Q48" s="245">
        <f t="shared" si="32"/>
        <v>6.5256219935241083E-2</v>
      </c>
      <c r="R48" s="243">
        <f t="shared" si="24"/>
        <v>1.0000000000000002</v>
      </c>
      <c r="S48" s="250"/>
      <c r="T48" s="244">
        <f t="shared" si="9"/>
        <v>8.9709386306971346E-3</v>
      </c>
      <c r="U48" s="246">
        <f t="shared" si="14"/>
        <v>0.31398285207439969</v>
      </c>
      <c r="V48" s="246">
        <f t="shared" si="15"/>
        <v>0</v>
      </c>
      <c r="W48" s="246">
        <f t="shared" si="16"/>
        <v>3.7312306449946417E-2</v>
      </c>
      <c r="X48" s="246">
        <f t="shared" si="17"/>
        <v>1.4836806482238672E-3</v>
      </c>
      <c r="Y48" s="246">
        <f t="shared" si="18"/>
        <v>1.1479164537999186E-3</v>
      </c>
      <c r="Z48" s="246">
        <f t="shared" si="10"/>
        <v>0.35392675562636988</v>
      </c>
      <c r="AA48" s="247">
        <f t="shared" si="11"/>
        <v>9.9291651135318446E-2</v>
      </c>
      <c r="AB48" s="122"/>
      <c r="AC48" s="244">
        <f t="shared" si="19"/>
        <v>0</v>
      </c>
      <c r="AD48" s="245">
        <f t="shared" si="20"/>
        <v>0</v>
      </c>
      <c r="AE48" s="245">
        <f t="shared" si="21"/>
        <v>561.59571488443748</v>
      </c>
      <c r="AF48" s="245">
        <f t="shared" si="22"/>
        <v>7.9331326727098519</v>
      </c>
      <c r="AG48" s="245">
        <f t="shared" si="23"/>
        <v>10.119703480570426</v>
      </c>
      <c r="AH48" s="245">
        <f t="shared" si="12"/>
        <v>579.64855103771777</v>
      </c>
      <c r="AI48" s="247">
        <f t="shared" si="33"/>
        <v>162.61630632833038</v>
      </c>
      <c r="AK48" s="259"/>
      <c r="AL48" s="59"/>
    </row>
    <row r="49" spans="1:38">
      <c r="A49" s="122"/>
      <c r="B49" s="241">
        <v>45</v>
      </c>
      <c r="C49" s="248">
        <f>'Other parameters'!$D$24</f>
        <v>5.7866000000000003E-3</v>
      </c>
      <c r="D49" s="242">
        <f>'Other parameters'!$G$24</f>
        <v>30.9</v>
      </c>
      <c r="E49" s="234">
        <v>0</v>
      </c>
      <c r="F49" s="248">
        <f t="shared" si="26"/>
        <v>1.3018649028645137E-2</v>
      </c>
      <c r="G49" s="248">
        <f t="shared" si="27"/>
        <v>0.76</v>
      </c>
      <c r="H49" s="249">
        <f t="shared" si="28"/>
        <v>0.27237178247747956</v>
      </c>
      <c r="I49" s="122"/>
      <c r="J49" s="244">
        <v>0</v>
      </c>
      <c r="K49" s="245">
        <v>0</v>
      </c>
      <c r="L49" s="245">
        <v>0</v>
      </c>
      <c r="M49" s="245">
        <v>0</v>
      </c>
      <c r="N49" s="245">
        <f t="shared" si="29"/>
        <v>0.90631878217516548</v>
      </c>
      <c r="O49" s="245">
        <f t="shared" si="30"/>
        <v>8.2546781063240239E-3</v>
      </c>
      <c r="P49" s="245">
        <f t="shared" si="31"/>
        <v>1.6395629262487558E-2</v>
      </c>
      <c r="Q49" s="245">
        <f t="shared" si="32"/>
        <v>6.9030910456023192E-2</v>
      </c>
      <c r="R49" s="243">
        <f t="shared" si="24"/>
        <v>1.0000000000000004</v>
      </c>
      <c r="S49" s="250"/>
      <c r="T49" s="244">
        <f t="shared" si="9"/>
        <v>9.5612905207821085E-3</v>
      </c>
      <c r="U49" s="246">
        <f t="shared" si="14"/>
        <v>0.29544387709216713</v>
      </c>
      <c r="V49" s="246">
        <f t="shared" si="15"/>
        <v>0</v>
      </c>
      <c r="W49" s="246">
        <f t="shared" si="16"/>
        <v>3.7159070069181788E-2</v>
      </c>
      <c r="X49" s="246">
        <f t="shared" si="17"/>
        <v>1.4775873810320003E-3</v>
      </c>
      <c r="Y49" s="246">
        <f t="shared" si="18"/>
        <v>1.1476940483741292E-3</v>
      </c>
      <c r="Z49" s="246">
        <f t="shared" si="10"/>
        <v>0.33522822859075502</v>
      </c>
      <c r="AA49" s="247">
        <f t="shared" si="11"/>
        <v>9.130671015803192E-2</v>
      </c>
      <c r="AB49" s="122"/>
      <c r="AC49" s="244">
        <f t="shared" si="19"/>
        <v>0</v>
      </c>
      <c r="AD49" s="245">
        <f t="shared" si="20"/>
        <v>0</v>
      </c>
      <c r="AE49" s="245">
        <f t="shared" si="21"/>
        <v>559.28932048029469</v>
      </c>
      <c r="AF49" s="245">
        <f t="shared" si="22"/>
        <v>7.9005524155627231</v>
      </c>
      <c r="AG49" s="245">
        <f t="shared" si="23"/>
        <v>10.117742817881073</v>
      </c>
      <c r="AH49" s="245">
        <f t="shared" si="12"/>
        <v>577.30761571373853</v>
      </c>
      <c r="AI49" s="247">
        <f t="shared" si="33"/>
        <v>157.24230432977475</v>
      </c>
      <c r="AK49" s="259"/>
      <c r="AL49" s="59"/>
    </row>
    <row r="50" spans="1:38">
      <c r="A50" s="122"/>
      <c r="B50" s="241">
        <v>46</v>
      </c>
      <c r="C50" s="248">
        <f>'Other parameters'!$D$24</f>
        <v>5.7866000000000003E-3</v>
      </c>
      <c r="D50" s="242">
        <f>'Other parameters'!$G$24</f>
        <v>30.9</v>
      </c>
      <c r="E50" s="234">
        <v>0</v>
      </c>
      <c r="F50" s="248">
        <f t="shared" si="26"/>
        <v>1.1779760773395619E-2</v>
      </c>
      <c r="G50" s="248">
        <f t="shared" si="27"/>
        <v>0.76</v>
      </c>
      <c r="H50" s="249">
        <f t="shared" si="28"/>
        <v>0.26443862376454325</v>
      </c>
      <c r="I50" s="122"/>
      <c r="J50" s="244">
        <v>0</v>
      </c>
      <c r="K50" s="245">
        <v>0</v>
      </c>
      <c r="L50" s="245">
        <v>0</v>
      </c>
      <c r="M50" s="245">
        <v>0</v>
      </c>
      <c r="N50" s="245">
        <f t="shared" si="29"/>
        <v>0.90259665874691153</v>
      </c>
      <c r="O50" s="245">
        <f t="shared" si="30"/>
        <v>8.220777307425757E-3</v>
      </c>
      <c r="P50" s="245">
        <f t="shared" si="31"/>
        <v>1.6381748639513756E-2</v>
      </c>
      <c r="Q50" s="245">
        <f t="shared" si="32"/>
        <v>7.2800815306149111E-2</v>
      </c>
      <c r="R50" s="243">
        <f t="shared" si="24"/>
        <v>1.0000000000000002</v>
      </c>
      <c r="S50" s="250"/>
      <c r="T50" s="244">
        <f t="shared" si="9"/>
        <v>9.5565048501259249E-3</v>
      </c>
      <c r="U50" s="246">
        <f t="shared" si="14"/>
        <v>0.29529599986889105</v>
      </c>
      <c r="V50" s="246">
        <f t="shared" si="15"/>
        <v>0</v>
      </c>
      <c r="W50" s="246">
        <f t="shared" si="16"/>
        <v>3.7006463008623376E-2</v>
      </c>
      <c r="X50" s="246">
        <f t="shared" si="17"/>
        <v>1.4715191380292104E-3</v>
      </c>
      <c r="Y50" s="246">
        <f t="shared" si="18"/>
        <v>1.1467224047659631E-3</v>
      </c>
      <c r="Z50" s="246">
        <f t="shared" si="10"/>
        <v>0.33492070442030963</v>
      </c>
      <c r="AA50" s="247">
        <f t="shared" si="11"/>
        <v>8.8565970147158057E-2</v>
      </c>
      <c r="AB50" s="122"/>
      <c r="AC50" s="244">
        <f t="shared" si="19"/>
        <v>0</v>
      </c>
      <c r="AD50" s="245">
        <f t="shared" si="20"/>
        <v>0</v>
      </c>
      <c r="AE50" s="245">
        <f t="shared" si="21"/>
        <v>556.99239811271912</v>
      </c>
      <c r="AF50" s="245">
        <f t="shared" si="22"/>
        <v>7.8681059609371919</v>
      </c>
      <c r="AG50" s="245">
        <f t="shared" si="23"/>
        <v>10.109177085443939</v>
      </c>
      <c r="AH50" s="245">
        <f t="shared" si="12"/>
        <v>574.96968115910022</v>
      </c>
      <c r="AI50" s="247">
        <f t="shared" si="33"/>
        <v>152.0441911920507</v>
      </c>
      <c r="AK50" s="259"/>
      <c r="AL50" s="59"/>
    </row>
    <row r="51" spans="1:38">
      <c r="A51" s="122"/>
      <c r="B51" s="241">
        <v>47</v>
      </c>
      <c r="C51" s="248">
        <f>'Other parameters'!$D$24</f>
        <v>5.7866000000000003E-3</v>
      </c>
      <c r="D51" s="242">
        <f>'Other parameters'!$G$24</f>
        <v>30.9</v>
      </c>
      <c r="E51" s="234">
        <v>0</v>
      </c>
      <c r="F51" s="248">
        <f t="shared" si="26"/>
        <v>1.0658768323280568E-2</v>
      </c>
      <c r="G51" s="248">
        <f t="shared" si="27"/>
        <v>0.76</v>
      </c>
      <c r="H51" s="249">
        <f t="shared" si="28"/>
        <v>0.25673652792674101</v>
      </c>
      <c r="I51" s="122"/>
      <c r="J51" s="244">
        <v>0</v>
      </c>
      <c r="K51" s="245">
        <v>0</v>
      </c>
      <c r="L51" s="245">
        <v>0</v>
      </c>
      <c r="M51" s="245">
        <v>0</v>
      </c>
      <c r="N51" s="245">
        <f t="shared" si="29"/>
        <v>0.89888982155467934</v>
      </c>
      <c r="O51" s="245">
        <f t="shared" si="30"/>
        <v>8.1870157343278335E-3</v>
      </c>
      <c r="P51" s="245">
        <f t="shared" si="31"/>
        <v>1.6358998218616898E-2</v>
      </c>
      <c r="Q51" s="245">
        <f t="shared" si="32"/>
        <v>7.656416449237613E-2</v>
      </c>
      <c r="R51" s="243">
        <f t="shared" si="24"/>
        <v>1</v>
      </c>
      <c r="S51" s="250"/>
      <c r="T51" s="244">
        <f t="shared" si="9"/>
        <v>9.5499491862270167E-3</v>
      </c>
      <c r="U51" s="246">
        <f t="shared" si="14"/>
        <v>0.29509342985441478</v>
      </c>
      <c r="V51" s="246">
        <f t="shared" si="15"/>
        <v>0</v>
      </c>
      <c r="W51" s="246">
        <f t="shared" si="16"/>
        <v>3.6854482683741856E-2</v>
      </c>
      <c r="X51" s="246">
        <f t="shared" si="17"/>
        <v>1.4654758164446822E-3</v>
      </c>
      <c r="Y51" s="246">
        <f t="shared" si="18"/>
        <v>1.145129875303183E-3</v>
      </c>
      <c r="Z51" s="246">
        <f t="shared" si="10"/>
        <v>0.33455851822990451</v>
      </c>
      <c r="AA51" s="247">
        <f t="shared" si="11"/>
        <v>8.5893392358660975E-2</v>
      </c>
      <c r="AB51" s="122"/>
      <c r="AC51" s="244">
        <f t="shared" si="19"/>
        <v>0</v>
      </c>
      <c r="AD51" s="245">
        <f t="shared" si="20"/>
        <v>0</v>
      </c>
      <c r="AE51" s="245">
        <f t="shared" si="21"/>
        <v>554.70490888139261</v>
      </c>
      <c r="AF51" s="245">
        <f t="shared" si="22"/>
        <v>7.8357927593251695</v>
      </c>
      <c r="AG51" s="245">
        <f t="shared" si="23"/>
        <v>10.095137800708489</v>
      </c>
      <c r="AH51" s="245">
        <f t="shared" si="12"/>
        <v>572.63583944142624</v>
      </c>
      <c r="AI51" s="247">
        <f t="shared" si="33"/>
        <v>147.01653718460651</v>
      </c>
      <c r="AK51" s="259"/>
      <c r="AL51" s="59"/>
    </row>
    <row r="52" spans="1:38">
      <c r="A52" s="122"/>
      <c r="B52" s="241">
        <v>48</v>
      </c>
      <c r="C52" s="248">
        <f>'Other parameters'!$D$24</f>
        <v>5.7866000000000003E-3</v>
      </c>
      <c r="D52" s="242">
        <f>'Other parameters'!$G$24</f>
        <v>30.9</v>
      </c>
      <c r="E52" s="234">
        <v>0</v>
      </c>
      <c r="F52" s="248">
        <f t="shared" si="26"/>
        <v>9.644452409080663E-3</v>
      </c>
      <c r="G52" s="248">
        <f t="shared" si="27"/>
        <v>0.76</v>
      </c>
      <c r="H52" s="249">
        <f t="shared" si="28"/>
        <v>0.24925876497741845</v>
      </c>
      <c r="I52" s="122"/>
      <c r="J52" s="244">
        <v>0</v>
      </c>
      <c r="K52" s="245">
        <v>0</v>
      </c>
      <c r="L52" s="245">
        <v>0</v>
      </c>
      <c r="M52" s="245">
        <v>0</v>
      </c>
      <c r="N52" s="245">
        <f t="shared" si="29"/>
        <v>0.8951982078200531</v>
      </c>
      <c r="O52" s="245">
        <f t="shared" si="30"/>
        <v>8.1533928152495282E-3</v>
      </c>
      <c r="P52" s="245">
        <f t="shared" si="31"/>
        <v>1.6328905203021479E-2</v>
      </c>
      <c r="Q52" s="245">
        <f t="shared" si="32"/>
        <v>8.0319494161676136E-2</v>
      </c>
      <c r="R52" s="243">
        <f t="shared" si="24"/>
        <v>1.0000000000000002</v>
      </c>
      <c r="S52" s="250"/>
      <c r="T52" s="244">
        <f t="shared" si="9"/>
        <v>9.5419296693000019E-3</v>
      </c>
      <c r="U52" s="246">
        <f t="shared" si="14"/>
        <v>0.29484562678137005</v>
      </c>
      <c r="V52" s="246">
        <f t="shared" si="15"/>
        <v>0</v>
      </c>
      <c r="W52" s="246">
        <f t="shared" si="16"/>
        <v>3.670312652062218E-2</v>
      </c>
      <c r="X52" s="246">
        <f t="shared" si="17"/>
        <v>1.4594573139296654E-3</v>
      </c>
      <c r="Y52" s="246">
        <f t="shared" si="18"/>
        <v>1.1430233642115036E-3</v>
      </c>
      <c r="Z52" s="246">
        <f t="shared" si="10"/>
        <v>0.33415123398013341</v>
      </c>
      <c r="AA52" s="247">
        <f t="shared" si="11"/>
        <v>8.329012389756843E-2</v>
      </c>
      <c r="AB52" s="122"/>
      <c r="AC52" s="244">
        <f t="shared" si="19"/>
        <v>0</v>
      </c>
      <c r="AD52" s="245">
        <f t="shared" si="20"/>
        <v>0</v>
      </c>
      <c r="AE52" s="245">
        <f t="shared" si="21"/>
        <v>552.42681404575478</v>
      </c>
      <c r="AF52" s="245">
        <f t="shared" si="22"/>
        <v>7.8036122634753236</v>
      </c>
      <c r="AG52" s="245">
        <f t="shared" si="23"/>
        <v>10.076567400784555</v>
      </c>
      <c r="AH52" s="245">
        <f t="shared" si="12"/>
        <v>570.30699371001469</v>
      </c>
      <c r="AI52" s="247">
        <f t="shared" si="33"/>
        <v>142.15401691014262</v>
      </c>
      <c r="AK52" s="259"/>
      <c r="AL52" s="59"/>
    </row>
    <row r="53" spans="1:38">
      <c r="A53" s="122"/>
      <c r="B53" s="241">
        <v>49</v>
      </c>
      <c r="C53" s="248">
        <f>'Other parameters'!$D$24</f>
        <v>5.7866000000000003E-3</v>
      </c>
      <c r="D53" s="242">
        <f>'Other parameters'!$G$24</f>
        <v>30.9</v>
      </c>
      <c r="E53" s="234">
        <v>0</v>
      </c>
      <c r="F53" s="248">
        <f t="shared" si="26"/>
        <v>8.7266614162032404E-3</v>
      </c>
      <c r="G53" s="248">
        <f t="shared" si="27"/>
        <v>0.76</v>
      </c>
      <c r="H53" s="249">
        <f t="shared" si="28"/>
        <v>0.24199880094894996</v>
      </c>
      <c r="I53" s="122"/>
      <c r="J53" s="244">
        <v>0</v>
      </c>
      <c r="K53" s="245">
        <v>0</v>
      </c>
      <c r="L53" s="245">
        <v>0</v>
      </c>
      <c r="M53" s="245">
        <v>0</v>
      </c>
      <c r="N53" s="245">
        <f t="shared" si="29"/>
        <v>0.89152175502243924</v>
      </c>
      <c r="O53" s="245">
        <f t="shared" si="30"/>
        <v>8.119907980758333E-3</v>
      </c>
      <c r="P53" s="245">
        <f t="shared" si="31"/>
        <v>1.6292741564315771E-2</v>
      </c>
      <c r="Q53" s="245">
        <f t="shared" si="32"/>
        <v>8.4065595432486914E-2</v>
      </c>
      <c r="R53" s="243">
        <f t="shared" si="24"/>
        <v>1.0000000000000002</v>
      </c>
      <c r="S53" s="250"/>
      <c r="T53" s="244">
        <f t="shared" si="9"/>
        <v>9.5327012708107776E-3</v>
      </c>
      <c r="U53" s="246">
        <f t="shared" si="14"/>
        <v>0.29456046926805302</v>
      </c>
      <c r="V53" s="246">
        <f t="shared" si="15"/>
        <v>0</v>
      </c>
      <c r="W53" s="246">
        <f t="shared" si="16"/>
        <v>3.6552391955920013E-2</v>
      </c>
      <c r="X53" s="246">
        <f t="shared" si="17"/>
        <v>1.4534635285557416E-3</v>
      </c>
      <c r="Y53" s="246">
        <f t="shared" si="18"/>
        <v>1.140491909502104E-3</v>
      </c>
      <c r="Z53" s="246">
        <f t="shared" si="10"/>
        <v>0.33370681666203089</v>
      </c>
      <c r="AA53" s="247">
        <f t="shared" si="11"/>
        <v>8.0756649500702549E-2</v>
      </c>
      <c r="AB53" s="122"/>
      <c r="AC53" s="244">
        <f t="shared" si="19"/>
        <v>0</v>
      </c>
      <c r="AD53" s="245">
        <f t="shared" si="20"/>
        <v>0</v>
      </c>
      <c r="AE53" s="245">
        <f t="shared" si="21"/>
        <v>550.15807502434723</v>
      </c>
      <c r="AF53" s="245">
        <f t="shared" si="22"/>
        <v>7.7715639283838005</v>
      </c>
      <c r="AG53" s="245">
        <f t="shared" si="23"/>
        <v>10.054250819339263</v>
      </c>
      <c r="AH53" s="245">
        <f t="shared" si="12"/>
        <v>567.98388977207026</v>
      </c>
      <c r="AI53" s="247">
        <f t="shared" si="33"/>
        <v>137.45142028316155</v>
      </c>
      <c r="AK53" s="259"/>
      <c r="AL53" s="59"/>
    </row>
    <row r="54" spans="1:38">
      <c r="A54" s="122"/>
      <c r="B54" s="241">
        <v>50</v>
      </c>
      <c r="C54" s="248">
        <f>'Other parameters'!$D$25</f>
        <v>7.5960000000000003E-3</v>
      </c>
      <c r="D54" s="242">
        <f>'Other parameters'!$G$25</f>
        <v>26.7</v>
      </c>
      <c r="E54" s="234">
        <v>0</v>
      </c>
      <c r="F54" s="248">
        <f t="shared" si="26"/>
        <v>7.8962097839113694E-3</v>
      </c>
      <c r="G54" s="248">
        <f t="shared" si="27"/>
        <v>0.76</v>
      </c>
      <c r="H54" s="249">
        <f t="shared" si="28"/>
        <v>0.2349502921834466</v>
      </c>
      <c r="I54" s="122"/>
      <c r="J54" s="244">
        <v>0</v>
      </c>
      <c r="K54" s="245">
        <v>0</v>
      </c>
      <c r="L54" s="245">
        <v>0</v>
      </c>
      <c r="M54" s="245">
        <v>0</v>
      </c>
      <c r="N54" s="245">
        <f t="shared" si="29"/>
        <v>0.88786040089800744</v>
      </c>
      <c r="O54" s="245">
        <f t="shared" si="30"/>
        <v>8.0865606637603223E-3</v>
      </c>
      <c r="P54" s="245">
        <f t="shared" si="31"/>
        <v>1.6251566666910022E-2</v>
      </c>
      <c r="Q54" s="245">
        <f t="shared" si="32"/>
        <v>8.7801471771322442E-2</v>
      </c>
      <c r="R54" s="243">
        <f t="shared" si="24"/>
        <v>1.0000000000000002</v>
      </c>
      <c r="S54" s="250"/>
      <c r="T54" s="244">
        <f t="shared" si="9"/>
        <v>1.1331876338835527E-2</v>
      </c>
      <c r="U54" s="246">
        <f t="shared" si="14"/>
        <v>0.30256109824690858</v>
      </c>
      <c r="V54" s="246">
        <f t="shared" si="15"/>
        <v>0</v>
      </c>
      <c r="W54" s="246">
        <f t="shared" si="16"/>
        <v>3.6402276436818308E-2</v>
      </c>
      <c r="X54" s="246">
        <f t="shared" si="17"/>
        <v>1.4474943588130976E-3</v>
      </c>
      <c r="Y54" s="246">
        <f t="shared" si="18"/>
        <v>1.1376096666837017E-3</v>
      </c>
      <c r="Z54" s="246">
        <f t="shared" si="10"/>
        <v>0.34154847870922367</v>
      </c>
      <c r="AA54" s="247">
        <f t="shared" si="11"/>
        <v>8.0246914867543789E-2</v>
      </c>
      <c r="AB54" s="122"/>
      <c r="AC54" s="244">
        <f t="shared" si="19"/>
        <v>0</v>
      </c>
      <c r="AD54" s="245">
        <f t="shared" si="20"/>
        <v>0</v>
      </c>
      <c r="AE54" s="245">
        <f t="shared" si="21"/>
        <v>547.89865339416042</v>
      </c>
      <c r="AF54" s="245">
        <f t="shared" si="22"/>
        <v>7.7396472112850043</v>
      </c>
      <c r="AG54" s="245">
        <f t="shared" si="23"/>
        <v>10.028841790150175</v>
      </c>
      <c r="AH54" s="245">
        <f t="shared" si="12"/>
        <v>565.66714239559565</v>
      </c>
      <c r="AI54" s="247">
        <f t="shared" si="33"/>
        <v>132.90366038442048</v>
      </c>
      <c r="AK54" s="259"/>
      <c r="AL54" s="59"/>
    </row>
    <row r="55" spans="1:38">
      <c r="A55" s="122"/>
      <c r="B55" s="241">
        <v>51</v>
      </c>
      <c r="C55" s="248">
        <f>'Other parameters'!$D$25</f>
        <v>7.5960000000000003E-3</v>
      </c>
      <c r="D55" s="242">
        <f>'Other parameters'!$G$25</f>
        <v>26.7</v>
      </c>
      <c r="E55" s="234">
        <v>0</v>
      </c>
      <c r="F55" s="248">
        <f t="shared" si="26"/>
        <v>7.144786073144645E-3</v>
      </c>
      <c r="G55" s="248">
        <f t="shared" si="27"/>
        <v>0.76</v>
      </c>
      <c r="H55" s="249">
        <f t="shared" si="28"/>
        <v>0.22810707978975397</v>
      </c>
      <c r="I55" s="122"/>
      <c r="J55" s="244">
        <v>0</v>
      </c>
      <c r="K55" s="245">
        <v>0</v>
      </c>
      <c r="L55" s="245">
        <v>0</v>
      </c>
      <c r="M55" s="245">
        <v>0</v>
      </c>
      <c r="N55" s="245">
        <f t="shared" si="29"/>
        <v>0.88421408343863628</v>
      </c>
      <c r="O55" s="245">
        <f t="shared" si="30"/>
        <v>8.0533502994905443E-3</v>
      </c>
      <c r="P55" s="245">
        <f t="shared" si="31"/>
        <v>1.6206262774206972E-2</v>
      </c>
      <c r="Q55" s="245">
        <f t="shared" si="32"/>
        <v>9.1526303487666452E-2</v>
      </c>
      <c r="R55" s="243">
        <f t="shared" si="24"/>
        <v>1.0000000000000002</v>
      </c>
      <c r="S55" s="250"/>
      <c r="T55" s="244">
        <f t="shared" si="9"/>
        <v>1.1320831716344015E-2</v>
      </c>
      <c r="U55" s="246">
        <f t="shared" si="14"/>
        <v>0.30226620682638522</v>
      </c>
      <c r="V55" s="246">
        <f t="shared" si="15"/>
        <v>0</v>
      </c>
      <c r="W55" s="246">
        <f t="shared" si="16"/>
        <v>3.6252777420984088E-2</v>
      </c>
      <c r="X55" s="246">
        <f t="shared" si="17"/>
        <v>1.4415497036088074E-3</v>
      </c>
      <c r="Y55" s="246">
        <f t="shared" si="18"/>
        <v>1.1344383941944882E-3</v>
      </c>
      <c r="Z55" s="246">
        <f t="shared" si="10"/>
        <v>0.34109497234517261</v>
      </c>
      <c r="AA55" s="247">
        <f t="shared" si="11"/>
        <v>7.7806178072624216E-2</v>
      </c>
      <c r="AB55" s="122"/>
      <c r="AC55" s="244">
        <f t="shared" si="19"/>
        <v>0</v>
      </c>
      <c r="AD55" s="245">
        <f t="shared" si="20"/>
        <v>0</v>
      </c>
      <c r="AE55" s="245">
        <f t="shared" si="21"/>
        <v>545.6485108899825</v>
      </c>
      <c r="AF55" s="245">
        <f t="shared" si="22"/>
        <v>7.7078615716424004</v>
      </c>
      <c r="AG55" s="245">
        <f t="shared" si="23"/>
        <v>10.000884757963123</v>
      </c>
      <c r="AH55" s="245">
        <f t="shared" si="12"/>
        <v>563.35725721958806</v>
      </c>
      <c r="AI55" s="247">
        <f t="shared" si="33"/>
        <v>128.50577882272552</v>
      </c>
      <c r="AK55" s="259"/>
      <c r="AL55" s="59"/>
    </row>
    <row r="56" spans="1:38">
      <c r="A56" s="122"/>
      <c r="B56" s="241">
        <v>52</v>
      </c>
      <c r="C56" s="248">
        <f>'Other parameters'!$D$25</f>
        <v>7.5960000000000003E-3</v>
      </c>
      <c r="D56" s="242">
        <f>'Other parameters'!$G$25</f>
        <v>26.7</v>
      </c>
      <c r="E56" s="234">
        <v>0</v>
      </c>
      <c r="F56" s="248">
        <f t="shared" si="26"/>
        <v>6.4648697828434826E-3</v>
      </c>
      <c r="G56" s="248">
        <f t="shared" si="27"/>
        <v>0.76</v>
      </c>
      <c r="H56" s="249">
        <f t="shared" si="28"/>
        <v>0.22146318426189707</v>
      </c>
      <c r="I56" s="122"/>
      <c r="J56" s="244">
        <v>0</v>
      </c>
      <c r="K56" s="245">
        <v>0</v>
      </c>
      <c r="L56" s="245">
        <v>0</v>
      </c>
      <c r="M56" s="245">
        <v>0</v>
      </c>
      <c r="N56" s="245">
        <f t="shared" si="29"/>
        <v>0.88058274089086275</v>
      </c>
      <c r="O56" s="245">
        <f t="shared" si="30"/>
        <v>8.0202763255034591E-3</v>
      </c>
      <c r="P56" s="245">
        <f t="shared" si="31"/>
        <v>1.6157564625238697E-2</v>
      </c>
      <c r="Q56" s="245">
        <f t="shared" si="32"/>
        <v>9.5239418158395331E-2</v>
      </c>
      <c r="R56" s="243">
        <f t="shared" si="24"/>
        <v>1.0000000000000002</v>
      </c>
      <c r="S56" s="250"/>
      <c r="T56" s="244">
        <f t="shared" si="9"/>
        <v>1.1309114670728882E-2</v>
      </c>
      <c r="U56" s="246">
        <f t="shared" si="14"/>
        <v>0.30195336170846115</v>
      </c>
      <c r="V56" s="246">
        <f t="shared" si="15"/>
        <v>0</v>
      </c>
      <c r="W56" s="246">
        <f t="shared" si="16"/>
        <v>3.6103892376525372E-2</v>
      </c>
      <c r="X56" s="246">
        <f t="shared" si="17"/>
        <v>1.4356294622651191E-3</v>
      </c>
      <c r="Y56" s="246">
        <f t="shared" si="18"/>
        <v>1.1310295237667088E-3</v>
      </c>
      <c r="Z56" s="246">
        <f t="shared" si="10"/>
        <v>0.34062391307101836</v>
      </c>
      <c r="AA56" s="247">
        <f t="shared" si="11"/>
        <v>7.543565642445535E-2</v>
      </c>
      <c r="AB56" s="122"/>
      <c r="AC56" s="244">
        <f t="shared" si="19"/>
        <v>0</v>
      </c>
      <c r="AD56" s="245">
        <f t="shared" si="20"/>
        <v>0</v>
      </c>
      <c r="AE56" s="245">
        <f t="shared" si="21"/>
        <v>543.40760940375139</v>
      </c>
      <c r="AF56" s="245">
        <f t="shared" si="22"/>
        <v>7.6762064711393609</v>
      </c>
      <c r="AG56" s="245">
        <f t="shared" si="23"/>
        <v>9.9708331302347997</v>
      </c>
      <c r="AH56" s="245">
        <f t="shared" si="12"/>
        <v>561.05464900512561</v>
      </c>
      <c r="AI56" s="247">
        <f t="shared" si="33"/>
        <v>124.25294911361611</v>
      </c>
      <c r="AK56" s="259"/>
      <c r="AL56" s="59"/>
    </row>
    <row r="57" spans="1:38">
      <c r="A57" s="122"/>
      <c r="B57" s="241">
        <v>53</v>
      </c>
      <c r="C57" s="248">
        <f>'Other parameters'!$D$25</f>
        <v>7.5960000000000003E-3</v>
      </c>
      <c r="D57" s="242">
        <f>'Other parameters'!$G$25</f>
        <v>26.7</v>
      </c>
      <c r="E57" s="234">
        <v>0</v>
      </c>
      <c r="F57" s="248">
        <f t="shared" si="26"/>
        <v>5.8496560822467909E-3</v>
      </c>
      <c r="G57" s="248">
        <f t="shared" si="27"/>
        <v>0.76</v>
      </c>
      <c r="H57" s="249">
        <f t="shared" si="28"/>
        <v>0.215012800254269</v>
      </c>
      <c r="I57" s="122"/>
      <c r="J57" s="244">
        <v>0</v>
      </c>
      <c r="K57" s="245">
        <v>0</v>
      </c>
      <c r="L57" s="245">
        <v>0</v>
      </c>
      <c r="M57" s="245">
        <v>0</v>
      </c>
      <c r="N57" s="245">
        <f t="shared" si="29"/>
        <v>0.87696631175483675</v>
      </c>
      <c r="O57" s="245">
        <f t="shared" si="30"/>
        <v>7.9873381816634066E-3</v>
      </c>
      <c r="P57" s="245">
        <f t="shared" si="31"/>
        <v>1.6106084072001963E-2</v>
      </c>
      <c r="Q57" s="245">
        <f t="shared" si="32"/>
        <v>9.8940265991498133E-2</v>
      </c>
      <c r="R57" s="243">
        <f t="shared" si="24"/>
        <v>1.0000000000000002</v>
      </c>
      <c r="S57" s="250"/>
      <c r="T57" s="244">
        <f t="shared" si="9"/>
        <v>1.1296847833102796E-2</v>
      </c>
      <c r="U57" s="246">
        <f t="shared" si="14"/>
        <v>0.30162583714384461</v>
      </c>
      <c r="V57" s="246">
        <f t="shared" si="15"/>
        <v>0</v>
      </c>
      <c r="W57" s="246">
        <f t="shared" si="16"/>
        <v>3.5955618781948306E-2</v>
      </c>
      <c r="X57" s="246">
        <f t="shared" si="17"/>
        <v>1.4297335345177498E-3</v>
      </c>
      <c r="Y57" s="246">
        <f t="shared" si="18"/>
        <v>1.1274258850401376E-3</v>
      </c>
      <c r="Z57" s="246">
        <f t="shared" si="10"/>
        <v>0.34013861534535078</v>
      </c>
      <c r="AA57" s="247">
        <f t="shared" si="11"/>
        <v>7.313415616001355E-2</v>
      </c>
      <c r="AB57" s="122"/>
      <c r="AC57" s="244">
        <f t="shared" si="19"/>
        <v>0</v>
      </c>
      <c r="AD57" s="245">
        <f t="shared" si="20"/>
        <v>0</v>
      </c>
      <c r="AE57" s="245">
        <f t="shared" si="21"/>
        <v>541.17591098390983</v>
      </c>
      <c r="AF57" s="245">
        <f t="shared" si="22"/>
        <v>7.6446813736700463</v>
      </c>
      <c r="AG57" s="245">
        <f t="shared" si="23"/>
        <v>9.9390644808324122</v>
      </c>
      <c r="AH57" s="245">
        <f t="shared" si="12"/>
        <v>558.7596568384123</v>
      </c>
      <c r="AI57" s="247">
        <f t="shared" si="33"/>
        <v>120.14047848594143</v>
      </c>
      <c r="AK57" s="259"/>
      <c r="AL57" s="59"/>
    </row>
    <row r="58" spans="1:38">
      <c r="A58" s="122"/>
      <c r="B58" s="241">
        <v>54</v>
      </c>
      <c r="C58" s="248">
        <f>'Other parameters'!$D$25</f>
        <v>7.5960000000000003E-3</v>
      </c>
      <c r="D58" s="242">
        <f>'Other parameters'!$G$25</f>
        <v>26.7</v>
      </c>
      <c r="E58" s="234">
        <v>0</v>
      </c>
      <c r="F58" s="248">
        <f t="shared" si="26"/>
        <v>5.2929877058585347E-3</v>
      </c>
      <c r="G58" s="248">
        <f t="shared" si="27"/>
        <v>0.76</v>
      </c>
      <c r="H58" s="249">
        <f t="shared" si="28"/>
        <v>0.20875029150899907</v>
      </c>
      <c r="I58" s="122"/>
      <c r="J58" s="244">
        <v>0</v>
      </c>
      <c r="K58" s="245">
        <v>0</v>
      </c>
      <c r="L58" s="245">
        <v>0</v>
      </c>
      <c r="M58" s="245">
        <v>0</v>
      </c>
      <c r="N58" s="245">
        <f t="shared" si="29"/>
        <v>0.87336473478327936</v>
      </c>
      <c r="O58" s="245">
        <f t="shared" si="30"/>
        <v>7.9545353101351298E-3</v>
      </c>
      <c r="P58" s="245">
        <f t="shared" si="31"/>
        <v>1.6052330602355419E-2</v>
      </c>
      <c r="Q58" s="245">
        <f t="shared" si="32"/>
        <v>0.10262839930423039</v>
      </c>
      <c r="R58" s="243">
        <f t="shared" si="24"/>
        <v>1.0000000000000002</v>
      </c>
      <c r="S58" s="250"/>
      <c r="T58" s="244">
        <f t="shared" si="9"/>
        <v>1.1284133312732255E-2</v>
      </c>
      <c r="U58" s="246">
        <f t="shared" si="14"/>
        <v>0.30128635944995119</v>
      </c>
      <c r="V58" s="246">
        <f t="shared" si="15"/>
        <v>0</v>
      </c>
      <c r="W58" s="246">
        <f t="shared" si="16"/>
        <v>3.5807954126114455E-2</v>
      </c>
      <c r="X58" s="246">
        <f t="shared" si="17"/>
        <v>1.4238618205141881E-3</v>
      </c>
      <c r="Y58" s="246">
        <f t="shared" si="18"/>
        <v>1.1236631421648795E-3</v>
      </c>
      <c r="Z58" s="246">
        <f t="shared" si="10"/>
        <v>0.33964183853874474</v>
      </c>
      <c r="AA58" s="247">
        <f t="shared" si="11"/>
        <v>7.0900332803615365E-2</v>
      </c>
      <c r="AB58" s="122"/>
      <c r="AC58" s="244">
        <f t="shared" si="19"/>
        <v>0</v>
      </c>
      <c r="AD58" s="245">
        <f t="shared" si="20"/>
        <v>0</v>
      </c>
      <c r="AE58" s="245">
        <f t="shared" si="21"/>
        <v>538.95337783476168</v>
      </c>
      <c r="AF58" s="245">
        <f t="shared" si="22"/>
        <v>7.6132857453303329</v>
      </c>
      <c r="AG58" s="245">
        <f t="shared" si="23"/>
        <v>9.9058932147135295</v>
      </c>
      <c r="AH58" s="245">
        <f t="shared" si="12"/>
        <v>556.47255679480554</v>
      </c>
      <c r="AI58" s="247">
        <f t="shared" si="33"/>
        <v>116.1638084476737</v>
      </c>
      <c r="AK58" s="259"/>
      <c r="AL58" s="59"/>
    </row>
    <row r="59" spans="1:38">
      <c r="A59" s="122"/>
      <c r="B59" s="241">
        <v>55</v>
      </c>
      <c r="C59" s="248">
        <f>'Other parameters'!$D$26</f>
        <v>9.7777999999999997E-3</v>
      </c>
      <c r="D59" s="242">
        <f>'Other parameters'!$G$26</f>
        <v>22.7</v>
      </c>
      <c r="E59" s="234">
        <v>0</v>
      </c>
      <c r="F59" s="248">
        <f t="shared" si="26"/>
        <v>4.7892933294651132E-3</v>
      </c>
      <c r="G59" s="248">
        <f t="shared" si="27"/>
        <v>0.76</v>
      </c>
      <c r="H59" s="249">
        <f t="shared" si="28"/>
        <v>0.20267018593106703</v>
      </c>
      <c r="I59" s="122"/>
      <c r="J59" s="244">
        <v>0</v>
      </c>
      <c r="K59" s="245">
        <v>0</v>
      </c>
      <c r="L59" s="245">
        <v>0</v>
      </c>
      <c r="M59" s="245">
        <v>0</v>
      </c>
      <c r="N59" s="245">
        <f t="shared" si="29"/>
        <v>0.86977794898044558</v>
      </c>
      <c r="O59" s="245">
        <f t="shared" si="30"/>
        <v>7.9218671553743202E-3</v>
      </c>
      <c r="P59" s="245">
        <f t="shared" si="31"/>
        <v>1.5996728435589847E-2</v>
      </c>
      <c r="Q59" s="245">
        <f t="shared" si="32"/>
        <v>0.10630345542859063</v>
      </c>
      <c r="R59" s="243">
        <f t="shared" si="24"/>
        <v>1.0000000000000004</v>
      </c>
      <c r="S59" s="250"/>
      <c r="T59" s="244">
        <f t="shared" si="9"/>
        <v>1.3452856124360247E-2</v>
      </c>
      <c r="U59" s="246">
        <f t="shared" si="14"/>
        <v>0.30537983402297758</v>
      </c>
      <c r="V59" s="246">
        <f t="shared" si="15"/>
        <v>0</v>
      </c>
      <c r="W59" s="246">
        <f t="shared" si="16"/>
        <v>3.5660895908198272E-2</v>
      </c>
      <c r="X59" s="246">
        <f t="shared" si="17"/>
        <v>1.4180142208120032E-3</v>
      </c>
      <c r="Y59" s="246">
        <f t="shared" si="18"/>
        <v>1.1197709904912894E-3</v>
      </c>
      <c r="Z59" s="246">
        <f t="shared" si="10"/>
        <v>0.34357851514247911</v>
      </c>
      <c r="AA59" s="247">
        <f t="shared" si="11"/>
        <v>6.9633121545846166E-2</v>
      </c>
      <c r="AB59" s="122"/>
      <c r="AC59" s="244">
        <f t="shared" si="19"/>
        <v>0</v>
      </c>
      <c r="AD59" s="245">
        <f t="shared" si="20"/>
        <v>0</v>
      </c>
      <c r="AE59" s="245">
        <f t="shared" si="21"/>
        <v>536.73997231583303</v>
      </c>
      <c r="AF59" s="245">
        <f t="shared" si="22"/>
        <v>7.5820190544087618</v>
      </c>
      <c r="AG59" s="245">
        <f t="shared" si="23"/>
        <v>9.8715811176024957</v>
      </c>
      <c r="AH59" s="245">
        <f t="shared" si="12"/>
        <v>554.19357248784434</v>
      </c>
      <c r="AI59" s="247">
        <f t="shared" si="33"/>
        <v>112.31851437791369</v>
      </c>
      <c r="AK59" s="259"/>
      <c r="AL59" s="59"/>
    </row>
    <row r="60" spans="1:38">
      <c r="A60" s="122"/>
      <c r="B60" s="241">
        <v>56</v>
      </c>
      <c r="C60" s="248">
        <f>'Other parameters'!$D$26</f>
        <v>9.7777999999999997E-3</v>
      </c>
      <c r="D60" s="242">
        <f>'Other parameters'!$G$26</f>
        <v>22.7</v>
      </c>
      <c r="E60" s="234">
        <v>0</v>
      </c>
      <c r="F60" s="248">
        <f t="shared" si="26"/>
        <v>4.3335318104500576E-3</v>
      </c>
      <c r="G60" s="248">
        <f t="shared" si="27"/>
        <v>0.76</v>
      </c>
      <c r="H60" s="249">
        <f t="shared" si="28"/>
        <v>0.19676717080686118</v>
      </c>
      <c r="I60" s="122"/>
      <c r="J60" s="244">
        <v>0</v>
      </c>
      <c r="K60" s="245">
        <v>0</v>
      </c>
      <c r="L60" s="245">
        <v>0</v>
      </c>
      <c r="M60" s="245">
        <v>0</v>
      </c>
      <c r="N60" s="245">
        <f t="shared" si="29"/>
        <v>0.86620589360109124</v>
      </c>
      <c r="O60" s="245">
        <f t="shared" si="30"/>
        <v>7.8893331641182139E-3</v>
      </c>
      <c r="P60" s="245">
        <f t="shared" si="31"/>
        <v>1.5939630763035034E-2</v>
      </c>
      <c r="Q60" s="245">
        <f t="shared" si="32"/>
        <v>0.10996514247175593</v>
      </c>
      <c r="R60" s="243">
        <f t="shared" si="24"/>
        <v>1.0000000000000004</v>
      </c>
      <c r="S60" s="250"/>
      <c r="T60" s="244">
        <f t="shared" si="9"/>
        <v>1.3439487043165294E-2</v>
      </c>
      <c r="U60" s="246">
        <f t="shared" si="14"/>
        <v>0.30507635587985216</v>
      </c>
      <c r="V60" s="246">
        <f t="shared" si="15"/>
        <v>0</v>
      </c>
      <c r="W60" s="246">
        <f t="shared" si="16"/>
        <v>3.5514441637644743E-2</v>
      </c>
      <c r="X60" s="246">
        <f t="shared" si="17"/>
        <v>1.4121906363771602E-3</v>
      </c>
      <c r="Y60" s="246">
        <f t="shared" si="18"/>
        <v>1.1157741534124526E-3</v>
      </c>
      <c r="Z60" s="246">
        <f t="shared" si="10"/>
        <v>0.3431187623072865</v>
      </c>
      <c r="AA60" s="247">
        <f t="shared" si="11"/>
        <v>6.7514508109956642E-2</v>
      </c>
      <c r="AB60" s="122"/>
      <c r="AC60" s="244">
        <f t="shared" si="19"/>
        <v>0</v>
      </c>
      <c r="AD60" s="245">
        <f t="shared" si="20"/>
        <v>0</v>
      </c>
      <c r="AE60" s="245">
        <f t="shared" si="21"/>
        <v>534.53565694123347</v>
      </c>
      <c r="AF60" s="245">
        <f t="shared" si="22"/>
        <v>7.5508807713775425</v>
      </c>
      <c r="AG60" s="245">
        <f t="shared" si="23"/>
        <v>9.8363461438689193</v>
      </c>
      <c r="AH60" s="245">
        <f t="shared" si="12"/>
        <v>551.92288385647998</v>
      </c>
      <c r="AI60" s="247">
        <f t="shared" si="33"/>
        <v>108.60030436000341</v>
      </c>
      <c r="AK60" s="259"/>
      <c r="AL60" s="59"/>
    </row>
    <row r="61" spans="1:38">
      <c r="A61" s="122"/>
      <c r="B61" s="241">
        <v>57</v>
      </c>
      <c r="C61" s="248">
        <f>'Other parameters'!$D$26</f>
        <v>9.7777999999999997E-3</v>
      </c>
      <c r="D61" s="242">
        <f>'Other parameters'!$G$26</f>
        <v>22.7</v>
      </c>
      <c r="E61" s="234">
        <v>0</v>
      </c>
      <c r="F61" s="248">
        <f t="shared" ref="F61:F92" si="34">IF(B61&lt;rf2age,0,(pA2_3p*EXP(-0.1*(B61-$B$28))))</f>
        <v>3.9211417343443262E-3</v>
      </c>
      <c r="G61" s="248">
        <f t="shared" si="27"/>
        <v>0.76</v>
      </c>
      <c r="H61" s="249">
        <f t="shared" si="28"/>
        <v>0.19103608816200118</v>
      </c>
      <c r="I61" s="122"/>
      <c r="J61" s="244">
        <v>0</v>
      </c>
      <c r="K61" s="245">
        <v>0</v>
      </c>
      <c r="L61" s="245">
        <v>0</v>
      </c>
      <c r="M61" s="245">
        <v>0</v>
      </c>
      <c r="N61" s="245">
        <f t="shared" si="29"/>
        <v>0.86264850814944438</v>
      </c>
      <c r="O61" s="245">
        <f t="shared" si="30"/>
        <v>7.8569327853762125E-3</v>
      </c>
      <c r="P61" s="245">
        <f t="shared" si="31"/>
        <v>1.5881331610482219E-2</v>
      </c>
      <c r="Q61" s="245">
        <f t="shared" si="32"/>
        <v>0.11361322745469755</v>
      </c>
      <c r="R61" s="243">
        <f t="shared" si="24"/>
        <v>1.0000000000000004</v>
      </c>
      <c r="S61" s="250"/>
      <c r="T61" s="244">
        <f t="shared" si="9"/>
        <v>1.3425884982941626E-2</v>
      </c>
      <c r="U61" s="246">
        <f t="shared" si="14"/>
        <v>0.30476758911277491</v>
      </c>
      <c r="V61" s="246">
        <f t="shared" si="15"/>
        <v>0</v>
      </c>
      <c r="W61" s="246">
        <f t="shared" si="16"/>
        <v>3.5368588834127218E-2</v>
      </c>
      <c r="X61" s="246">
        <f t="shared" si="17"/>
        <v>1.4063909685823419E-3</v>
      </c>
      <c r="Y61" s="246">
        <f t="shared" si="18"/>
        <v>1.1116932127337555E-3</v>
      </c>
      <c r="Z61" s="246">
        <f t="shared" si="10"/>
        <v>0.3426542621282182</v>
      </c>
      <c r="AA61" s="247">
        <f t="shared" si="11"/>
        <v>6.5459329829011759E-2</v>
      </c>
      <c r="AB61" s="122"/>
      <c r="AC61" s="244">
        <f t="shared" si="19"/>
        <v>0</v>
      </c>
      <c r="AD61" s="245">
        <f t="shared" si="20"/>
        <v>0</v>
      </c>
      <c r="AE61" s="245">
        <f t="shared" si="21"/>
        <v>532.3403943790222</v>
      </c>
      <c r="AF61" s="245">
        <f t="shared" si="22"/>
        <v>7.5198703688835735</v>
      </c>
      <c r="AG61" s="245">
        <f t="shared" si="23"/>
        <v>9.8003697368285785</v>
      </c>
      <c r="AH61" s="245">
        <f t="shared" si="12"/>
        <v>549.66063448473437</v>
      </c>
      <c r="AI61" s="247">
        <f t="shared" si="33"/>
        <v>105.00501742860722</v>
      </c>
      <c r="AK61" s="259"/>
      <c r="AL61" s="59"/>
    </row>
    <row r="62" spans="1:38">
      <c r="A62" s="122"/>
      <c r="B62" s="241">
        <v>58</v>
      </c>
      <c r="C62" s="248">
        <f>'Other parameters'!$D$26</f>
        <v>9.7777999999999997E-3</v>
      </c>
      <c r="D62" s="242">
        <f>'Other parameters'!$G$26</f>
        <v>22.7</v>
      </c>
      <c r="E62" s="234">
        <v>0</v>
      </c>
      <c r="F62" s="248">
        <f t="shared" si="34"/>
        <v>3.5479957626571644E-3</v>
      </c>
      <c r="G62" s="248">
        <f t="shared" si="27"/>
        <v>0.76</v>
      </c>
      <c r="H62" s="249">
        <f t="shared" si="28"/>
        <v>0.18547193025437006</v>
      </c>
      <c r="I62" s="122"/>
      <c r="J62" s="244">
        <v>0</v>
      </c>
      <c r="K62" s="245">
        <v>0</v>
      </c>
      <c r="L62" s="245">
        <v>0</v>
      </c>
      <c r="M62" s="245">
        <v>0</v>
      </c>
      <c r="N62" s="245">
        <f t="shared" si="29"/>
        <v>0.85910573237818078</v>
      </c>
      <c r="O62" s="245">
        <f t="shared" si="30"/>
        <v>7.8246654704205651E-3</v>
      </c>
      <c r="P62" s="245">
        <f t="shared" si="31"/>
        <v>1.5822075719578884E-2</v>
      </c>
      <c r="Q62" s="245">
        <f t="shared" si="32"/>
        <v>0.11724752643182011</v>
      </c>
      <c r="R62" s="243">
        <f t="shared" si="24"/>
        <v>1.0000000000000002</v>
      </c>
      <c r="S62" s="250"/>
      <c r="T62" s="244">
        <f t="shared" si="9"/>
        <v>1.3412098977122557E-2</v>
      </c>
      <c r="U62" s="246">
        <f t="shared" si="14"/>
        <v>0.30445464678068201</v>
      </c>
      <c r="V62" s="246">
        <f t="shared" si="15"/>
        <v>0</v>
      </c>
      <c r="W62" s="246">
        <f t="shared" si="16"/>
        <v>3.5223335027505416E-2</v>
      </c>
      <c r="X62" s="246">
        <f t="shared" si="17"/>
        <v>1.4006151192052811E-3</v>
      </c>
      <c r="Y62" s="246">
        <f t="shared" si="18"/>
        <v>1.107545300370522E-3</v>
      </c>
      <c r="Z62" s="246">
        <f t="shared" si="10"/>
        <v>0.34218614222776328</v>
      </c>
      <c r="AA62" s="247">
        <f t="shared" si="11"/>
        <v>6.346592430527967E-2</v>
      </c>
      <c r="AB62" s="122"/>
      <c r="AC62" s="244">
        <f t="shared" si="19"/>
        <v>0</v>
      </c>
      <c r="AD62" s="245">
        <f t="shared" si="20"/>
        <v>0</v>
      </c>
      <c r="AE62" s="245">
        <f t="shared" si="21"/>
        <v>530.15414745057535</v>
      </c>
      <c r="AF62" s="245">
        <f t="shared" si="22"/>
        <v>7.4889873217395229</v>
      </c>
      <c r="AG62" s="245">
        <f t="shared" si="23"/>
        <v>9.7638029265521293</v>
      </c>
      <c r="AH62" s="245">
        <f t="shared" si="12"/>
        <v>547.40693769886695</v>
      </c>
      <c r="AI62" s="247">
        <f t="shared" si="33"/>
        <v>101.52862136964255</v>
      </c>
      <c r="AK62" s="259"/>
      <c r="AL62" s="59"/>
    </row>
    <row r="63" spans="1:38">
      <c r="A63" s="122"/>
      <c r="B63" s="241">
        <v>59</v>
      </c>
      <c r="C63" s="248">
        <f>'Other parameters'!$D$26</f>
        <v>9.7777999999999997E-3</v>
      </c>
      <c r="D63" s="242">
        <f>'Other parameters'!$G$26</f>
        <v>22.7</v>
      </c>
      <c r="E63" s="234">
        <v>0</v>
      </c>
      <c r="F63" s="248">
        <f t="shared" si="34"/>
        <v>3.2103593250852355E-3</v>
      </c>
      <c r="G63" s="248">
        <f t="shared" si="27"/>
        <v>0.76</v>
      </c>
      <c r="H63" s="249">
        <f t="shared" si="28"/>
        <v>0.18006983519841754</v>
      </c>
      <c r="I63" s="122"/>
      <c r="J63" s="244">
        <v>0</v>
      </c>
      <c r="K63" s="245">
        <v>0</v>
      </c>
      <c r="L63" s="245">
        <v>0</v>
      </c>
      <c r="M63" s="245">
        <v>0</v>
      </c>
      <c r="N63" s="245">
        <f t="shared" si="29"/>
        <v>0.85557750628740337</v>
      </c>
      <c r="O63" s="245">
        <f t="shared" si="30"/>
        <v>7.7925306727770665E-3</v>
      </c>
      <c r="P63" s="245">
        <f t="shared" si="31"/>
        <v>1.5762066779027535E-2</v>
      </c>
      <c r="Q63" s="245">
        <f t="shared" si="32"/>
        <v>0.12086789626079236</v>
      </c>
      <c r="R63" s="243">
        <f t="shared" si="24"/>
        <v>1.0000000000000004</v>
      </c>
      <c r="S63" s="250"/>
      <c r="T63" s="244">
        <f t="shared" si="9"/>
        <v>1.3398169828972245E-2</v>
      </c>
      <c r="U63" s="246">
        <f t="shared" si="14"/>
        <v>0.30413845511766996</v>
      </c>
      <c r="V63" s="246">
        <f t="shared" si="15"/>
        <v>0</v>
      </c>
      <c r="W63" s="246">
        <f t="shared" si="16"/>
        <v>3.507867775778354E-2</v>
      </c>
      <c r="X63" s="246">
        <f t="shared" si="17"/>
        <v>1.3948629904270949E-3</v>
      </c>
      <c r="Y63" s="246">
        <f t="shared" si="18"/>
        <v>1.1033446745319275E-3</v>
      </c>
      <c r="Z63" s="246">
        <f t="shared" si="10"/>
        <v>0.34171534054041253</v>
      </c>
      <c r="AA63" s="247">
        <f t="shared" si="11"/>
        <v>6.1532625055883215E-2</v>
      </c>
      <c r="AB63" s="122"/>
      <c r="AC63" s="244">
        <f t="shared" si="19"/>
        <v>0</v>
      </c>
      <c r="AD63" s="245">
        <f t="shared" si="20"/>
        <v>0</v>
      </c>
      <c r="AE63" s="245">
        <f t="shared" si="21"/>
        <v>527.97687912995661</v>
      </c>
      <c r="AF63" s="245">
        <f t="shared" si="22"/>
        <v>7.4582311069149307</v>
      </c>
      <c r="AG63" s="245">
        <f t="shared" si="23"/>
        <v>9.7267714093378927</v>
      </c>
      <c r="AH63" s="245">
        <f t="shared" si="12"/>
        <v>545.16188164620939</v>
      </c>
      <c r="AI63" s="247">
        <f t="shared" si="33"/>
        <v>98.167210184492134</v>
      </c>
      <c r="AK63" s="259"/>
      <c r="AL63" s="59"/>
    </row>
    <row r="64" spans="1:38">
      <c r="A64" s="122"/>
      <c r="B64" s="241">
        <v>60</v>
      </c>
      <c r="C64" s="248">
        <f>'Other parameters'!$D$27</f>
        <v>1.46842E-2</v>
      </c>
      <c r="D64" s="242">
        <f>'Other parameters'!$G$27</f>
        <v>18.7</v>
      </c>
      <c r="E64" s="234">
        <v>0</v>
      </c>
      <c r="F64" s="248">
        <f t="shared" si="34"/>
        <v>2.90485324267779E-3</v>
      </c>
      <c r="G64" s="248">
        <f t="shared" si="27"/>
        <v>0.76</v>
      </c>
      <c r="H64" s="249">
        <f t="shared" si="28"/>
        <v>0.17482508271691022</v>
      </c>
      <c r="I64" s="122"/>
      <c r="J64" s="244">
        <v>0</v>
      </c>
      <c r="K64" s="245">
        <v>0</v>
      </c>
      <c r="L64" s="245">
        <v>0</v>
      </c>
      <c r="M64" s="245">
        <v>0</v>
      </c>
      <c r="N64" s="245">
        <f t="shared" si="29"/>
        <v>0.85206377012362622</v>
      </c>
      <c r="O64" s="245">
        <f t="shared" si="30"/>
        <v>7.760527848215802E-3</v>
      </c>
      <c r="P64" s="245">
        <f t="shared" si="31"/>
        <v>1.5701474281171232E-2</v>
      </c>
      <c r="Q64" s="245">
        <f t="shared" si="32"/>
        <v>0.12447422774698709</v>
      </c>
      <c r="R64" s="243">
        <f t="shared" si="24"/>
        <v>1.0000000000000002</v>
      </c>
      <c r="S64" s="250"/>
      <c r="T64" s="244">
        <f t="shared" si="9"/>
        <v>1.8290531486194733E-2</v>
      </c>
      <c r="U64" s="246">
        <f t="shared" si="14"/>
        <v>0.34203293879184149</v>
      </c>
      <c r="V64" s="246">
        <f t="shared" si="15"/>
        <v>0</v>
      </c>
      <c r="W64" s="246">
        <f t="shared" si="16"/>
        <v>3.4934614575068676E-2</v>
      </c>
      <c r="X64" s="246">
        <f t="shared" si="17"/>
        <v>1.3891344848306285E-3</v>
      </c>
      <c r="Y64" s="246">
        <f t="shared" si="18"/>
        <v>1.0991031996819864E-3</v>
      </c>
      <c r="Z64" s="246">
        <f t="shared" si="10"/>
        <v>0.3794557910514228</v>
      </c>
      <c r="AA64" s="247">
        <f t="shared" si="11"/>
        <v>6.6338390057975594E-2</v>
      </c>
      <c r="AB64" s="122"/>
      <c r="AC64" s="244">
        <f t="shared" si="19"/>
        <v>0</v>
      </c>
      <c r="AD64" s="245">
        <f t="shared" si="20"/>
        <v>0</v>
      </c>
      <c r="AE64" s="245">
        <f t="shared" si="21"/>
        <v>525.80855254328981</v>
      </c>
      <c r="AF64" s="245">
        <f t="shared" si="22"/>
        <v>7.4276012035273444</v>
      </c>
      <c r="AG64" s="245">
        <f t="shared" si="23"/>
        <v>9.6893797789107676</v>
      </c>
      <c r="AH64" s="245">
        <f t="shared" si="12"/>
        <v>542.92553352572793</v>
      </c>
      <c r="AI64" s="247">
        <f t="shared" si="33"/>
        <v>94.917001307757999</v>
      </c>
      <c r="AK64" s="259"/>
      <c r="AL64" s="59"/>
    </row>
    <row r="65" spans="1:38">
      <c r="A65" s="122"/>
      <c r="B65" s="241">
        <v>61</v>
      </c>
      <c r="C65" s="248">
        <f>'Other parameters'!$D$27</f>
        <v>1.46842E-2</v>
      </c>
      <c r="D65" s="242">
        <f>'Other parameters'!$G$27</f>
        <v>18.7</v>
      </c>
      <c r="E65" s="234">
        <v>0</v>
      </c>
      <c r="F65" s="248">
        <f t="shared" si="34"/>
        <v>2.6284199078779559E-3</v>
      </c>
      <c r="G65" s="248">
        <f t="shared" si="27"/>
        <v>0.76</v>
      </c>
      <c r="H65" s="249">
        <f t="shared" si="28"/>
        <v>0.1697330900164177</v>
      </c>
      <c r="I65" s="122"/>
      <c r="J65" s="244">
        <v>0</v>
      </c>
      <c r="K65" s="245">
        <v>0</v>
      </c>
      <c r="L65" s="245">
        <v>0</v>
      </c>
      <c r="M65" s="245">
        <v>0</v>
      </c>
      <c r="N65" s="245">
        <f t="shared" si="29"/>
        <v>0.84856446437876243</v>
      </c>
      <c r="O65" s="245">
        <f t="shared" si="30"/>
        <v>7.7286564547419346E-3</v>
      </c>
      <c r="P65" s="245">
        <f t="shared" si="31"/>
        <v>1.564043923352626E-2</v>
      </c>
      <c r="Q65" s="245">
        <f t="shared" si="32"/>
        <v>0.12806643993296965</v>
      </c>
      <c r="R65" s="243">
        <f t="shared" si="24"/>
        <v>1.0000000000000002</v>
      </c>
      <c r="S65" s="250"/>
      <c r="T65" s="244">
        <f t="shared" si="9"/>
        <v>1.8276412185982572E-2</v>
      </c>
      <c r="U65" s="246">
        <f t="shared" si="14"/>
        <v>0.34176890787787406</v>
      </c>
      <c r="V65" s="246">
        <f t="shared" si="15"/>
        <v>0</v>
      </c>
      <c r="W65" s="246">
        <f t="shared" si="16"/>
        <v>3.4791143039529258E-2</v>
      </c>
      <c r="X65" s="246">
        <f t="shared" si="17"/>
        <v>1.3834295053988062E-3</v>
      </c>
      <c r="Y65" s="246">
        <f t="shared" si="18"/>
        <v>1.0948307463468383E-3</v>
      </c>
      <c r="Z65" s="246">
        <f t="shared" si="10"/>
        <v>0.37903831116914899</v>
      </c>
      <c r="AA65" s="247">
        <f t="shared" si="11"/>
        <v>6.4335343789344107E-2</v>
      </c>
      <c r="AB65" s="122"/>
      <c r="AC65" s="244">
        <f t="shared" si="19"/>
        <v>0</v>
      </c>
      <c r="AD65" s="245">
        <f t="shared" si="20"/>
        <v>0</v>
      </c>
      <c r="AE65" s="245">
        <f t="shared" si="21"/>
        <v>523.64913096813427</v>
      </c>
      <c r="AF65" s="245">
        <f t="shared" si="22"/>
        <v>7.3970970928335058</v>
      </c>
      <c r="AG65" s="245">
        <f t="shared" si="23"/>
        <v>9.6517150510090559</v>
      </c>
      <c r="AH65" s="245">
        <f t="shared" si="12"/>
        <v>540.69794311197688</v>
      </c>
      <c r="AI65" s="247">
        <f t="shared" si="33"/>
        <v>91.774332649917071</v>
      </c>
      <c r="AK65" s="259"/>
      <c r="AL65" s="59"/>
    </row>
    <row r="66" spans="1:38">
      <c r="A66" s="122"/>
      <c r="B66" s="241">
        <v>62</v>
      </c>
      <c r="C66" s="248">
        <f>'Other parameters'!$D$27</f>
        <v>1.46842E-2</v>
      </c>
      <c r="D66" s="242">
        <f>'Other parameters'!$G$27</f>
        <v>18.7</v>
      </c>
      <c r="E66" s="234">
        <v>0</v>
      </c>
      <c r="F66" s="248">
        <f t="shared" si="34"/>
        <v>2.3782926829586043E-3</v>
      </c>
      <c r="G66" s="248">
        <f t="shared" si="27"/>
        <v>0.76</v>
      </c>
      <c r="H66" s="249">
        <f t="shared" si="28"/>
        <v>0.16478940778292983</v>
      </c>
      <c r="I66" s="122"/>
      <c r="J66" s="244">
        <v>0</v>
      </c>
      <c r="K66" s="245">
        <v>0</v>
      </c>
      <c r="L66" s="245">
        <v>0</v>
      </c>
      <c r="M66" s="245">
        <v>0</v>
      </c>
      <c r="N66" s="245">
        <f t="shared" si="29"/>
        <v>0.84507952978911671</v>
      </c>
      <c r="O66" s="245">
        <f t="shared" si="30"/>
        <v>7.696915952586523E-3</v>
      </c>
      <c r="P66" s="245">
        <f t="shared" si="31"/>
        <v>1.5579078916485828E-2</v>
      </c>
      <c r="Q66" s="245">
        <f t="shared" si="32"/>
        <v>0.13164447534181128</v>
      </c>
      <c r="R66" s="243">
        <f t="shared" si="24"/>
        <v>1.0000000000000002</v>
      </c>
      <c r="S66" s="250"/>
      <c r="T66" s="244">
        <f t="shared" si="9"/>
        <v>1.8262235408841629E-2</v>
      </c>
      <c r="U66" s="246">
        <f t="shared" si="14"/>
        <v>0.34150380214533843</v>
      </c>
      <c r="V66" s="246">
        <f t="shared" si="15"/>
        <v>0</v>
      </c>
      <c r="W66" s="246">
        <f t="shared" si="16"/>
        <v>3.4648260721353789E-2</v>
      </c>
      <c r="X66" s="246">
        <f t="shared" si="17"/>
        <v>1.3777479555129877E-3</v>
      </c>
      <c r="Y66" s="246">
        <f t="shared" si="18"/>
        <v>1.0905355241540081E-3</v>
      </c>
      <c r="Z66" s="246">
        <f t="shared" si="10"/>
        <v>0.37862034634635922</v>
      </c>
      <c r="AA66" s="247">
        <f t="shared" si="11"/>
        <v>6.2392622648984312E-2</v>
      </c>
      <c r="AB66" s="122"/>
      <c r="AC66" s="244">
        <f t="shared" si="19"/>
        <v>0</v>
      </c>
      <c r="AD66" s="245">
        <f t="shared" si="20"/>
        <v>0</v>
      </c>
      <c r="AE66" s="245">
        <f t="shared" si="21"/>
        <v>521.49857783286393</v>
      </c>
      <c r="AF66" s="245">
        <f t="shared" si="22"/>
        <v>7.366718258220561</v>
      </c>
      <c r="AG66" s="245">
        <f t="shared" si="23"/>
        <v>9.6138495993634052</v>
      </c>
      <c r="AH66" s="245">
        <f t="shared" si="12"/>
        <v>538.47914569044792</v>
      </c>
      <c r="AI66" s="247">
        <f t="shared" si="33"/>
        <v>88.7356595217869</v>
      </c>
      <c r="AK66" s="259"/>
      <c r="AL66" s="59"/>
    </row>
    <row r="67" spans="1:38">
      <c r="A67" s="122"/>
      <c r="B67" s="241">
        <v>63</v>
      </c>
      <c r="C67" s="248">
        <f>'Other parameters'!$D$27</f>
        <v>1.46842E-2</v>
      </c>
      <c r="D67" s="242">
        <f>'Other parameters'!$G$27</f>
        <v>18.7</v>
      </c>
      <c r="E67" s="234">
        <v>0</v>
      </c>
      <c r="F67" s="248">
        <f t="shared" si="34"/>
        <v>2.151968210582078E-3</v>
      </c>
      <c r="G67" s="248">
        <f t="shared" si="27"/>
        <v>0.76</v>
      </c>
      <c r="H67" s="249">
        <f t="shared" si="28"/>
        <v>0.15998971629410663</v>
      </c>
      <c r="I67" s="122"/>
      <c r="J67" s="244">
        <v>0</v>
      </c>
      <c r="K67" s="245">
        <v>0</v>
      </c>
      <c r="L67" s="245">
        <v>0</v>
      </c>
      <c r="M67" s="245">
        <v>0</v>
      </c>
      <c r="N67" s="245">
        <f t="shared" si="29"/>
        <v>0.84160890733438098</v>
      </c>
      <c r="O67" s="245">
        <f t="shared" si="30"/>
        <v>7.6653058041973822E-3</v>
      </c>
      <c r="P67" s="245">
        <f t="shared" si="31"/>
        <v>1.5517490846484201E-2</v>
      </c>
      <c r="Q67" s="245">
        <f t="shared" si="32"/>
        <v>0.13520829601493772</v>
      </c>
      <c r="R67" s="243">
        <f t="shared" si="24"/>
        <v>1.0000000000000002</v>
      </c>
      <c r="S67" s="250"/>
      <c r="T67" s="244">
        <f t="shared" si="9"/>
        <v>1.8248020673126447E-2</v>
      </c>
      <c r="U67" s="246">
        <f t="shared" si="14"/>
        <v>0.34123798658746457</v>
      </c>
      <c r="V67" s="246">
        <f t="shared" si="15"/>
        <v>0</v>
      </c>
      <c r="W67" s="246">
        <f t="shared" si="16"/>
        <v>3.4505965200709622E-2</v>
      </c>
      <c r="X67" s="246">
        <f t="shared" si="17"/>
        <v>1.3720897389513313E-3</v>
      </c>
      <c r="Y67" s="246">
        <f t="shared" si="18"/>
        <v>1.0862243592538942E-3</v>
      </c>
      <c r="Z67" s="246">
        <f t="shared" si="10"/>
        <v>0.3782022658863794</v>
      </c>
      <c r="AA67" s="247">
        <f t="shared" si="11"/>
        <v>6.0508473220950119E-2</v>
      </c>
      <c r="AB67" s="122"/>
      <c r="AC67" s="244">
        <f t="shared" si="19"/>
        <v>0</v>
      </c>
      <c r="AD67" s="245">
        <f t="shared" si="20"/>
        <v>0</v>
      </c>
      <c r="AE67" s="245">
        <f t="shared" si="21"/>
        <v>519.35685671604654</v>
      </c>
      <c r="AF67" s="245">
        <f t="shared" si="22"/>
        <v>7.3364641851973147</v>
      </c>
      <c r="AG67" s="245">
        <f t="shared" si="23"/>
        <v>9.5758436013654009</v>
      </c>
      <c r="AH67" s="245">
        <f t="shared" si="12"/>
        <v>536.26916450260921</v>
      </c>
      <c r="AI67" s="247">
        <f t="shared" si="33"/>
        <v>85.797551486050054</v>
      </c>
      <c r="AK67" s="259"/>
      <c r="AL67" s="59"/>
    </row>
    <row r="68" spans="1:38">
      <c r="A68" s="122"/>
      <c r="B68" s="241">
        <v>64</v>
      </c>
      <c r="C68" s="248">
        <f>'Other parameters'!$D$27</f>
        <v>1.46842E-2</v>
      </c>
      <c r="D68" s="242">
        <f>'Other parameters'!$G$27</f>
        <v>18.7</v>
      </c>
      <c r="E68" s="234">
        <v>0</v>
      </c>
      <c r="F68" s="248">
        <f t="shared" si="34"/>
        <v>1.9471813593585521E-3</v>
      </c>
      <c r="G68" s="248">
        <f t="shared" si="27"/>
        <v>0.76</v>
      </c>
      <c r="H68" s="249">
        <f t="shared" si="28"/>
        <v>0.15532982164476369</v>
      </c>
      <c r="I68" s="122"/>
      <c r="J68" s="244">
        <v>0</v>
      </c>
      <c r="K68" s="245">
        <v>0</v>
      </c>
      <c r="L68" s="245">
        <v>0</v>
      </c>
      <c r="M68" s="245">
        <v>0</v>
      </c>
      <c r="N68" s="245">
        <f t="shared" si="29"/>
        <v>0.83815253823663571</v>
      </c>
      <c r="O68" s="245">
        <f t="shared" si="30"/>
        <v>7.6338254742299742E-3</v>
      </c>
      <c r="P68" s="245">
        <f t="shared" si="31"/>
        <v>1.545575607730941E-2</v>
      </c>
      <c r="Q68" s="245">
        <f t="shared" si="32"/>
        <v>0.13875788021182525</v>
      </c>
      <c r="R68" s="243">
        <f t="shared" si="24"/>
        <v>1.0000000000000004</v>
      </c>
      <c r="S68" s="250"/>
      <c r="T68" s="244">
        <f t="shared" si="9"/>
        <v>1.8233784196887533E-2</v>
      </c>
      <c r="U68" s="246">
        <f t="shared" si="14"/>
        <v>0.34097176448179684</v>
      </c>
      <c r="V68" s="246">
        <f t="shared" si="15"/>
        <v>0</v>
      </c>
      <c r="W68" s="246">
        <f t="shared" si="16"/>
        <v>3.4364254067702063E-2</v>
      </c>
      <c r="X68" s="246">
        <f t="shared" si="17"/>
        <v>1.3664547598871654E-3</v>
      </c>
      <c r="Y68" s="246">
        <f t="shared" si="18"/>
        <v>1.0819029254116588E-3</v>
      </c>
      <c r="Z68" s="246">
        <f t="shared" si="10"/>
        <v>0.37778437623479771</v>
      </c>
      <c r="AA68" s="247">
        <f t="shared" si="11"/>
        <v>5.8681179780729432E-2</v>
      </c>
      <c r="AB68" s="122"/>
      <c r="AC68" s="244">
        <f t="shared" si="19"/>
        <v>0</v>
      </c>
      <c r="AD68" s="245">
        <f t="shared" si="20"/>
        <v>0</v>
      </c>
      <c r="AE68" s="245">
        <f t="shared" si="21"/>
        <v>517.22393134582796</v>
      </c>
      <c r="AF68" s="245">
        <f t="shared" si="22"/>
        <v>7.3063343613855087</v>
      </c>
      <c r="AG68" s="245">
        <f t="shared" si="23"/>
        <v>9.537747075307637</v>
      </c>
      <c r="AH68" s="245">
        <f t="shared" si="12"/>
        <v>534.06801278252112</v>
      </c>
      <c r="AI68" s="247">
        <f t="shared" si="33"/>
        <v>82.956689171682385</v>
      </c>
      <c r="AK68" s="259"/>
      <c r="AL68" s="59"/>
    </row>
    <row r="69" spans="1:38">
      <c r="A69" s="122"/>
      <c r="B69" s="241">
        <v>65</v>
      </c>
      <c r="C69" s="248">
        <f>'Other parameters'!$D$28</f>
        <v>2.30286E-2</v>
      </c>
      <c r="D69" s="242">
        <f>'Other parameters'!$G$28</f>
        <v>15</v>
      </c>
      <c r="E69" s="234">
        <v>0</v>
      </c>
      <c r="F69" s="248">
        <f t="shared" si="34"/>
        <v>1.7618825536497415E-3</v>
      </c>
      <c r="G69" s="248">
        <f t="shared" ref="G69:G104" si="35">IF(B69&lt;rhdage,0,pVS_3p)</f>
        <v>0.76</v>
      </c>
      <c r="H69" s="249">
        <f t="shared" ref="H69:H104" si="36">1/(1+disc)^($B69-1)</f>
        <v>0.15080565208229488</v>
      </c>
      <c r="I69" s="122"/>
      <c r="J69" s="244">
        <v>0</v>
      </c>
      <c r="K69" s="245">
        <v>0</v>
      </c>
      <c r="L69" s="245">
        <v>0</v>
      </c>
      <c r="M69" s="245">
        <v>0</v>
      </c>
      <c r="N69" s="245">
        <f t="shared" ref="N69:N104" si="37">IF(B69&lt;rhdage,1,(K68*pARF1_RHDMild)+(M68*pARF2_RHDMild)+(N68*cpRHDMild_RHDMild)+(O68*G69))</f>
        <v>0.8347103639593535</v>
      </c>
      <c r="O69" s="245">
        <f t="shared" ref="O69:O104" si="38">IF(B69&lt;rhdage,0,(N68*pRHDMild_RHDSevere)+(O68*(1-(G69+pRHDSevere_Death))))</f>
        <v>7.6024744295383499E-3</v>
      </c>
      <c r="P69" s="245">
        <f t="shared" ref="P69:P104" si="39">IF(B69&lt;rhdage,0,(N68*pRHDMild_Stroke)+(P68*(1-pStroke_Death)))</f>
        <v>1.5393941950093745E-2</v>
      </c>
      <c r="Q69" s="245">
        <f t="shared" ref="Q69:Q104" si="40">IF(B69&lt;rhdage,0,(K68*pARF1_Death)+(M68*pARF2_Death)+(O68*pRHDSevere_Death)+(P68*pStroke_Death)+Q68)</f>
        <v>0.14229321966101466</v>
      </c>
      <c r="R69" s="243">
        <f t="shared" si="24"/>
        <v>1.0000000000000002</v>
      </c>
      <c r="S69" s="250"/>
      <c r="T69" s="244">
        <f t="shared" ref="T69:T103" si="41">((K68*pARF1_Death)+(M68*pARF2_Death)+(O68*pRHDSevere_Death)+(P68*pStroke_Death))+C69</f>
        <v>2.6563939449189417E-2</v>
      </c>
      <c r="U69" s="246">
        <f t="shared" si="14"/>
        <v>0.39845909173784122</v>
      </c>
      <c r="V69" s="246">
        <f t="shared" si="15"/>
        <v>0</v>
      </c>
      <c r="W69" s="246">
        <f t="shared" si="16"/>
        <v>3.4223124922333495E-2</v>
      </c>
      <c r="X69" s="246">
        <f t="shared" si="17"/>
        <v>1.3608429228873645E-3</v>
      </c>
      <c r="Y69" s="246">
        <f t="shared" si="18"/>
        <v>1.0775759365065623E-3</v>
      </c>
      <c r="Z69" s="246">
        <f t="shared" ref="Z69:Z104" si="42">SUM(U69:Y69)</f>
        <v>0.43512063551956859</v>
      </c>
      <c r="AA69" s="247">
        <f t="shared" ref="AA69:AA100" si="43">Z69*H69</f>
        <v>6.5618651173991099E-2</v>
      </c>
      <c r="AB69" s="122"/>
      <c r="AC69" s="244">
        <f t="shared" si="19"/>
        <v>0</v>
      </c>
      <c r="AD69" s="245">
        <f t="shared" si="20"/>
        <v>0</v>
      </c>
      <c r="AE69" s="245">
        <f t="shared" si="21"/>
        <v>515.09976559931704</v>
      </c>
      <c r="AF69" s="245">
        <f t="shared" si="22"/>
        <v>7.2763282765111548</v>
      </c>
      <c r="AG69" s="245">
        <f t="shared" si="23"/>
        <v>9.4996015774028493</v>
      </c>
      <c r="AH69" s="245">
        <f t="shared" ref="AH69:AH104" si="44">SUM(AC69:AG69)</f>
        <v>531.87569545323106</v>
      </c>
      <c r="AI69" s="247">
        <f t="shared" ref="AI69:AI100" si="45">AH69*H69</f>
        <v>80.209861079548588</v>
      </c>
      <c r="AK69" s="259"/>
      <c r="AL69" s="59"/>
    </row>
    <row r="70" spans="1:38">
      <c r="A70" s="122"/>
      <c r="B70" s="241">
        <v>66</v>
      </c>
      <c r="C70" s="248">
        <f>'Other parameters'!$D$28</f>
        <v>2.30286E-2</v>
      </c>
      <c r="D70" s="242">
        <f>'Other parameters'!$G$28</f>
        <v>15</v>
      </c>
      <c r="E70" s="234">
        <v>0</v>
      </c>
      <c r="F70" s="248">
        <f t="shared" si="34"/>
        <v>1.5942172607270357E-3</v>
      </c>
      <c r="G70" s="248">
        <f t="shared" si="35"/>
        <v>0.76</v>
      </c>
      <c r="H70" s="249">
        <f t="shared" si="36"/>
        <v>0.14641325444882999</v>
      </c>
      <c r="I70" s="122"/>
      <c r="J70" s="244">
        <v>0</v>
      </c>
      <c r="K70" s="245">
        <v>0</v>
      </c>
      <c r="L70" s="245">
        <v>0</v>
      </c>
      <c r="M70" s="245">
        <v>0</v>
      </c>
      <c r="N70" s="245">
        <f t="shared" si="37"/>
        <v>0.83128232620640863</v>
      </c>
      <c r="O70" s="245">
        <f t="shared" si="38"/>
        <v>7.5712521391661123E-3</v>
      </c>
      <c r="P70" s="245">
        <f t="shared" si="39"/>
        <v>1.5332104384052825E-2</v>
      </c>
      <c r="Q70" s="245">
        <f t="shared" si="40"/>
        <v>0.14581431727037261</v>
      </c>
      <c r="R70" s="243">
        <f t="shared" si="24"/>
        <v>1.0000000000000002</v>
      </c>
      <c r="S70" s="250"/>
      <c r="T70" s="244">
        <f t="shared" si="41"/>
        <v>2.654969760935795E-2</v>
      </c>
      <c r="U70" s="246">
        <f t="shared" ref="U70:U104" si="46">$D70*T70</f>
        <v>0.39824546414036927</v>
      </c>
      <c r="V70" s="246">
        <f t="shared" ref="V70:V104" si="47">($K70+$M70)*wAR</f>
        <v>0</v>
      </c>
      <c r="W70" s="246">
        <f t="shared" ref="W70:W104" si="48">$N70*wRM</f>
        <v>3.4082575374462756E-2</v>
      </c>
      <c r="X70" s="246">
        <f t="shared" ref="X70:X104" si="49">$O70*wRH</f>
        <v>1.355254132910734E-3</v>
      </c>
      <c r="Y70" s="246">
        <f t="shared" ref="Y70:Y104" si="50">$P70*wRS</f>
        <v>1.073247306883698E-3</v>
      </c>
      <c r="Z70" s="246">
        <f t="shared" si="42"/>
        <v>0.4347565409546264</v>
      </c>
      <c r="AA70" s="247">
        <f t="shared" si="43"/>
        <v>6.3654120054082899E-2</v>
      </c>
      <c r="AB70" s="122"/>
      <c r="AC70" s="244">
        <f t="shared" ref="AC70:AC104" si="51">($K70+$M70)*cARF</f>
        <v>0</v>
      </c>
      <c r="AD70" s="245">
        <f t="shared" ref="AD70:AD104" si="52">$L70*cRFR</f>
        <v>0</v>
      </c>
      <c r="AE70" s="245">
        <f t="shared" ref="AE70:AE104" si="53">$N70*cRM</f>
        <v>512.98432350197481</v>
      </c>
      <c r="AF70" s="245">
        <f t="shared" ref="AF70:AF104" si="54">$O70*cRH</f>
        <v>7.2464454223958858</v>
      </c>
      <c r="AG70" s="245">
        <f t="shared" ref="AG70:AG104" si="55">$P70*cRS</f>
        <v>9.4614416153989982</v>
      </c>
      <c r="AH70" s="245">
        <f t="shared" si="44"/>
        <v>529.6922105397698</v>
      </c>
      <c r="AI70" s="247">
        <f t="shared" si="45"/>
        <v>77.553960401322541</v>
      </c>
      <c r="AK70" s="259"/>
      <c r="AL70" s="59"/>
    </row>
    <row r="71" spans="1:38">
      <c r="A71" s="122"/>
      <c r="B71" s="241">
        <v>67</v>
      </c>
      <c r="C71" s="248">
        <f>'Other parameters'!$D$28</f>
        <v>2.30286E-2</v>
      </c>
      <c r="D71" s="242">
        <f>'Other parameters'!$G$28</f>
        <v>15</v>
      </c>
      <c r="E71" s="234">
        <v>0</v>
      </c>
      <c r="F71" s="248">
        <f t="shared" si="34"/>
        <v>1.4425074299846117E-3</v>
      </c>
      <c r="G71" s="248">
        <f t="shared" si="35"/>
        <v>0.76</v>
      </c>
      <c r="H71" s="249">
        <f t="shared" si="36"/>
        <v>0.14214879072701941</v>
      </c>
      <c r="I71" s="122"/>
      <c r="J71" s="244">
        <v>0</v>
      </c>
      <c r="K71" s="245">
        <v>0</v>
      </c>
      <c r="L71" s="245">
        <v>0</v>
      </c>
      <c r="M71" s="245">
        <v>0</v>
      </c>
      <c r="N71" s="245">
        <f t="shared" si="37"/>
        <v>0.82786836692108923</v>
      </c>
      <c r="O71" s="245">
        <f t="shared" si="38"/>
        <v>7.5401580743374285E-3</v>
      </c>
      <c r="P71" s="245">
        <f t="shared" si="39"/>
        <v>1.5270289784668281E-2</v>
      </c>
      <c r="Q71" s="245">
        <f t="shared" si="40"/>
        <v>0.1493211852199052</v>
      </c>
      <c r="R71" s="243">
        <f t="shared" si="24"/>
        <v>1</v>
      </c>
      <c r="S71" s="250"/>
      <c r="T71" s="244">
        <f t="shared" si="41"/>
        <v>2.6535467949532585E-2</v>
      </c>
      <c r="U71" s="246">
        <f t="shared" si="46"/>
        <v>0.39803201924298875</v>
      </c>
      <c r="V71" s="246">
        <f t="shared" si="47"/>
        <v>0</v>
      </c>
      <c r="W71" s="246">
        <f t="shared" si="48"/>
        <v>3.394260304376466E-2</v>
      </c>
      <c r="X71" s="246">
        <f t="shared" si="49"/>
        <v>1.3496882953063997E-3</v>
      </c>
      <c r="Y71" s="246">
        <f t="shared" si="50"/>
        <v>1.0689202849267798E-3</v>
      </c>
      <c r="Z71" s="246">
        <f t="shared" si="42"/>
        <v>0.43439323086698661</v>
      </c>
      <c r="AA71" s="247">
        <f t="shared" si="43"/>
        <v>6.1748472467745112E-2</v>
      </c>
      <c r="AB71" s="122"/>
      <c r="AC71" s="244">
        <f t="shared" si="51"/>
        <v>0</v>
      </c>
      <c r="AD71" s="245">
        <f t="shared" si="52"/>
        <v>0</v>
      </c>
      <c r="AE71" s="245">
        <f t="shared" si="53"/>
        <v>510.87756922700419</v>
      </c>
      <c r="AF71" s="245">
        <f t="shared" si="54"/>
        <v>7.2166852929483527</v>
      </c>
      <c r="AG71" s="245">
        <f t="shared" si="55"/>
        <v>9.423295826118796</v>
      </c>
      <c r="AH71" s="245">
        <f t="shared" si="44"/>
        <v>527.51755034607129</v>
      </c>
      <c r="AI71" s="247">
        <f t="shared" si="45"/>
        <v>74.98598186897361</v>
      </c>
      <c r="AK71" s="259"/>
      <c r="AL71" s="59"/>
    </row>
    <row r="72" spans="1:38">
      <c r="A72" s="122"/>
      <c r="B72" s="241">
        <v>68</v>
      </c>
      <c r="C72" s="248">
        <f>'Other parameters'!$D$28</f>
        <v>2.30286E-2</v>
      </c>
      <c r="D72" s="242">
        <f>'Other parameters'!$G$28</f>
        <v>15</v>
      </c>
      <c r="E72" s="234">
        <v>0</v>
      </c>
      <c r="F72" s="248">
        <f t="shared" si="34"/>
        <v>1.3052346984449631E-3</v>
      </c>
      <c r="G72" s="248">
        <f t="shared" si="35"/>
        <v>0.76</v>
      </c>
      <c r="H72" s="249">
        <f t="shared" si="36"/>
        <v>0.1380085346864266</v>
      </c>
      <c r="I72" s="122"/>
      <c r="J72" s="244">
        <v>0</v>
      </c>
      <c r="K72" s="245">
        <v>0</v>
      </c>
      <c r="L72" s="245">
        <v>0</v>
      </c>
      <c r="M72" s="245">
        <v>0</v>
      </c>
      <c r="N72" s="245">
        <f t="shared" si="37"/>
        <v>0.82446842828511413</v>
      </c>
      <c r="O72" s="245">
        <f t="shared" si="38"/>
        <v>7.5091917084480755E-3</v>
      </c>
      <c r="P72" s="245">
        <f t="shared" si="39"/>
        <v>1.5208536633200953E-2</v>
      </c>
      <c r="Q72" s="245">
        <f t="shared" si="40"/>
        <v>0.15281384337323697</v>
      </c>
      <c r="R72" s="243">
        <f t="shared" si="24"/>
        <v>1.0000000000000002</v>
      </c>
      <c r="S72" s="250"/>
      <c r="T72" s="244">
        <f t="shared" si="41"/>
        <v>2.652125815333178E-2</v>
      </c>
      <c r="U72" s="246">
        <f t="shared" si="46"/>
        <v>0.3978188722999767</v>
      </c>
      <c r="V72" s="246">
        <f t="shared" si="47"/>
        <v>0</v>
      </c>
      <c r="W72" s="246">
        <f t="shared" si="48"/>
        <v>3.3803205559689679E-2</v>
      </c>
      <c r="X72" s="246">
        <f t="shared" si="49"/>
        <v>1.3441453158122055E-3</v>
      </c>
      <c r="Y72" s="246">
        <f t="shared" si="50"/>
        <v>1.0645975643240669E-3</v>
      </c>
      <c r="Z72" s="246">
        <f t="shared" si="42"/>
        <v>0.4340308207398027</v>
      </c>
      <c r="AA72" s="247">
        <f t="shared" si="43"/>
        <v>5.9899957579047265E-2</v>
      </c>
      <c r="AB72" s="122"/>
      <c r="AC72" s="244">
        <f t="shared" si="51"/>
        <v>0</v>
      </c>
      <c r="AD72" s="245">
        <f t="shared" si="52"/>
        <v>0</v>
      </c>
      <c r="AE72" s="245">
        <f t="shared" si="53"/>
        <v>508.77946709474395</v>
      </c>
      <c r="AF72" s="245">
        <f t="shared" si="54"/>
        <v>7.1870473841556528</v>
      </c>
      <c r="AG72" s="245">
        <f t="shared" si="55"/>
        <v>9.3851879563483092</v>
      </c>
      <c r="AH72" s="245">
        <f t="shared" si="44"/>
        <v>525.35170243524794</v>
      </c>
      <c r="AI72" s="247">
        <f t="shared" si="45"/>
        <v>72.503018648108181</v>
      </c>
      <c r="AK72" s="259"/>
      <c r="AL72" s="59"/>
    </row>
    <row r="73" spans="1:38">
      <c r="A73" s="122"/>
      <c r="B73" s="241">
        <v>69</v>
      </c>
      <c r="C73" s="248">
        <f>'Other parameters'!$D$28</f>
        <v>2.30286E-2</v>
      </c>
      <c r="D73" s="242">
        <f>'Other parameters'!$G$28</f>
        <v>15</v>
      </c>
      <c r="E73" s="234">
        <v>0</v>
      </c>
      <c r="F73" s="248">
        <f t="shared" si="34"/>
        <v>1.181025194471885E-3</v>
      </c>
      <c r="G73" s="248">
        <f t="shared" si="35"/>
        <v>0.76</v>
      </c>
      <c r="H73" s="249">
        <f t="shared" si="36"/>
        <v>0.13398886862759865</v>
      </c>
      <c r="I73" s="122"/>
      <c r="J73" s="244">
        <v>0</v>
      </c>
      <c r="K73" s="245">
        <v>0</v>
      </c>
      <c r="L73" s="245">
        <v>0</v>
      </c>
      <c r="M73" s="245">
        <v>0</v>
      </c>
      <c r="N73" s="245">
        <f t="shared" si="37"/>
        <v>0.82108245271765368</v>
      </c>
      <c r="O73" s="245">
        <f t="shared" si="38"/>
        <v>7.4783525170565171E-3</v>
      </c>
      <c r="P73" s="245">
        <f t="shared" si="39"/>
        <v>1.5146876810752437E-2</v>
      </c>
      <c r="Q73" s="245">
        <f t="shared" si="40"/>
        <v>0.15629231795453755</v>
      </c>
      <c r="R73" s="243">
        <f t="shared" si="24"/>
        <v>1.0000000000000002</v>
      </c>
      <c r="S73" s="250"/>
      <c r="T73" s="244">
        <f t="shared" si="41"/>
        <v>2.6507074581300569E-2</v>
      </c>
      <c r="U73" s="246">
        <f t="shared" si="46"/>
        <v>0.39760611871950852</v>
      </c>
      <c r="V73" s="246">
        <f t="shared" si="47"/>
        <v>0</v>
      </c>
      <c r="W73" s="246">
        <f t="shared" si="48"/>
        <v>3.3664380561423804E-2</v>
      </c>
      <c r="X73" s="246">
        <f t="shared" si="49"/>
        <v>1.3386251005531166E-3</v>
      </c>
      <c r="Y73" s="246">
        <f t="shared" si="50"/>
        <v>1.0602813767526707E-3</v>
      </c>
      <c r="Z73" s="246">
        <f t="shared" si="42"/>
        <v>0.43366940575823809</v>
      </c>
      <c r="AA73" s="247">
        <f t="shared" si="43"/>
        <v>5.8106873035949337E-2</v>
      </c>
      <c r="AB73" s="122"/>
      <c r="AC73" s="244">
        <f t="shared" si="51"/>
        <v>0</v>
      </c>
      <c r="AD73" s="245">
        <f t="shared" si="52"/>
        <v>0</v>
      </c>
      <c r="AE73" s="245">
        <f t="shared" si="53"/>
        <v>506.68998157206408</v>
      </c>
      <c r="AF73" s="245">
        <f t="shared" si="54"/>
        <v>7.1575311940747923</v>
      </c>
      <c r="AG73" s="245">
        <f t="shared" si="55"/>
        <v>9.3471376799153294</v>
      </c>
      <c r="AH73" s="245">
        <f t="shared" si="44"/>
        <v>523.1946504460542</v>
      </c>
      <c r="AI73" s="247">
        <f t="shared" si="45"/>
        <v>70.102259285278748</v>
      </c>
      <c r="AK73" s="259"/>
      <c r="AL73" s="59"/>
    </row>
    <row r="74" spans="1:38">
      <c r="A74" s="122"/>
      <c r="B74" s="241">
        <v>70</v>
      </c>
      <c r="C74" s="248">
        <f>'Other parameters'!$D$29</f>
        <v>3.7466800000000001E-2</v>
      </c>
      <c r="D74" s="242">
        <f>'Other parameters'!$G$29</f>
        <v>11.6</v>
      </c>
      <c r="E74" s="234">
        <v>0</v>
      </c>
      <c r="F74" s="248">
        <f t="shared" si="34"/>
        <v>1.0686357876013568E-3</v>
      </c>
      <c r="G74" s="248">
        <f t="shared" si="35"/>
        <v>0.76</v>
      </c>
      <c r="H74" s="249">
        <f t="shared" si="36"/>
        <v>0.13008628022096957</v>
      </c>
      <c r="I74" s="122"/>
      <c r="J74" s="244">
        <v>0</v>
      </c>
      <c r="K74" s="245">
        <v>0</v>
      </c>
      <c r="L74" s="245">
        <v>0</v>
      </c>
      <c r="M74" s="245">
        <v>0</v>
      </c>
      <c r="N74" s="245">
        <f t="shared" si="37"/>
        <v>0.81771038287435449</v>
      </c>
      <c r="O74" s="245">
        <f t="shared" si="38"/>
        <v>7.4476399778750247E-3</v>
      </c>
      <c r="P74" s="245">
        <f t="shared" si="39"/>
        <v>1.5085336701205394E-2</v>
      </c>
      <c r="Q74" s="245">
        <f t="shared" si="40"/>
        <v>0.15975664044656526</v>
      </c>
      <c r="R74" s="243">
        <f t="shared" si="24"/>
        <v>1.0000000000000002</v>
      </c>
      <c r="S74" s="250"/>
      <c r="T74" s="244">
        <f t="shared" si="41"/>
        <v>4.0931122492027724E-2</v>
      </c>
      <c r="U74" s="246">
        <f t="shared" si="46"/>
        <v>0.47480102090752158</v>
      </c>
      <c r="V74" s="246">
        <f t="shared" si="47"/>
        <v>0</v>
      </c>
      <c r="W74" s="246">
        <f t="shared" si="48"/>
        <v>3.3526125697848533E-2</v>
      </c>
      <c r="X74" s="246">
        <f t="shared" si="49"/>
        <v>1.3331275560396294E-3</v>
      </c>
      <c r="Y74" s="246">
        <f t="shared" si="50"/>
        <v>1.0559735690843777E-3</v>
      </c>
      <c r="Z74" s="246">
        <f t="shared" si="42"/>
        <v>0.51071624773049418</v>
      </c>
      <c r="AA74" s="247">
        <f t="shared" si="43"/>
        <v>6.6437176915671178E-2</v>
      </c>
      <c r="AB74" s="122"/>
      <c r="AC74" s="244">
        <f t="shared" si="51"/>
        <v>0</v>
      </c>
      <c r="AD74" s="245">
        <f t="shared" si="52"/>
        <v>0</v>
      </c>
      <c r="AE74" s="245">
        <f t="shared" si="53"/>
        <v>504.60907727176419</v>
      </c>
      <c r="AF74" s="245">
        <f t="shared" si="54"/>
        <v>7.1281362228241862</v>
      </c>
      <c r="AG74" s="245">
        <f t="shared" si="55"/>
        <v>9.309161278313848</v>
      </c>
      <c r="AH74" s="245">
        <f t="shared" si="44"/>
        <v>521.04637477290225</v>
      </c>
      <c r="AI74" s="247">
        <f t="shared" si="45"/>
        <v>67.780984716828101</v>
      </c>
      <c r="AK74" s="259"/>
      <c r="AL74" s="59"/>
    </row>
    <row r="75" spans="1:38">
      <c r="A75" s="122"/>
      <c r="B75" s="241">
        <v>71</v>
      </c>
      <c r="C75" s="248">
        <f>'Other parameters'!$D$29</f>
        <v>3.7466800000000001E-2</v>
      </c>
      <c r="D75" s="242">
        <f>'Other parameters'!$G$29</f>
        <v>11.6</v>
      </c>
      <c r="E75" s="234">
        <v>0</v>
      </c>
      <c r="F75" s="248">
        <f t="shared" si="34"/>
        <v>9.6694164687403635E-4</v>
      </c>
      <c r="G75" s="248">
        <f t="shared" si="35"/>
        <v>0.76</v>
      </c>
      <c r="H75" s="249">
        <f t="shared" si="36"/>
        <v>0.12629735943783454</v>
      </c>
      <c r="I75" s="122"/>
      <c r="J75" s="244">
        <v>0</v>
      </c>
      <c r="K75" s="245">
        <v>0</v>
      </c>
      <c r="L75" s="245">
        <v>0</v>
      </c>
      <c r="M75" s="245">
        <v>0</v>
      </c>
      <c r="N75" s="245">
        <f t="shared" si="37"/>
        <v>0.81435216164636848</v>
      </c>
      <c r="O75" s="245">
        <f t="shared" si="38"/>
        <v>7.4170535707608325E-3</v>
      </c>
      <c r="P75" s="245">
        <f t="shared" si="39"/>
        <v>1.5023938109969916E-2</v>
      </c>
      <c r="Q75" s="245">
        <f t="shared" si="40"/>
        <v>0.16320684667290095</v>
      </c>
      <c r="R75" s="243">
        <f t="shared" si="24"/>
        <v>1.0000000000000002</v>
      </c>
      <c r="S75" s="250"/>
      <c r="T75" s="244">
        <f t="shared" si="41"/>
        <v>4.0917006226335678E-2</v>
      </c>
      <c r="U75" s="246">
        <f t="shared" si="46"/>
        <v>0.47463727222549384</v>
      </c>
      <c r="V75" s="246">
        <f t="shared" si="47"/>
        <v>0</v>
      </c>
      <c r="W75" s="246">
        <f t="shared" si="48"/>
        <v>3.3388438627501106E-2</v>
      </c>
      <c r="X75" s="246">
        <f t="shared" si="49"/>
        <v>1.3276525891661891E-3</v>
      </c>
      <c r="Y75" s="246">
        <f t="shared" si="50"/>
        <v>1.0516756676978941E-3</v>
      </c>
      <c r="Z75" s="246">
        <f t="shared" si="42"/>
        <v>0.51040503910985913</v>
      </c>
      <c r="AA75" s="247">
        <f t="shared" si="43"/>
        <v>6.4462808683339881E-2</v>
      </c>
      <c r="AB75" s="122"/>
      <c r="AC75" s="244">
        <f t="shared" si="51"/>
        <v>0</v>
      </c>
      <c r="AD75" s="245">
        <f t="shared" si="52"/>
        <v>0</v>
      </c>
      <c r="AE75" s="245">
        <f t="shared" si="53"/>
        <v>502.53671895197402</v>
      </c>
      <c r="AF75" s="245">
        <f t="shared" si="54"/>
        <v>7.0988619725751931</v>
      </c>
      <c r="AG75" s="245">
        <f t="shared" si="55"/>
        <v>9.2712722076624345</v>
      </c>
      <c r="AH75" s="245">
        <f t="shared" si="44"/>
        <v>518.90685313221161</v>
      </c>
      <c r="AI75" s="247">
        <f t="shared" si="45"/>
        <v>65.536565344794553</v>
      </c>
      <c r="AK75" s="259"/>
      <c r="AL75" s="59"/>
    </row>
    <row r="76" spans="1:38">
      <c r="A76" s="122"/>
      <c r="B76" s="241">
        <v>72</v>
      </c>
      <c r="C76" s="248">
        <f>'Other parameters'!$D$29</f>
        <v>3.7466800000000001E-2</v>
      </c>
      <c r="D76" s="242">
        <f>'Other parameters'!$G$29</f>
        <v>11.6</v>
      </c>
      <c r="E76" s="234">
        <v>0</v>
      </c>
      <c r="F76" s="248">
        <f t="shared" si="34"/>
        <v>8.7492498314894118E-4</v>
      </c>
      <c r="G76" s="248">
        <f t="shared" si="35"/>
        <v>0.76</v>
      </c>
      <c r="H76" s="249">
        <f t="shared" si="36"/>
        <v>0.12261879557071313</v>
      </c>
      <c r="I76" s="122"/>
      <c r="J76" s="244">
        <v>0</v>
      </c>
      <c r="K76" s="245">
        <v>0</v>
      </c>
      <c r="L76" s="245">
        <v>0</v>
      </c>
      <c r="M76" s="245">
        <v>0</v>
      </c>
      <c r="N76" s="245">
        <f t="shared" si="37"/>
        <v>0.8110077321593856</v>
      </c>
      <c r="O76" s="245">
        <f t="shared" si="38"/>
        <v>7.3865927777073273E-3</v>
      </c>
      <c r="P76" s="245">
        <f t="shared" si="39"/>
        <v>1.4962699029296313E-2</v>
      </c>
      <c r="Q76" s="245">
        <f t="shared" si="40"/>
        <v>0.16664297603361103</v>
      </c>
      <c r="R76" s="243">
        <f t="shared" si="24"/>
        <v>1.0000000000000004</v>
      </c>
      <c r="S76" s="250"/>
      <c r="T76" s="244">
        <f t="shared" si="41"/>
        <v>4.0902929360710084E-2</v>
      </c>
      <c r="U76" s="246">
        <f t="shared" si="46"/>
        <v>0.47447398058423695</v>
      </c>
      <c r="V76" s="246">
        <f t="shared" si="47"/>
        <v>0</v>
      </c>
      <c r="W76" s="246">
        <f t="shared" si="48"/>
        <v>3.3251317018534808E-2</v>
      </c>
      <c r="X76" s="246">
        <f t="shared" si="49"/>
        <v>1.3222001072096116E-3</v>
      </c>
      <c r="Y76" s="246">
        <f t="shared" si="50"/>
        <v>1.0473889320507419E-3</v>
      </c>
      <c r="Z76" s="246">
        <f t="shared" si="42"/>
        <v>0.51009488664203206</v>
      </c>
      <c r="AA76" s="247">
        <f t="shared" si="43"/>
        <v>6.2547220626825412E-2</v>
      </c>
      <c r="AB76" s="122"/>
      <c r="AC76" s="244">
        <f t="shared" si="51"/>
        <v>0</v>
      </c>
      <c r="AD76" s="245">
        <f t="shared" si="52"/>
        <v>0</v>
      </c>
      <c r="AE76" s="245">
        <f t="shared" si="53"/>
        <v>500.47287151555685</v>
      </c>
      <c r="AF76" s="245">
        <f t="shared" si="54"/>
        <v>7.0697079475436828</v>
      </c>
      <c r="AG76" s="245">
        <f t="shared" si="55"/>
        <v>9.2334815709787552</v>
      </c>
      <c r="AH76" s="245">
        <f t="shared" si="44"/>
        <v>516.77606103407925</v>
      </c>
      <c r="AI76" s="247">
        <f t="shared" si="45"/>
        <v>63.366458183776139</v>
      </c>
      <c r="AK76" s="259"/>
      <c r="AL76" s="59"/>
    </row>
    <row r="77" spans="1:38">
      <c r="A77" s="122"/>
      <c r="B77" s="241">
        <v>73</v>
      </c>
      <c r="C77" s="248">
        <f>'Other parameters'!$D$29</f>
        <v>3.7466800000000001E-2</v>
      </c>
      <c r="D77" s="242">
        <f>'Other parameters'!$G$29</f>
        <v>11.6</v>
      </c>
      <c r="E77" s="234">
        <v>0</v>
      </c>
      <c r="F77" s="248">
        <f t="shared" si="34"/>
        <v>7.9166486272764364E-4</v>
      </c>
      <c r="G77" s="248">
        <f t="shared" si="35"/>
        <v>0.76</v>
      </c>
      <c r="H77" s="249">
        <f t="shared" si="36"/>
        <v>0.1190473743404982</v>
      </c>
      <c r="I77" s="122"/>
      <c r="J77" s="244">
        <v>0</v>
      </c>
      <c r="K77" s="245">
        <v>0</v>
      </c>
      <c r="L77" s="245">
        <v>0</v>
      </c>
      <c r="M77" s="245">
        <v>0</v>
      </c>
      <c r="N77" s="245">
        <f t="shared" si="37"/>
        <v>0.8076770377726703</v>
      </c>
      <c r="O77" s="245">
        <f t="shared" si="38"/>
        <v>7.3562570828352766E-3</v>
      </c>
      <c r="P77" s="245">
        <f t="shared" si="39"/>
        <v>1.4901634275777774E-2</v>
      </c>
      <c r="Q77" s="245">
        <f t="shared" si="40"/>
        <v>0.17006507086871692</v>
      </c>
      <c r="R77" s="243">
        <f t="shared" ref="R77:R104" si="56">SUM(J77:Q77)</f>
        <v>1.0000000000000002</v>
      </c>
      <c r="S77" s="250"/>
      <c r="T77" s="244">
        <f t="shared" si="41"/>
        <v>4.0888894835105903E-2</v>
      </c>
      <c r="U77" s="246">
        <f t="shared" si="46"/>
        <v>0.47431118008722845</v>
      </c>
      <c r="V77" s="246">
        <f t="shared" si="47"/>
        <v>0</v>
      </c>
      <c r="W77" s="246">
        <f t="shared" si="48"/>
        <v>3.3114758548679485E-2</v>
      </c>
      <c r="X77" s="246">
        <f t="shared" si="49"/>
        <v>1.3167700178275145E-3</v>
      </c>
      <c r="Y77" s="246">
        <f t="shared" si="50"/>
        <v>1.0431143993044443E-3</v>
      </c>
      <c r="Z77" s="246">
        <f t="shared" si="42"/>
        <v>0.50978582305303988</v>
      </c>
      <c r="AA77" s="247">
        <f t="shared" si="43"/>
        <v>6.0688663710474211E-2</v>
      </c>
      <c r="AB77" s="122"/>
      <c r="AC77" s="244">
        <f t="shared" si="51"/>
        <v>0</v>
      </c>
      <c r="AD77" s="245">
        <f t="shared" si="52"/>
        <v>0</v>
      </c>
      <c r="AE77" s="245">
        <f t="shared" si="53"/>
        <v>498.41750000951487</v>
      </c>
      <c r="AF77" s="245">
        <f t="shared" si="54"/>
        <v>7.040673653981643</v>
      </c>
      <c r="AG77" s="245">
        <f t="shared" si="55"/>
        <v>9.1957985115824652</v>
      </c>
      <c r="AH77" s="245">
        <f t="shared" si="44"/>
        <v>514.65397217507893</v>
      </c>
      <c r="AI77" s="247">
        <f t="shared" si="45"/>
        <v>61.268204081350966</v>
      </c>
      <c r="AK77" s="259"/>
      <c r="AL77" s="59"/>
    </row>
    <row r="78" spans="1:38">
      <c r="A78" s="122"/>
      <c r="B78" s="241">
        <v>74</v>
      </c>
      <c r="C78" s="248">
        <f>'Other parameters'!$D$29</f>
        <v>3.7466800000000001E-2</v>
      </c>
      <c r="D78" s="242">
        <f>'Other parameters'!$G$29</f>
        <v>11.6</v>
      </c>
      <c r="E78" s="234">
        <v>0</v>
      </c>
      <c r="F78" s="248">
        <f t="shared" si="34"/>
        <v>7.1632799034027366E-4</v>
      </c>
      <c r="G78" s="248">
        <f t="shared" si="35"/>
        <v>0.76</v>
      </c>
      <c r="H78" s="249">
        <f t="shared" si="36"/>
        <v>0.11557997508786232</v>
      </c>
      <c r="I78" s="122"/>
      <c r="J78" s="244">
        <v>0</v>
      </c>
      <c r="K78" s="245">
        <v>0</v>
      </c>
      <c r="L78" s="245">
        <v>0</v>
      </c>
      <c r="M78" s="245">
        <v>0</v>
      </c>
      <c r="N78" s="245">
        <f t="shared" si="37"/>
        <v>0.80436002207810287</v>
      </c>
      <c r="O78" s="245">
        <f t="shared" si="38"/>
        <v>7.3260459723840897E-3</v>
      </c>
      <c r="P78" s="245">
        <f t="shared" si="39"/>
        <v>1.4840756021387168E-2</v>
      </c>
      <c r="Q78" s="245">
        <f t="shared" si="40"/>
        <v>0.17347317592812622</v>
      </c>
      <c r="R78" s="243">
        <f t="shared" si="56"/>
        <v>1.0000000000000002</v>
      </c>
      <c r="S78" s="250"/>
      <c r="T78" s="244">
        <f t="shared" si="41"/>
        <v>4.08749050594093E-2</v>
      </c>
      <c r="U78" s="246">
        <f t="shared" si="46"/>
        <v>0.47414889868914789</v>
      </c>
      <c r="V78" s="246">
        <f t="shared" si="47"/>
        <v>0</v>
      </c>
      <c r="W78" s="246">
        <f t="shared" si="48"/>
        <v>3.2978760905202222E-2</v>
      </c>
      <c r="X78" s="246">
        <f t="shared" si="49"/>
        <v>1.311362229056752E-3</v>
      </c>
      <c r="Y78" s="246">
        <f t="shared" si="50"/>
        <v>1.0388529214971018E-3</v>
      </c>
      <c r="Z78" s="246">
        <f t="shared" si="42"/>
        <v>0.50947787474490391</v>
      </c>
      <c r="AA78" s="247">
        <f t="shared" si="43"/>
        <v>5.8885440070833031E-2</v>
      </c>
      <c r="AB78" s="122"/>
      <c r="AC78" s="244">
        <f t="shared" si="51"/>
        <v>0</v>
      </c>
      <c r="AD78" s="245">
        <f t="shared" si="52"/>
        <v>0</v>
      </c>
      <c r="AE78" s="245">
        <f t="shared" si="53"/>
        <v>496.37056962439732</v>
      </c>
      <c r="AF78" s="245">
        <f t="shared" si="54"/>
        <v>7.0117586001688128</v>
      </c>
      <c r="AG78" s="245">
        <f t="shared" si="55"/>
        <v>9.1582305407980211</v>
      </c>
      <c r="AH78" s="245">
        <f t="shared" si="44"/>
        <v>512.54055876536415</v>
      </c>
      <c r="AI78" s="247">
        <f t="shared" si="45"/>
        <v>59.239425013619822</v>
      </c>
      <c r="AK78" s="259"/>
      <c r="AL78" s="59"/>
    </row>
    <row r="79" spans="1:38">
      <c r="A79" s="122"/>
      <c r="B79" s="241">
        <v>75</v>
      </c>
      <c r="C79" s="248">
        <f>'Other parameters'!$D$30</f>
        <v>5.9392199999999992E-2</v>
      </c>
      <c r="D79" s="242">
        <f>'Other parameters'!$G$30</f>
        <v>8.6</v>
      </c>
      <c r="E79" s="234">
        <v>0</v>
      </c>
      <c r="F79" s="248">
        <f t="shared" si="34"/>
        <v>6.481603692463806E-4</v>
      </c>
      <c r="G79" s="248">
        <f t="shared" si="35"/>
        <v>0.76</v>
      </c>
      <c r="H79" s="249">
        <f t="shared" si="36"/>
        <v>0.11221356804646829</v>
      </c>
      <c r="I79" s="122"/>
      <c r="J79" s="244">
        <v>0</v>
      </c>
      <c r="K79" s="245">
        <v>0</v>
      </c>
      <c r="L79" s="245">
        <v>0</v>
      </c>
      <c r="M79" s="245">
        <v>0</v>
      </c>
      <c r="N79" s="245">
        <f t="shared" si="37"/>
        <v>0.80105662889922358</v>
      </c>
      <c r="O79" s="245">
        <f t="shared" si="38"/>
        <v>7.2959589347031187E-3</v>
      </c>
      <c r="P79" s="245">
        <f t="shared" si="39"/>
        <v>1.4780074235827837E-2</v>
      </c>
      <c r="Q79" s="245">
        <f t="shared" si="40"/>
        <v>0.17686733793024589</v>
      </c>
      <c r="R79" s="243">
        <f t="shared" si="56"/>
        <v>1.0000000000000004</v>
      </c>
      <c r="S79" s="250"/>
      <c r="T79" s="244">
        <f t="shared" si="41"/>
        <v>6.2786362002119664E-2</v>
      </c>
      <c r="U79" s="246">
        <f t="shared" si="46"/>
        <v>0.53996271321822908</v>
      </c>
      <c r="V79" s="246">
        <f t="shared" si="47"/>
        <v>0</v>
      </c>
      <c r="W79" s="246">
        <f t="shared" si="48"/>
        <v>3.2843321784868165E-2</v>
      </c>
      <c r="X79" s="246">
        <f t="shared" si="49"/>
        <v>1.3059766493118581E-3</v>
      </c>
      <c r="Y79" s="246">
        <f t="shared" si="50"/>
        <v>1.0346051965079487E-3</v>
      </c>
      <c r="Z79" s="246">
        <f t="shared" si="42"/>
        <v>0.5751466168489171</v>
      </c>
      <c r="AA79" s="247">
        <f t="shared" si="43"/>
        <v>6.4539254026471982E-2</v>
      </c>
      <c r="AB79" s="122"/>
      <c r="AC79" s="244">
        <f t="shared" si="51"/>
        <v>0</v>
      </c>
      <c r="AD79" s="245">
        <f t="shared" si="52"/>
        <v>0</v>
      </c>
      <c r="AE79" s="245">
        <f t="shared" si="53"/>
        <v>494.33204569371088</v>
      </c>
      <c r="AF79" s="245">
        <f t="shared" si="54"/>
        <v>6.982962296404355</v>
      </c>
      <c r="AG79" s="245">
        <f t="shared" si="55"/>
        <v>9.1207838109293586</v>
      </c>
      <c r="AH79" s="245">
        <f t="shared" si="44"/>
        <v>510.43579180104462</v>
      </c>
      <c r="AI79" s="247">
        <f t="shared" si="45"/>
        <v>57.277821456619442</v>
      </c>
      <c r="AK79" s="259"/>
      <c r="AL79" s="59"/>
    </row>
    <row r="80" spans="1:38">
      <c r="A80" s="122"/>
      <c r="B80" s="241">
        <v>76</v>
      </c>
      <c r="C80" s="248">
        <f>'Other parameters'!$D$30</f>
        <v>5.9392199999999992E-2</v>
      </c>
      <c r="D80" s="242">
        <f>'Other parameters'!$G$30</f>
        <v>8.6</v>
      </c>
      <c r="E80" s="234">
        <v>0</v>
      </c>
      <c r="F80" s="248">
        <f t="shared" si="34"/>
        <v>5.8647975498212943E-4</v>
      </c>
      <c r="G80" s="248">
        <f t="shared" si="35"/>
        <v>0.76</v>
      </c>
      <c r="H80" s="249">
        <f t="shared" si="36"/>
        <v>0.10894521169560026</v>
      </c>
      <c r="I80" s="122"/>
      <c r="J80" s="244">
        <v>0</v>
      </c>
      <c r="K80" s="245">
        <v>0</v>
      </c>
      <c r="L80" s="245">
        <v>0</v>
      </c>
      <c r="M80" s="245">
        <v>0</v>
      </c>
      <c r="N80" s="245">
        <f t="shared" si="37"/>
        <v>0.79776680229028152</v>
      </c>
      <c r="O80" s="245">
        <f t="shared" si="38"/>
        <v>7.2659954602429955E-3</v>
      </c>
      <c r="P80" s="245">
        <f t="shared" si="39"/>
        <v>1.4719597055008918E-2</v>
      </c>
      <c r="Q80" s="245">
        <f t="shared" si="40"/>
        <v>0.18024760519446703</v>
      </c>
      <c r="R80" s="243">
        <f t="shared" si="56"/>
        <v>1.0000000000000004</v>
      </c>
      <c r="S80" s="250"/>
      <c r="T80" s="244">
        <f t="shared" si="41"/>
        <v>6.277246726422113E-2</v>
      </c>
      <c r="U80" s="246">
        <f t="shared" si="46"/>
        <v>0.53984321847230166</v>
      </c>
      <c r="V80" s="246">
        <f t="shared" si="47"/>
        <v>0</v>
      </c>
      <c r="W80" s="246">
        <f t="shared" si="48"/>
        <v>3.2708438893901542E-2</v>
      </c>
      <c r="X80" s="246">
        <f t="shared" si="49"/>
        <v>1.3006131873834962E-3</v>
      </c>
      <c r="Y80" s="246">
        <f t="shared" si="50"/>
        <v>1.0303717938506243E-3</v>
      </c>
      <c r="Z80" s="246">
        <f t="shared" si="42"/>
        <v>0.57488264234743724</v>
      </c>
      <c r="AA80" s="247">
        <f t="shared" si="43"/>
        <v>6.2630711170667597E-2</v>
      </c>
      <c r="AB80" s="122"/>
      <c r="AC80" s="244">
        <f t="shared" si="51"/>
        <v>0</v>
      </c>
      <c r="AD80" s="245">
        <f t="shared" si="52"/>
        <v>0</v>
      </c>
      <c r="AE80" s="245">
        <f t="shared" si="53"/>
        <v>492.30189369333272</v>
      </c>
      <c r="AF80" s="245">
        <f t="shared" si="54"/>
        <v>6.9542842549985711</v>
      </c>
      <c r="AG80" s="245">
        <f t="shared" si="55"/>
        <v>9.0834633426460041</v>
      </c>
      <c r="AH80" s="245">
        <f t="shared" si="44"/>
        <v>508.33964129097728</v>
      </c>
      <c r="AI80" s="247">
        <f t="shared" si="45"/>
        <v>55.38116983371102</v>
      </c>
      <c r="AK80" s="259"/>
      <c r="AL80" s="59"/>
    </row>
    <row r="81" spans="1:38">
      <c r="A81" s="122"/>
      <c r="B81" s="241">
        <v>77</v>
      </c>
      <c r="C81" s="248">
        <f>'Other parameters'!$D$30</f>
        <v>5.9392199999999992E-2</v>
      </c>
      <c r="D81" s="242">
        <f>'Other parameters'!$G$30</f>
        <v>8.6</v>
      </c>
      <c r="E81" s="234">
        <v>0</v>
      </c>
      <c r="F81" s="248">
        <f t="shared" si="34"/>
        <v>5.3066882722839189E-4</v>
      </c>
      <c r="G81" s="248">
        <f t="shared" si="35"/>
        <v>0.76</v>
      </c>
      <c r="H81" s="249">
        <f t="shared" si="36"/>
        <v>0.10577205018990318</v>
      </c>
      <c r="I81" s="122"/>
      <c r="J81" s="244">
        <v>0</v>
      </c>
      <c r="K81" s="245">
        <v>0</v>
      </c>
      <c r="L81" s="245">
        <v>0</v>
      </c>
      <c r="M81" s="245">
        <v>0</v>
      </c>
      <c r="N81" s="245">
        <f t="shared" si="37"/>
        <v>0.7944904865352872</v>
      </c>
      <c r="O81" s="245">
        <f t="shared" si="38"/>
        <v>7.2361550415469943E-3</v>
      </c>
      <c r="P81" s="245">
        <f t="shared" si="39"/>
        <v>1.4659331087982442E-2</v>
      </c>
      <c r="Q81" s="245">
        <f t="shared" si="40"/>
        <v>0.18361402733518389</v>
      </c>
      <c r="R81" s="243">
        <f t="shared" si="56"/>
        <v>1.0000000000000004</v>
      </c>
      <c r="S81" s="250"/>
      <c r="T81" s="244">
        <f t="shared" si="41"/>
        <v>6.2758622140716855E-2</v>
      </c>
      <c r="U81" s="246">
        <f t="shared" si="46"/>
        <v>0.53972415041016497</v>
      </c>
      <c r="V81" s="246">
        <f t="shared" si="47"/>
        <v>0</v>
      </c>
      <c r="W81" s="246">
        <f t="shared" si="48"/>
        <v>3.2574109947946774E-2</v>
      </c>
      <c r="X81" s="246">
        <f t="shared" si="49"/>
        <v>1.295271752436912E-3</v>
      </c>
      <c r="Y81" s="246">
        <f t="shared" si="50"/>
        <v>1.0261531761587711E-3</v>
      </c>
      <c r="Z81" s="246">
        <f t="shared" si="42"/>
        <v>0.57461968528670737</v>
      </c>
      <c r="AA81" s="247">
        <f t="shared" si="43"/>
        <v>6.0778702192251982E-2</v>
      </c>
      <c r="AB81" s="122"/>
      <c r="AC81" s="244">
        <f t="shared" si="51"/>
        <v>0</v>
      </c>
      <c r="AD81" s="245">
        <f t="shared" si="52"/>
        <v>0</v>
      </c>
      <c r="AE81" s="245">
        <f t="shared" si="53"/>
        <v>490.28007924092577</v>
      </c>
      <c r="AF81" s="245">
        <f t="shared" si="54"/>
        <v>6.9257239902646281</v>
      </c>
      <c r="AG81" s="245">
        <f t="shared" si="55"/>
        <v>9.046273214393965</v>
      </c>
      <c r="AH81" s="245">
        <f t="shared" si="44"/>
        <v>506.25207644558435</v>
      </c>
      <c r="AI81" s="247">
        <f t="shared" si="45"/>
        <v>53.547320038545053</v>
      </c>
      <c r="AK81" s="259"/>
      <c r="AL81" s="59"/>
    </row>
    <row r="82" spans="1:38">
      <c r="A82" s="122"/>
      <c r="B82" s="241">
        <v>78</v>
      </c>
      <c r="C82" s="248">
        <f>'Other parameters'!$D$30</f>
        <v>5.9392199999999992E-2</v>
      </c>
      <c r="D82" s="242">
        <f>'Other parameters'!$G$30</f>
        <v>8.6</v>
      </c>
      <c r="E82" s="234">
        <v>0</v>
      </c>
      <c r="F82" s="248">
        <f t="shared" si="34"/>
        <v>4.80169011461509E-4</v>
      </c>
      <c r="G82" s="248">
        <f t="shared" si="35"/>
        <v>0.76</v>
      </c>
      <c r="H82" s="249">
        <f t="shared" si="36"/>
        <v>0.10269131086398368</v>
      </c>
      <c r="I82" s="122"/>
      <c r="J82" s="244">
        <v>0</v>
      </c>
      <c r="K82" s="245">
        <v>0</v>
      </c>
      <c r="L82" s="245">
        <v>0</v>
      </c>
      <c r="M82" s="245">
        <v>0</v>
      </c>
      <c r="N82" s="245">
        <f t="shared" si="37"/>
        <v>0.79122762614706865</v>
      </c>
      <c r="O82" s="245">
        <f t="shared" si="38"/>
        <v>7.2064371732424477E-3</v>
      </c>
      <c r="P82" s="245">
        <f t="shared" si="39"/>
        <v>1.459928167261907E-2</v>
      </c>
      <c r="Q82" s="245">
        <f t="shared" si="40"/>
        <v>0.18696665500707033</v>
      </c>
      <c r="R82" s="243">
        <f t="shared" si="56"/>
        <v>1.0000000000000004</v>
      </c>
      <c r="S82" s="250"/>
      <c r="T82" s="244">
        <f t="shared" si="41"/>
        <v>6.2744827671886438E-2</v>
      </c>
      <c r="U82" s="246">
        <f t="shared" si="46"/>
        <v>0.53960551797822331</v>
      </c>
      <c r="V82" s="246">
        <f t="shared" si="47"/>
        <v>0</v>
      </c>
      <c r="W82" s="246">
        <f t="shared" si="48"/>
        <v>3.2440332672029816E-2</v>
      </c>
      <c r="X82" s="246">
        <f t="shared" si="49"/>
        <v>1.289952254010398E-3</v>
      </c>
      <c r="Y82" s="246">
        <f t="shared" si="50"/>
        <v>1.0219497170833351E-3</v>
      </c>
      <c r="Z82" s="246">
        <f t="shared" si="42"/>
        <v>0.57435775262134692</v>
      </c>
      <c r="AA82" s="247">
        <f t="shared" si="43"/>
        <v>5.8981550521577775E-2</v>
      </c>
      <c r="AB82" s="122"/>
      <c r="AC82" s="244">
        <f t="shared" si="51"/>
        <v>0</v>
      </c>
      <c r="AD82" s="245">
        <f t="shared" si="52"/>
        <v>0</v>
      </c>
      <c r="AE82" s="245">
        <f t="shared" si="53"/>
        <v>488.26656809535609</v>
      </c>
      <c r="AF82" s="245">
        <f t="shared" si="54"/>
        <v>6.8972810185103466</v>
      </c>
      <c r="AG82" s="245">
        <f t="shared" si="55"/>
        <v>9.0092167201732281</v>
      </c>
      <c r="AH82" s="245">
        <f t="shared" si="44"/>
        <v>504.17306583403968</v>
      </c>
      <c r="AI82" s="247">
        <f t="shared" si="45"/>
        <v>51.774193032811077</v>
      </c>
      <c r="AK82" s="259"/>
      <c r="AL82" s="59"/>
    </row>
    <row r="83" spans="1:38">
      <c r="A83" s="122"/>
      <c r="B83" s="241">
        <v>79</v>
      </c>
      <c r="C83" s="248">
        <f>'Other parameters'!$D$30</f>
        <v>5.9392199999999992E-2</v>
      </c>
      <c r="D83" s="242">
        <f>'Other parameters'!$G$30</f>
        <v>8.6</v>
      </c>
      <c r="E83" s="234">
        <v>0</v>
      </c>
      <c r="F83" s="248">
        <f t="shared" si="34"/>
        <v>4.3447488855171106E-4</v>
      </c>
      <c r="G83" s="248">
        <f t="shared" si="35"/>
        <v>0.76</v>
      </c>
      <c r="H83" s="249">
        <f t="shared" si="36"/>
        <v>9.9700301809692873E-2</v>
      </c>
      <c r="I83" s="122"/>
      <c r="J83" s="244">
        <v>0</v>
      </c>
      <c r="K83" s="245">
        <v>0</v>
      </c>
      <c r="L83" s="245">
        <v>0</v>
      </c>
      <c r="M83" s="245">
        <v>0</v>
      </c>
      <c r="N83" s="245">
        <f t="shared" si="37"/>
        <v>0.78797816586633218</v>
      </c>
      <c r="O83" s="245">
        <f t="shared" si="38"/>
        <v>7.1768413520321792E-3</v>
      </c>
      <c r="P83" s="245">
        <f t="shared" si="39"/>
        <v>1.4539453088583162E-2</v>
      </c>
      <c r="Q83" s="245">
        <f t="shared" si="40"/>
        <v>0.19030553969305303</v>
      </c>
      <c r="R83" s="243">
        <f t="shared" si="56"/>
        <v>1.0000000000000007</v>
      </c>
      <c r="S83" s="250"/>
      <c r="T83" s="244">
        <f t="shared" si="41"/>
        <v>6.273108468598268E-2</v>
      </c>
      <c r="U83" s="246">
        <f t="shared" si="46"/>
        <v>0.53948732829945101</v>
      </c>
      <c r="V83" s="246">
        <f t="shared" si="47"/>
        <v>0</v>
      </c>
      <c r="W83" s="246">
        <f t="shared" si="48"/>
        <v>3.2307104800519619E-2</v>
      </c>
      <c r="X83" s="246">
        <f t="shared" si="49"/>
        <v>1.2846546020137601E-3</v>
      </c>
      <c r="Y83" s="246">
        <f t="shared" si="50"/>
        <v>1.0177617162008214E-3</v>
      </c>
      <c r="Z83" s="246">
        <f t="shared" si="42"/>
        <v>0.57409684941818517</v>
      </c>
      <c r="AA83" s="247">
        <f t="shared" si="43"/>
        <v>5.7237629154986862E-2</v>
      </c>
      <c r="AB83" s="122"/>
      <c r="AC83" s="244">
        <f t="shared" si="51"/>
        <v>0</v>
      </c>
      <c r="AD83" s="245">
        <f t="shared" si="52"/>
        <v>0</v>
      </c>
      <c r="AE83" s="245">
        <f t="shared" si="53"/>
        <v>486.26132615611363</v>
      </c>
      <c r="AF83" s="245">
        <f t="shared" si="54"/>
        <v>6.8689548580299986</v>
      </c>
      <c r="AG83" s="245">
        <f t="shared" si="55"/>
        <v>8.9722965009646707</v>
      </c>
      <c r="AH83" s="245">
        <f t="shared" si="44"/>
        <v>502.10257751510829</v>
      </c>
      <c r="AI83" s="247">
        <f t="shared" si="45"/>
        <v>50.059778517681011</v>
      </c>
      <c r="AK83" s="259"/>
      <c r="AL83" s="59"/>
    </row>
    <row r="84" spans="1:38">
      <c r="A84" s="122"/>
      <c r="B84" s="241">
        <v>80</v>
      </c>
      <c r="C84" s="248">
        <f>'Other parameters'!$D$31</f>
        <v>9.5447599999999994E-2</v>
      </c>
      <c r="D84" s="242">
        <f>'Other parameters'!$G$31</f>
        <v>6.2</v>
      </c>
      <c r="E84" s="234">
        <v>0</v>
      </c>
      <c r="F84" s="248">
        <f t="shared" si="34"/>
        <v>3.9312913635859134E-4</v>
      </c>
      <c r="G84" s="248">
        <f t="shared" si="35"/>
        <v>0.76</v>
      </c>
      <c r="H84" s="249">
        <f t="shared" si="36"/>
        <v>9.679640952397367E-2</v>
      </c>
      <c r="I84" s="122"/>
      <c r="J84" s="244">
        <v>0</v>
      </c>
      <c r="K84" s="245">
        <v>0</v>
      </c>
      <c r="L84" s="245">
        <v>0</v>
      </c>
      <c r="M84" s="245">
        <v>0</v>
      </c>
      <c r="N84" s="245">
        <f t="shared" si="37"/>
        <v>0.78474205066072589</v>
      </c>
      <c r="O84" s="245">
        <f t="shared" si="38"/>
        <v>7.1473670766859822E-3</v>
      </c>
      <c r="P84" s="245">
        <f t="shared" si="39"/>
        <v>1.4479848734738184E-2</v>
      </c>
      <c r="Q84" s="245">
        <f t="shared" si="40"/>
        <v>0.19363073352785043</v>
      </c>
      <c r="R84" s="243">
        <f t="shared" si="56"/>
        <v>1.0000000000000004</v>
      </c>
      <c r="S84" s="250"/>
      <c r="T84" s="244">
        <f t="shared" si="41"/>
        <v>9.8772793834797409E-2</v>
      </c>
      <c r="U84" s="246">
        <f t="shared" si="46"/>
        <v>0.61239132177574396</v>
      </c>
      <c r="V84" s="246">
        <f t="shared" si="47"/>
        <v>0</v>
      </c>
      <c r="W84" s="246">
        <f t="shared" si="48"/>
        <v>3.2174424077089765E-2</v>
      </c>
      <c r="X84" s="246">
        <f t="shared" si="49"/>
        <v>1.2793787067267907E-3</v>
      </c>
      <c r="Y84" s="246">
        <f t="shared" si="50"/>
        <v>1.0135894114316729E-3</v>
      </c>
      <c r="Z84" s="246">
        <f t="shared" si="42"/>
        <v>0.64685871397099226</v>
      </c>
      <c r="AA84" s="247">
        <f t="shared" si="43"/>
        <v>6.2613600981687112E-2</v>
      </c>
      <c r="AB84" s="122"/>
      <c r="AC84" s="244">
        <f t="shared" si="51"/>
        <v>0</v>
      </c>
      <c r="AD84" s="245">
        <f t="shared" si="52"/>
        <v>0</v>
      </c>
      <c r="AE84" s="245">
        <f t="shared" si="53"/>
        <v>484.26431946273397</v>
      </c>
      <c r="AF84" s="245">
        <f t="shared" si="54"/>
        <v>6.840745029096154</v>
      </c>
      <c r="AG84" s="245">
        <f t="shared" si="55"/>
        <v>8.9355146542069335</v>
      </c>
      <c r="AH84" s="245">
        <f t="shared" si="44"/>
        <v>500.04057914603703</v>
      </c>
      <c r="AI84" s="247">
        <f t="shared" si="45"/>
        <v>48.40213267762477</v>
      </c>
      <c r="AK84" s="259"/>
      <c r="AL84" s="59"/>
    </row>
    <row r="85" spans="1:38">
      <c r="A85" s="122"/>
      <c r="B85" s="241">
        <v>81</v>
      </c>
      <c r="C85" s="248">
        <f>'Other parameters'!$D$31</f>
        <v>9.5447599999999994E-2</v>
      </c>
      <c r="D85" s="242">
        <f>'Other parameters'!$G$31</f>
        <v>6.2</v>
      </c>
      <c r="E85" s="234">
        <v>0</v>
      </c>
      <c r="F85" s="248">
        <f t="shared" si="34"/>
        <v>3.5571795269741458E-4</v>
      </c>
      <c r="G85" s="248">
        <f t="shared" si="35"/>
        <v>0.76</v>
      </c>
      <c r="H85" s="249">
        <f t="shared" si="36"/>
        <v>9.3977096625217166E-2</v>
      </c>
      <c r="I85" s="122"/>
      <c r="J85" s="244">
        <v>0</v>
      </c>
      <c r="K85" s="245">
        <v>0</v>
      </c>
      <c r="L85" s="245">
        <v>0</v>
      </c>
      <c r="M85" s="245">
        <v>0</v>
      </c>
      <c r="N85" s="245">
        <f t="shared" si="37"/>
        <v>0.78151922572390831</v>
      </c>
      <c r="O85" s="245">
        <f t="shared" si="38"/>
        <v>7.1180138480321361E-3</v>
      </c>
      <c r="P85" s="245">
        <f t="shared" si="39"/>
        <v>1.4420471276922584E-2</v>
      </c>
      <c r="Q85" s="245">
        <f t="shared" si="40"/>
        <v>0.19694228915113746</v>
      </c>
      <c r="R85" s="243">
        <f t="shared" si="56"/>
        <v>1.0000000000000004</v>
      </c>
      <c r="S85" s="250"/>
      <c r="T85" s="244">
        <f t="shared" si="41"/>
        <v>9.875915562328702E-2</v>
      </c>
      <c r="U85" s="246">
        <f t="shared" si="46"/>
        <v>0.61230676486437952</v>
      </c>
      <c r="V85" s="246">
        <f t="shared" si="47"/>
        <v>0</v>
      </c>
      <c r="W85" s="246">
        <f t="shared" si="48"/>
        <v>3.2042288254680244E-2</v>
      </c>
      <c r="X85" s="246">
        <f t="shared" si="49"/>
        <v>1.2741244787977523E-3</v>
      </c>
      <c r="Y85" s="246">
        <f t="shared" si="50"/>
        <v>1.009432989384581E-3</v>
      </c>
      <c r="Z85" s="246">
        <f t="shared" si="42"/>
        <v>0.64663261058724208</v>
      </c>
      <c r="AA85" s="247">
        <f t="shared" si="43"/>
        <v>6.0768655326173676E-2</v>
      </c>
      <c r="AB85" s="122"/>
      <c r="AC85" s="244">
        <f t="shared" si="51"/>
        <v>0</v>
      </c>
      <c r="AD85" s="245">
        <f t="shared" si="52"/>
        <v>0</v>
      </c>
      <c r="AE85" s="245">
        <f t="shared" si="53"/>
        <v>482.27551419422383</v>
      </c>
      <c r="AF85" s="245">
        <f t="shared" si="54"/>
        <v>6.8126510539515577</v>
      </c>
      <c r="AG85" s="245">
        <f t="shared" si="55"/>
        <v>8.8988728249889277</v>
      </c>
      <c r="AH85" s="245">
        <f t="shared" si="44"/>
        <v>497.98703807316434</v>
      </c>
      <c r="AI85" s="247">
        <f t="shared" si="45"/>
        <v>46.799375995107468</v>
      </c>
      <c r="AK85" s="259"/>
      <c r="AL85" s="59"/>
    </row>
    <row r="86" spans="1:38">
      <c r="A86" s="122"/>
      <c r="B86" s="241">
        <v>82</v>
      </c>
      <c r="C86" s="248">
        <f>'Other parameters'!$D$31</f>
        <v>9.5447599999999994E-2</v>
      </c>
      <c r="D86" s="242">
        <f>'Other parameters'!$G$31</f>
        <v>6.2</v>
      </c>
      <c r="E86" s="234">
        <v>0</v>
      </c>
      <c r="F86" s="248">
        <f t="shared" si="34"/>
        <v>3.2186691386776605E-4</v>
      </c>
      <c r="G86" s="248">
        <f t="shared" si="35"/>
        <v>0.76</v>
      </c>
      <c r="H86" s="249">
        <f t="shared" si="36"/>
        <v>9.1239899636133173E-2</v>
      </c>
      <c r="I86" s="122"/>
      <c r="J86" s="244">
        <v>0</v>
      </c>
      <c r="K86" s="245">
        <v>0</v>
      </c>
      <c r="L86" s="245">
        <v>0</v>
      </c>
      <c r="M86" s="245">
        <v>0</v>
      </c>
      <c r="N86" s="245">
        <f t="shared" si="37"/>
        <v>0.7783096364746197</v>
      </c>
      <c r="O86" s="245">
        <f t="shared" si="38"/>
        <v>7.088781168948944E-3</v>
      </c>
      <c r="P86" s="245">
        <f t="shared" si="39"/>
        <v>1.4361322771044316E-2</v>
      </c>
      <c r="Q86" s="245">
        <f t="shared" si="40"/>
        <v>0.20024025958538755</v>
      </c>
      <c r="R86" s="243">
        <f t="shared" si="56"/>
        <v>1.0000000000000004</v>
      </c>
      <c r="S86" s="250"/>
      <c r="T86" s="244">
        <f t="shared" si="41"/>
        <v>9.8745570434250085E-2</v>
      </c>
      <c r="U86" s="246">
        <f t="shared" si="46"/>
        <v>0.61222253669235049</v>
      </c>
      <c r="V86" s="246">
        <f t="shared" si="47"/>
        <v>0</v>
      </c>
      <c r="W86" s="246">
        <f t="shared" si="48"/>
        <v>3.1910695095459407E-2</v>
      </c>
      <c r="X86" s="246">
        <f t="shared" si="49"/>
        <v>1.268891829241861E-3</v>
      </c>
      <c r="Y86" s="246">
        <f t="shared" si="50"/>
        <v>1.0052925939731023E-3</v>
      </c>
      <c r="Z86" s="246">
        <f t="shared" si="42"/>
        <v>0.64640741621102482</v>
      </c>
      <c r="AA86" s="247">
        <f t="shared" si="43"/>
        <v>5.8978147779146069E-2</v>
      </c>
      <c r="AB86" s="122"/>
      <c r="AC86" s="244">
        <f t="shared" si="51"/>
        <v>0</v>
      </c>
      <c r="AD86" s="245">
        <f t="shared" si="52"/>
        <v>0</v>
      </c>
      <c r="AE86" s="245">
        <f t="shared" si="53"/>
        <v>480.29487666848786</v>
      </c>
      <c r="AF86" s="245">
        <f t="shared" si="54"/>
        <v>6.7846724568010348</v>
      </c>
      <c r="AG86" s="245">
        <f t="shared" si="55"/>
        <v>8.8623722820114477</v>
      </c>
      <c r="AH86" s="245">
        <f t="shared" si="44"/>
        <v>495.94192140730036</v>
      </c>
      <c r="AI86" s="247">
        <f t="shared" si="45"/>
        <v>45.249691134553132</v>
      </c>
      <c r="AK86" s="259"/>
      <c r="AL86" s="59"/>
    </row>
    <row r="87" spans="1:38">
      <c r="A87" s="122"/>
      <c r="B87" s="241">
        <v>83</v>
      </c>
      <c r="C87" s="248">
        <f>'Other parameters'!$D$31</f>
        <v>9.5447599999999994E-2</v>
      </c>
      <c r="D87" s="242">
        <f>'Other parameters'!$G$31</f>
        <v>6.2</v>
      </c>
      <c r="E87" s="234">
        <v>0</v>
      </c>
      <c r="F87" s="248">
        <f t="shared" si="34"/>
        <v>2.9123722729531215E-4</v>
      </c>
      <c r="G87" s="248">
        <f t="shared" si="35"/>
        <v>0.76</v>
      </c>
      <c r="H87" s="249">
        <f t="shared" si="36"/>
        <v>8.8582426831197242E-2</v>
      </c>
      <c r="I87" s="122"/>
      <c r="J87" s="244">
        <v>0</v>
      </c>
      <c r="K87" s="245">
        <v>0</v>
      </c>
      <c r="L87" s="245">
        <v>0</v>
      </c>
      <c r="M87" s="245">
        <v>0</v>
      </c>
      <c r="N87" s="245">
        <f t="shared" si="37"/>
        <v>0.77511322855575782</v>
      </c>
      <c r="O87" s="245">
        <f t="shared" si="38"/>
        <v>7.0596685443563203E-3</v>
      </c>
      <c r="P87" s="245">
        <f t="shared" si="39"/>
        <v>1.4302404765615768E-2</v>
      </c>
      <c r="Q87" s="245">
        <f t="shared" si="40"/>
        <v>0.20352469813427057</v>
      </c>
      <c r="R87" s="243">
        <f t="shared" si="56"/>
        <v>1.0000000000000004</v>
      </c>
      <c r="S87" s="250"/>
      <c r="T87" s="244">
        <f t="shared" si="41"/>
        <v>9.8732038548883017E-2</v>
      </c>
      <c r="U87" s="246">
        <f t="shared" si="46"/>
        <v>0.61213863900307475</v>
      </c>
      <c r="V87" s="246">
        <f t="shared" si="47"/>
        <v>0</v>
      </c>
      <c r="W87" s="246">
        <f t="shared" si="48"/>
        <v>3.1779642370786072E-2</v>
      </c>
      <c r="X87" s="246">
        <f t="shared" si="49"/>
        <v>1.2636806694397813E-3</v>
      </c>
      <c r="Y87" s="246">
        <f t="shared" si="50"/>
        <v>1.0011683335931039E-3</v>
      </c>
      <c r="Z87" s="246">
        <f t="shared" si="42"/>
        <v>0.64618313037689379</v>
      </c>
      <c r="AA87" s="247">
        <f t="shared" si="43"/>
        <v>5.7240469866165183E-2</v>
      </c>
      <c r="AB87" s="122"/>
      <c r="AC87" s="244">
        <f t="shared" si="51"/>
        <v>0</v>
      </c>
      <c r="AD87" s="245">
        <f t="shared" si="52"/>
        <v>0</v>
      </c>
      <c r="AE87" s="245">
        <f t="shared" si="53"/>
        <v>478.32237334175818</v>
      </c>
      <c r="AF87" s="245">
        <f t="shared" si="54"/>
        <v>6.7568087638034342</v>
      </c>
      <c r="AG87" s="245">
        <f t="shared" si="55"/>
        <v>8.8260139808614912</v>
      </c>
      <c r="AH87" s="245">
        <f t="shared" si="44"/>
        <v>493.90519608642308</v>
      </c>
      <c r="AI87" s="247">
        <f t="shared" si="45"/>
        <v>43.751320893873697</v>
      </c>
      <c r="AK87" s="259"/>
      <c r="AL87" s="59"/>
    </row>
    <row r="88" spans="1:38">
      <c r="A88" s="122"/>
      <c r="B88" s="241">
        <v>84</v>
      </c>
      <c r="C88" s="248">
        <f>'Other parameters'!$D$31</f>
        <v>9.5447599999999994E-2</v>
      </c>
      <c r="D88" s="242">
        <f>'Other parameters'!$G$31</f>
        <v>6.2</v>
      </c>
      <c r="E88" s="234">
        <v>0</v>
      </c>
      <c r="F88" s="248">
        <f t="shared" si="34"/>
        <v>2.6352234078184223E-4</v>
      </c>
      <c r="G88" s="248">
        <f t="shared" si="35"/>
        <v>0.76</v>
      </c>
      <c r="H88" s="249">
        <f t="shared" si="36"/>
        <v>8.6002356146793454E-2</v>
      </c>
      <c r="I88" s="122"/>
      <c r="J88" s="244">
        <v>0</v>
      </c>
      <c r="K88" s="245">
        <v>0</v>
      </c>
      <c r="L88" s="245">
        <v>0</v>
      </c>
      <c r="M88" s="245">
        <v>0</v>
      </c>
      <c r="N88" s="245">
        <f t="shared" si="37"/>
        <v>0.77192994783345759</v>
      </c>
      <c r="O88" s="245">
        <f t="shared" si="38"/>
        <v>7.0306754812074022E-3</v>
      </c>
      <c r="P88" s="245">
        <f t="shared" si="39"/>
        <v>1.4243718387162596E-2</v>
      </c>
      <c r="Q88" s="245">
        <f t="shared" si="40"/>
        <v>0.20679565829817295</v>
      </c>
      <c r="R88" s="243">
        <f t="shared" si="56"/>
        <v>1.0000000000000004</v>
      </c>
      <c r="S88" s="250"/>
      <c r="T88" s="244">
        <f t="shared" si="41"/>
        <v>9.8718560163902361E-2</v>
      </c>
      <c r="U88" s="246">
        <f t="shared" si="46"/>
        <v>0.61205507301619466</v>
      </c>
      <c r="V88" s="246">
        <f t="shared" si="47"/>
        <v>0</v>
      </c>
      <c r="W88" s="246">
        <f t="shared" si="48"/>
        <v>3.1649127861171765E-2</v>
      </c>
      <c r="X88" s="246">
        <f t="shared" si="49"/>
        <v>1.258490911136125E-3</v>
      </c>
      <c r="Y88" s="246">
        <f t="shared" si="50"/>
        <v>9.9706028710138186E-4</v>
      </c>
      <c r="Z88" s="246">
        <f t="shared" si="42"/>
        <v>0.64595975207560397</v>
      </c>
      <c r="AA88" s="247">
        <f t="shared" si="43"/>
        <v>5.5554060654500498E-2</v>
      </c>
      <c r="AB88" s="122"/>
      <c r="AC88" s="244">
        <f t="shared" si="51"/>
        <v>0</v>
      </c>
      <c r="AD88" s="245">
        <f t="shared" si="52"/>
        <v>0</v>
      </c>
      <c r="AE88" s="245">
        <f t="shared" si="53"/>
        <v>476.35797080802672</v>
      </c>
      <c r="AF88" s="245">
        <f t="shared" si="54"/>
        <v>6.7290595030636045</v>
      </c>
      <c r="AG88" s="245">
        <f t="shared" si="55"/>
        <v>8.7897986167180377</v>
      </c>
      <c r="AH88" s="245">
        <f t="shared" si="44"/>
        <v>491.87682892780833</v>
      </c>
      <c r="AI88" s="247">
        <f t="shared" si="45"/>
        <v>42.302566221804767</v>
      </c>
      <c r="AK88" s="259"/>
      <c r="AL88" s="59"/>
    </row>
    <row r="89" spans="1:38">
      <c r="A89" s="122"/>
      <c r="B89" s="241">
        <v>85</v>
      </c>
      <c r="C89" s="248">
        <f>'Other parameters'!$D$32</f>
        <v>0.12420580000000001</v>
      </c>
      <c r="D89" s="242">
        <f>'Other parameters'!$G$32</f>
        <v>4.5999999999999996</v>
      </c>
      <c r="E89" s="234">
        <v>0</v>
      </c>
      <c r="F89" s="248">
        <f t="shared" si="34"/>
        <v>2.3844487442783421E-4</v>
      </c>
      <c r="G89" s="248">
        <f t="shared" si="35"/>
        <v>0.76</v>
      </c>
      <c r="H89" s="249">
        <f t="shared" si="36"/>
        <v>8.3497433152226644E-2</v>
      </c>
      <c r="I89" s="122"/>
      <c r="J89" s="244">
        <v>0</v>
      </c>
      <c r="K89" s="245">
        <v>0</v>
      </c>
      <c r="L89" s="245">
        <v>0</v>
      </c>
      <c r="M89" s="245">
        <v>0</v>
      </c>
      <c r="N89" s="245">
        <f t="shared" si="37"/>
        <v>0.76875974039617379</v>
      </c>
      <c r="O89" s="245">
        <f t="shared" si="38"/>
        <v>7.0018014884802001E-3</v>
      </c>
      <c r="P89" s="245">
        <f t="shared" si="39"/>
        <v>1.4185264411366503E-2</v>
      </c>
      <c r="Q89" s="245">
        <f t="shared" si="40"/>
        <v>0.21005319370398004</v>
      </c>
      <c r="R89" s="243">
        <f t="shared" si="56"/>
        <v>1.0000000000000004</v>
      </c>
      <c r="S89" s="250"/>
      <c r="T89" s="244">
        <f t="shared" si="41"/>
        <v>0.12746333540580709</v>
      </c>
      <c r="U89" s="246">
        <f t="shared" si="46"/>
        <v>0.58633134286671262</v>
      </c>
      <c r="V89" s="246">
        <f t="shared" si="47"/>
        <v>0</v>
      </c>
      <c r="W89" s="246">
        <f t="shared" si="48"/>
        <v>3.1519149356243129E-2</v>
      </c>
      <c r="X89" s="246">
        <f t="shared" si="49"/>
        <v>1.2533224664379558E-3</v>
      </c>
      <c r="Y89" s="246">
        <f t="shared" si="50"/>
        <v>9.9296850879565524E-4</v>
      </c>
      <c r="Z89" s="246">
        <f t="shared" si="42"/>
        <v>0.62009678319818939</v>
      </c>
      <c r="AA89" s="247">
        <f t="shared" si="43"/>
        <v>5.1776489703001596E-2</v>
      </c>
      <c r="AB89" s="122"/>
      <c r="AC89" s="244">
        <f t="shared" si="51"/>
        <v>0</v>
      </c>
      <c r="AD89" s="245">
        <f t="shared" si="52"/>
        <v>0</v>
      </c>
      <c r="AE89" s="245">
        <f t="shared" si="53"/>
        <v>474.40163579847888</v>
      </c>
      <c r="AF89" s="245">
        <f t="shared" si="54"/>
        <v>6.7014242046243995</v>
      </c>
      <c r="AG89" s="245">
        <f t="shared" si="55"/>
        <v>8.75372666825427</v>
      </c>
      <c r="AH89" s="245">
        <f t="shared" si="44"/>
        <v>489.85678667135755</v>
      </c>
      <c r="AI89" s="247">
        <f t="shared" si="45"/>
        <v>40.901784299256228</v>
      </c>
      <c r="AK89" s="259"/>
      <c r="AL89" s="59"/>
    </row>
    <row r="90" spans="1:38">
      <c r="A90" s="122"/>
      <c r="B90" s="241">
        <v>86</v>
      </c>
      <c r="C90" s="248">
        <f>'Other parameters'!$D$32</f>
        <v>0.12420580000000001</v>
      </c>
      <c r="D90" s="242">
        <f>'Other parameters'!$G$32</f>
        <v>4.5999999999999996</v>
      </c>
      <c r="E90" s="234">
        <v>0</v>
      </c>
      <c r="F90" s="248">
        <f t="shared" si="34"/>
        <v>2.1575384452119021E-4</v>
      </c>
      <c r="G90" s="248">
        <f t="shared" si="35"/>
        <v>0.76</v>
      </c>
      <c r="H90" s="249">
        <f t="shared" si="36"/>
        <v>8.1065469079831712E-2</v>
      </c>
      <c r="I90" s="122"/>
      <c r="J90" s="244">
        <v>0</v>
      </c>
      <c r="K90" s="245">
        <v>0</v>
      </c>
      <c r="L90" s="245">
        <v>0</v>
      </c>
      <c r="M90" s="245">
        <v>0</v>
      </c>
      <c r="N90" s="245">
        <f t="shared" si="37"/>
        <v>0.76560255255376852</v>
      </c>
      <c r="O90" s="245">
        <f t="shared" si="38"/>
        <v>6.973046077169285E-3</v>
      </c>
      <c r="P90" s="245">
        <f t="shared" si="39"/>
        <v>1.4127043322324423E-2</v>
      </c>
      <c r="Q90" s="245">
        <f t="shared" si="40"/>
        <v>0.21329735804673827</v>
      </c>
      <c r="R90" s="243">
        <f t="shared" si="56"/>
        <v>1.0000000000000004</v>
      </c>
      <c r="S90" s="250"/>
      <c r="T90" s="244">
        <f t="shared" si="41"/>
        <v>0.12744996434275824</v>
      </c>
      <c r="U90" s="246">
        <f t="shared" si="46"/>
        <v>0.5862698359766878</v>
      </c>
      <c r="V90" s="246">
        <f t="shared" si="47"/>
        <v>0</v>
      </c>
      <c r="W90" s="246">
        <f t="shared" si="48"/>
        <v>3.138970465470451E-2</v>
      </c>
      <c r="X90" s="246">
        <f t="shared" si="49"/>
        <v>1.248175247813302E-3</v>
      </c>
      <c r="Y90" s="246">
        <f t="shared" si="50"/>
        <v>9.8889303256270971E-4</v>
      </c>
      <c r="Z90" s="246">
        <f t="shared" si="42"/>
        <v>0.61989660891176823</v>
      </c>
      <c r="AA90" s="247">
        <f t="shared" si="43"/>
        <v>5.0252209382429476E-2</v>
      </c>
      <c r="AB90" s="122"/>
      <c r="AC90" s="244">
        <f t="shared" si="51"/>
        <v>0</v>
      </c>
      <c r="AD90" s="245">
        <f t="shared" si="52"/>
        <v>0</v>
      </c>
      <c r="AE90" s="245">
        <f t="shared" si="53"/>
        <v>472.45333518093059</v>
      </c>
      <c r="AF90" s="245">
        <f t="shared" si="54"/>
        <v>6.6739024004587231</v>
      </c>
      <c r="AG90" s="245">
        <f t="shared" si="55"/>
        <v>8.7177984342064025</v>
      </c>
      <c r="AH90" s="245">
        <f t="shared" si="44"/>
        <v>487.84503601559572</v>
      </c>
      <c r="AI90" s="247">
        <f t="shared" si="45"/>
        <v>39.547386682871661</v>
      </c>
      <c r="AK90" s="259"/>
      <c r="AL90" s="59"/>
    </row>
    <row r="91" spans="1:38">
      <c r="A91" s="122"/>
      <c r="B91" s="241">
        <v>87</v>
      </c>
      <c r="C91" s="248">
        <f>'Other parameters'!$D$32</f>
        <v>0.12420580000000001</v>
      </c>
      <c r="D91" s="242">
        <f>'Other parameters'!$G$32</f>
        <v>4.5999999999999996</v>
      </c>
      <c r="E91" s="234">
        <v>0</v>
      </c>
      <c r="F91" s="248">
        <f t="shared" si="34"/>
        <v>1.952221516078855E-4</v>
      </c>
      <c r="G91" s="248">
        <f t="shared" si="35"/>
        <v>0.76</v>
      </c>
      <c r="H91" s="249">
        <f t="shared" si="36"/>
        <v>7.8704338912457969E-2</v>
      </c>
      <c r="I91" s="122"/>
      <c r="J91" s="244">
        <v>0</v>
      </c>
      <c r="K91" s="245">
        <v>0</v>
      </c>
      <c r="L91" s="245">
        <v>0</v>
      </c>
      <c r="M91" s="245">
        <v>0</v>
      </c>
      <c r="N91" s="245">
        <f t="shared" si="37"/>
        <v>0.76245833083660175</v>
      </c>
      <c r="O91" s="245">
        <f t="shared" si="38"/>
        <v>6.9444087602775015E-3</v>
      </c>
      <c r="P91" s="245">
        <f t="shared" si="39"/>
        <v>1.4069055361908684E-2</v>
      </c>
      <c r="Q91" s="245">
        <f t="shared" si="40"/>
        <v>0.21652820504121262</v>
      </c>
      <c r="R91" s="243">
        <f t="shared" si="56"/>
        <v>1.0000000000000004</v>
      </c>
      <c r="S91" s="250"/>
      <c r="T91" s="244">
        <f t="shared" si="41"/>
        <v>0.12743664699447435</v>
      </c>
      <c r="U91" s="246">
        <f t="shared" si="46"/>
        <v>0.586208576174582</v>
      </c>
      <c r="V91" s="246">
        <f t="shared" si="47"/>
        <v>0</v>
      </c>
      <c r="W91" s="246">
        <f t="shared" si="48"/>
        <v>3.1260791564300672E-2</v>
      </c>
      <c r="X91" s="246">
        <f t="shared" si="49"/>
        <v>1.2430491680896728E-3</v>
      </c>
      <c r="Y91" s="246">
        <f t="shared" si="50"/>
        <v>9.8483387533360796E-4</v>
      </c>
      <c r="Z91" s="246">
        <f t="shared" si="42"/>
        <v>0.61969725078230609</v>
      </c>
      <c r="AA91" s="247">
        <f t="shared" si="43"/>
        <v>4.8772862448689079E-2</v>
      </c>
      <c r="AB91" s="122"/>
      <c r="AC91" s="244">
        <f t="shared" si="51"/>
        <v>0</v>
      </c>
      <c r="AD91" s="245">
        <f t="shared" si="52"/>
        <v>0</v>
      </c>
      <c r="AE91" s="245">
        <f t="shared" si="53"/>
        <v>470.51303595926697</v>
      </c>
      <c r="AF91" s="245">
        <f t="shared" si="54"/>
        <v>6.6464936244615966</v>
      </c>
      <c r="AG91" s="245">
        <f t="shared" si="55"/>
        <v>8.682014063833849</v>
      </c>
      <c r="AH91" s="245">
        <f t="shared" si="44"/>
        <v>485.84154364756239</v>
      </c>
      <c r="AI91" s="247">
        <f t="shared" si="45"/>
        <v>38.237837508989493</v>
      </c>
      <c r="AK91" s="259"/>
      <c r="AL91" s="59"/>
    </row>
    <row r="92" spans="1:38">
      <c r="A92" s="122"/>
      <c r="B92" s="241">
        <v>88</v>
      </c>
      <c r="C92" s="248">
        <f>'Other parameters'!$D$32</f>
        <v>0.12420580000000001</v>
      </c>
      <c r="D92" s="242">
        <f>'Other parameters'!$G$32</f>
        <v>4.5999999999999996</v>
      </c>
      <c r="E92" s="234">
        <v>0</v>
      </c>
      <c r="F92" s="248">
        <f t="shared" si="34"/>
        <v>1.7664430760430384E-4</v>
      </c>
      <c r="G92" s="248">
        <f t="shared" si="35"/>
        <v>0.76</v>
      </c>
      <c r="H92" s="249">
        <f t="shared" si="36"/>
        <v>7.6411979526658208E-2</v>
      </c>
      <c r="I92" s="122"/>
      <c r="J92" s="244">
        <v>0</v>
      </c>
      <c r="K92" s="245">
        <v>0</v>
      </c>
      <c r="L92" s="245">
        <v>0</v>
      </c>
      <c r="M92" s="245">
        <v>0</v>
      </c>
      <c r="N92" s="245">
        <f t="shared" si="37"/>
        <v>0.75932702199462543</v>
      </c>
      <c r="O92" s="245">
        <f t="shared" si="38"/>
        <v>6.9158890528077241E-3</v>
      </c>
      <c r="P92" s="245">
        <f t="shared" si="39"/>
        <v>1.4011300570881277E-2</v>
      </c>
      <c r="Q92" s="245">
        <f t="shared" si="40"/>
        <v>0.21974578838168607</v>
      </c>
      <c r="R92" s="243">
        <f t="shared" si="56"/>
        <v>1.0000000000000004</v>
      </c>
      <c r="S92" s="250"/>
      <c r="T92" s="244">
        <f t="shared" si="41"/>
        <v>0.12742338334047346</v>
      </c>
      <c r="U92" s="246">
        <f t="shared" si="46"/>
        <v>0.5861475633661779</v>
      </c>
      <c r="V92" s="246">
        <f t="shared" si="47"/>
        <v>0</v>
      </c>
      <c r="W92" s="246">
        <f t="shared" si="48"/>
        <v>3.1132407901779645E-2</v>
      </c>
      <c r="X92" s="246">
        <f t="shared" si="49"/>
        <v>1.2379441404525827E-3</v>
      </c>
      <c r="Y92" s="246">
        <f t="shared" si="50"/>
        <v>9.8079103996168951E-4</v>
      </c>
      <c r="Z92" s="246">
        <f t="shared" si="42"/>
        <v>0.61949870644837179</v>
      </c>
      <c r="AA92" s="247">
        <f t="shared" si="43"/>
        <v>4.7337122473924229E-2</v>
      </c>
      <c r="AB92" s="122"/>
      <c r="AC92" s="244">
        <f t="shared" si="51"/>
        <v>0</v>
      </c>
      <c r="AD92" s="245">
        <f t="shared" si="52"/>
        <v>0</v>
      </c>
      <c r="AE92" s="245">
        <f t="shared" si="53"/>
        <v>468.58070527288339</v>
      </c>
      <c r="AF92" s="245">
        <f t="shared" si="54"/>
        <v>6.619197412442273</v>
      </c>
      <c r="AG92" s="245">
        <f t="shared" si="55"/>
        <v>8.6463735822908365</v>
      </c>
      <c r="AH92" s="245">
        <f t="shared" si="44"/>
        <v>483.84627626761647</v>
      </c>
      <c r="AI92" s="247">
        <f t="shared" si="45"/>
        <v>36.971651756210925</v>
      </c>
      <c r="AK92" s="259"/>
      <c r="AL92" s="59"/>
    </row>
    <row r="93" spans="1:38">
      <c r="A93" s="122"/>
      <c r="B93" s="241">
        <v>89</v>
      </c>
      <c r="C93" s="248">
        <f>'Other parameters'!$D$32</f>
        <v>0.12420580000000001</v>
      </c>
      <c r="D93" s="242">
        <f>'Other parameters'!$G$32</f>
        <v>4.5999999999999996</v>
      </c>
      <c r="E93" s="234">
        <v>0</v>
      </c>
      <c r="F93" s="248">
        <f t="shared" ref="F93:F104" si="57">IF(B93&lt;rf2age,0,(pA2_3p*EXP(-0.1*(B93-$B$28))))</f>
        <v>1.5983437920342815E-4</v>
      </c>
      <c r="G93" s="248">
        <f t="shared" si="35"/>
        <v>0.76</v>
      </c>
      <c r="H93" s="249">
        <f t="shared" si="36"/>
        <v>7.4186387889959446E-2</v>
      </c>
      <c r="I93" s="122"/>
      <c r="J93" s="244">
        <v>0</v>
      </c>
      <c r="K93" s="245">
        <v>0</v>
      </c>
      <c r="L93" s="245">
        <v>0</v>
      </c>
      <c r="M93" s="245">
        <v>0</v>
      </c>
      <c r="N93" s="245">
        <f t="shared" si="37"/>
        <v>0.75620857299648236</v>
      </c>
      <c r="O93" s="245">
        <f t="shared" si="38"/>
        <v>6.8874864717546431E-3</v>
      </c>
      <c r="P93" s="245">
        <f t="shared" si="39"/>
        <v>1.3953778823139328E-2</v>
      </c>
      <c r="Q93" s="245">
        <f t="shared" si="40"/>
        <v>0.22295016170862419</v>
      </c>
      <c r="R93" s="243">
        <f t="shared" si="56"/>
        <v>1.0000000000000004</v>
      </c>
      <c r="S93" s="250"/>
      <c r="T93" s="244">
        <f t="shared" si="41"/>
        <v>0.12741017332693813</v>
      </c>
      <c r="U93" s="246">
        <f t="shared" si="46"/>
        <v>0.58608679730391533</v>
      </c>
      <c r="V93" s="246">
        <f t="shared" si="47"/>
        <v>0</v>
      </c>
      <c r="W93" s="246">
        <f t="shared" si="48"/>
        <v>3.1004551492855779E-2</v>
      </c>
      <c r="X93" s="246">
        <f t="shared" si="49"/>
        <v>1.232860078444081E-3</v>
      </c>
      <c r="Y93" s="246">
        <f t="shared" si="50"/>
        <v>9.7676451761975302E-4</v>
      </c>
      <c r="Z93" s="246">
        <f t="shared" si="42"/>
        <v>0.61930097339283485</v>
      </c>
      <c r="AA93" s="247">
        <f t="shared" si="43"/>
        <v>4.5943702232750301E-2</v>
      </c>
      <c r="AB93" s="122"/>
      <c r="AC93" s="244">
        <f t="shared" si="51"/>
        <v>0</v>
      </c>
      <c r="AD93" s="245">
        <f t="shared" si="52"/>
        <v>0</v>
      </c>
      <c r="AE93" s="245">
        <f t="shared" si="53"/>
        <v>466.6563103961293</v>
      </c>
      <c r="AF93" s="245">
        <f t="shared" si="54"/>
        <v>6.5920133021163689</v>
      </c>
      <c r="AG93" s="245">
        <f t="shared" si="55"/>
        <v>8.6108769117592789</v>
      </c>
      <c r="AH93" s="245">
        <f t="shared" si="44"/>
        <v>481.85920061000496</v>
      </c>
      <c r="AI93" s="247">
        <f t="shared" si="45"/>
        <v>35.747393564799609</v>
      </c>
      <c r="AK93" s="259"/>
      <c r="AL93" s="59"/>
    </row>
    <row r="94" spans="1:38">
      <c r="A94" s="122"/>
      <c r="B94" s="241">
        <v>90</v>
      </c>
      <c r="C94" s="248">
        <f>'Other parameters'!$D$33</f>
        <v>0.15309420000000001</v>
      </c>
      <c r="D94" s="242">
        <f>'Other parameters'!$G$33</f>
        <v>3.3</v>
      </c>
      <c r="E94" s="234">
        <v>0</v>
      </c>
      <c r="F94" s="248">
        <f t="shared" si="57"/>
        <v>1.4462412699181034E-4</v>
      </c>
      <c r="G94" s="248">
        <f t="shared" si="35"/>
        <v>0.76</v>
      </c>
      <c r="H94" s="249">
        <f t="shared" si="36"/>
        <v>7.2025619310640235E-2</v>
      </c>
      <c r="I94" s="122"/>
      <c r="J94" s="244">
        <v>0</v>
      </c>
      <c r="K94" s="245">
        <v>0</v>
      </c>
      <c r="L94" s="245">
        <v>0</v>
      </c>
      <c r="M94" s="245">
        <v>0</v>
      </c>
      <c r="N94" s="245">
        <f t="shared" si="37"/>
        <v>0.75310293102860737</v>
      </c>
      <c r="O94" s="245">
        <f t="shared" si="38"/>
        <v>6.8592005360965814E-3</v>
      </c>
      <c r="P94" s="245">
        <f t="shared" si="39"/>
        <v>1.3896489854238869E-2</v>
      </c>
      <c r="Q94" s="245">
        <f t="shared" si="40"/>
        <v>0.22614137858105779</v>
      </c>
      <c r="R94" s="243">
        <f t="shared" si="56"/>
        <v>1.0000000000000007</v>
      </c>
      <c r="S94" s="250"/>
      <c r="T94" s="244">
        <f t="shared" si="41"/>
        <v>0.15628541687243361</v>
      </c>
      <c r="U94" s="246">
        <f t="shared" si="46"/>
        <v>0.51574187567903085</v>
      </c>
      <c r="V94" s="246">
        <f t="shared" si="47"/>
        <v>0</v>
      </c>
      <c r="W94" s="246">
        <f t="shared" si="48"/>
        <v>3.0877220172172905E-2</v>
      </c>
      <c r="X94" s="246">
        <f t="shared" si="49"/>
        <v>1.227796895961288E-3</v>
      </c>
      <c r="Y94" s="246">
        <f t="shared" si="50"/>
        <v>9.7275428979672084E-4</v>
      </c>
      <c r="Z94" s="246">
        <f t="shared" si="42"/>
        <v>0.54881964703696173</v>
      </c>
      <c r="AA94" s="247">
        <f t="shared" si="43"/>
        <v>3.9529074967684145E-2</v>
      </c>
      <c r="AB94" s="122"/>
      <c r="AC94" s="244">
        <f t="shared" si="51"/>
        <v>0</v>
      </c>
      <c r="AD94" s="245">
        <f t="shared" si="52"/>
        <v>0</v>
      </c>
      <c r="AE94" s="245">
        <f t="shared" si="53"/>
        <v>464.73981873775364</v>
      </c>
      <c r="AF94" s="245">
        <f t="shared" si="54"/>
        <v>6.5649408330980386</v>
      </c>
      <c r="AG94" s="245">
        <f t="shared" si="55"/>
        <v>8.5755238890508068</v>
      </c>
      <c r="AH94" s="245">
        <f t="shared" si="44"/>
        <v>479.8802834599025</v>
      </c>
      <c r="AI94" s="247">
        <f t="shared" si="45"/>
        <v>34.563674611165062</v>
      </c>
      <c r="AK94" s="259"/>
      <c r="AL94" s="59"/>
    </row>
    <row r="95" spans="1:38">
      <c r="A95" s="122"/>
      <c r="B95" s="241">
        <v>91</v>
      </c>
      <c r="C95" s="248">
        <f>'Other parameters'!$D$33</f>
        <v>0.15309420000000001</v>
      </c>
      <c r="D95" s="242">
        <f>'Other parameters'!$G$33</f>
        <v>3.3</v>
      </c>
      <c r="E95" s="234">
        <v>0</v>
      </c>
      <c r="F95" s="248">
        <f t="shared" si="57"/>
        <v>1.3086132165297443E-4</v>
      </c>
      <c r="G95" s="248">
        <f t="shared" si="35"/>
        <v>0.76</v>
      </c>
      <c r="H95" s="249">
        <f t="shared" si="36"/>
        <v>6.9927785738485654E-2</v>
      </c>
      <c r="I95" s="122"/>
      <c r="J95" s="244">
        <v>0</v>
      </c>
      <c r="K95" s="245">
        <v>0</v>
      </c>
      <c r="L95" s="245">
        <v>0</v>
      </c>
      <c r="M95" s="245">
        <v>0</v>
      </c>
      <c r="N95" s="245">
        <f t="shared" si="37"/>
        <v>0.75001004349433309</v>
      </c>
      <c r="O95" s="245">
        <f t="shared" si="38"/>
        <v>6.8310307667873525E-3</v>
      </c>
      <c r="P95" s="245">
        <f t="shared" si="39"/>
        <v>1.3839433285152429E-2</v>
      </c>
      <c r="Q95" s="245">
        <f t="shared" si="40"/>
        <v>0.22931949245372776</v>
      </c>
      <c r="R95" s="243">
        <f t="shared" si="56"/>
        <v>1.0000000000000007</v>
      </c>
      <c r="S95" s="250"/>
      <c r="T95" s="244">
        <f t="shared" si="41"/>
        <v>0.15627231387266999</v>
      </c>
      <c r="U95" s="246">
        <f t="shared" si="46"/>
        <v>0.5156986357798109</v>
      </c>
      <c r="V95" s="246">
        <f t="shared" si="47"/>
        <v>0</v>
      </c>
      <c r="W95" s="246">
        <f t="shared" si="48"/>
        <v>3.0750411783267657E-2</v>
      </c>
      <c r="X95" s="246">
        <f t="shared" si="49"/>
        <v>1.2227545072549361E-3</v>
      </c>
      <c r="Y95" s="246">
        <f t="shared" si="50"/>
        <v>9.6876032996067016E-4</v>
      </c>
      <c r="Z95" s="246">
        <f t="shared" si="42"/>
        <v>0.54864056240029413</v>
      </c>
      <c r="AA95" s="247">
        <f t="shared" si="43"/>
        <v>3.8365219694970039E-2</v>
      </c>
      <c r="AB95" s="122"/>
      <c r="AC95" s="244">
        <f t="shared" si="51"/>
        <v>0</v>
      </c>
      <c r="AD95" s="245">
        <f t="shared" si="52"/>
        <v>0</v>
      </c>
      <c r="AE95" s="245">
        <f t="shared" si="53"/>
        <v>462.83119784035296</v>
      </c>
      <c r="AF95" s="245">
        <f t="shared" si="54"/>
        <v>6.5379795468921751</v>
      </c>
      <c r="AG95" s="245">
        <f t="shared" si="55"/>
        <v>8.5403142802675642</v>
      </c>
      <c r="AH95" s="245">
        <f t="shared" si="44"/>
        <v>477.90949166751273</v>
      </c>
      <c r="AI95" s="247">
        <f t="shared" si="45"/>
        <v>33.419152535714424</v>
      </c>
      <c r="AK95" s="259"/>
      <c r="AL95" s="59"/>
    </row>
    <row r="96" spans="1:38">
      <c r="A96" s="122"/>
      <c r="B96" s="241">
        <v>92</v>
      </c>
      <c r="C96" s="248">
        <f>'Other parameters'!$D$33</f>
        <v>0.15309420000000001</v>
      </c>
      <c r="D96" s="242">
        <f>'Other parameters'!$G$33</f>
        <v>3.3</v>
      </c>
      <c r="E96" s="234">
        <v>0</v>
      </c>
      <c r="F96" s="248">
        <f t="shared" si="57"/>
        <v>1.1840822040525054E-4</v>
      </c>
      <c r="G96" s="248">
        <f t="shared" si="35"/>
        <v>0.76</v>
      </c>
      <c r="H96" s="249">
        <f t="shared" si="36"/>
        <v>6.7891054115034627E-2</v>
      </c>
      <c r="I96" s="122"/>
      <c r="J96" s="244">
        <v>0</v>
      </c>
      <c r="K96" s="245">
        <v>0</v>
      </c>
      <c r="L96" s="245">
        <v>0</v>
      </c>
      <c r="M96" s="245">
        <v>0</v>
      </c>
      <c r="N96" s="245">
        <f t="shared" si="37"/>
        <v>0.74692985801299938</v>
      </c>
      <c r="O96" s="245">
        <f t="shared" si="38"/>
        <v>6.8029766867481424E-3</v>
      </c>
      <c r="P96" s="245">
        <f t="shared" si="39"/>
        <v>1.3782608642056429E-2</v>
      </c>
      <c r="Q96" s="245">
        <f t="shared" si="40"/>
        <v>0.23248455665819664</v>
      </c>
      <c r="R96" s="243">
        <f t="shared" si="56"/>
        <v>1.0000000000000004</v>
      </c>
      <c r="S96" s="250"/>
      <c r="T96" s="244">
        <f t="shared" si="41"/>
        <v>0.1562592642044689</v>
      </c>
      <c r="U96" s="246">
        <f t="shared" si="46"/>
        <v>0.51565557187474731</v>
      </c>
      <c r="V96" s="246">
        <f t="shared" si="47"/>
        <v>0</v>
      </c>
      <c r="W96" s="246">
        <f t="shared" si="48"/>
        <v>3.0624124178532976E-2</v>
      </c>
      <c r="X96" s="246">
        <f t="shared" si="49"/>
        <v>1.2177328269279174E-3</v>
      </c>
      <c r="Y96" s="246">
        <f t="shared" si="50"/>
        <v>9.6478260494395015E-4</v>
      </c>
      <c r="Z96" s="246">
        <f t="shared" si="42"/>
        <v>0.54846221148515217</v>
      </c>
      <c r="AA96" s="247">
        <f t="shared" si="43"/>
        <v>3.7235677679990031E-2</v>
      </c>
      <c r="AB96" s="122"/>
      <c r="AC96" s="244">
        <f t="shared" si="51"/>
        <v>0</v>
      </c>
      <c r="AD96" s="245">
        <f t="shared" si="52"/>
        <v>0</v>
      </c>
      <c r="AE96" s="245">
        <f t="shared" si="53"/>
        <v>460.93041537982191</v>
      </c>
      <c r="AF96" s="245">
        <f t="shared" si="54"/>
        <v>6.5111289868866473</v>
      </c>
      <c r="AG96" s="245">
        <f t="shared" si="55"/>
        <v>8.505247793013023</v>
      </c>
      <c r="AH96" s="245">
        <f t="shared" si="44"/>
        <v>475.94679215972161</v>
      </c>
      <c r="AI96" s="247">
        <f t="shared" si="45"/>
        <v>32.312529422392799</v>
      </c>
      <c r="AK96" s="259"/>
      <c r="AL96" s="59"/>
    </row>
    <row r="97" spans="1:38">
      <c r="A97" s="122"/>
      <c r="B97" s="241">
        <v>93</v>
      </c>
      <c r="C97" s="248">
        <f>'Other parameters'!$D$33</f>
        <v>0.15309420000000001</v>
      </c>
      <c r="D97" s="242">
        <f>'Other parameters'!$G$33</f>
        <v>3.3</v>
      </c>
      <c r="E97" s="234">
        <v>0</v>
      </c>
      <c r="F97" s="248">
        <f t="shared" si="57"/>
        <v>1.0714018842571976E-4</v>
      </c>
      <c r="G97" s="248">
        <f t="shared" si="35"/>
        <v>0.76</v>
      </c>
      <c r="H97" s="249">
        <f t="shared" si="36"/>
        <v>6.5913644771878277E-2</v>
      </c>
      <c r="I97" s="122"/>
      <c r="J97" s="244">
        <v>0</v>
      </c>
      <c r="K97" s="245">
        <v>0</v>
      </c>
      <c r="L97" s="245">
        <v>0</v>
      </c>
      <c r="M97" s="245">
        <v>0</v>
      </c>
      <c r="N97" s="245">
        <f t="shared" si="37"/>
        <v>0.74386232241906625</v>
      </c>
      <c r="O97" s="245">
        <f t="shared" si="38"/>
        <v>6.7750378208594328E-3</v>
      </c>
      <c r="P97" s="245">
        <f t="shared" si="39"/>
        <v>1.3726015372811399E-2</v>
      </c>
      <c r="Q97" s="245">
        <f t="shared" si="40"/>
        <v>0.2356366243872636</v>
      </c>
      <c r="R97" s="243">
        <f t="shared" si="56"/>
        <v>1.0000000000000007</v>
      </c>
      <c r="S97" s="250"/>
      <c r="T97" s="244">
        <f t="shared" si="41"/>
        <v>0.15624626772906697</v>
      </c>
      <c r="U97" s="246">
        <f t="shared" si="46"/>
        <v>0.51561268350592093</v>
      </c>
      <c r="V97" s="246">
        <f t="shared" si="47"/>
        <v>0</v>
      </c>
      <c r="W97" s="246">
        <f t="shared" si="48"/>
        <v>3.0498355219181716E-2</v>
      </c>
      <c r="X97" s="246">
        <f t="shared" si="49"/>
        <v>1.2127317699338384E-3</v>
      </c>
      <c r="Y97" s="246">
        <f t="shared" si="50"/>
        <v>9.6082107609679807E-4</v>
      </c>
      <c r="Z97" s="246">
        <f t="shared" si="42"/>
        <v>0.54828459157113341</v>
      </c>
      <c r="AA97" s="247">
        <f t="shared" si="43"/>
        <v>3.6139435802714052E-2</v>
      </c>
      <c r="AB97" s="122"/>
      <c r="AC97" s="244">
        <f t="shared" si="51"/>
        <v>0</v>
      </c>
      <c r="AD97" s="245">
        <f t="shared" si="52"/>
        <v>0</v>
      </c>
      <c r="AE97" s="245">
        <f t="shared" si="53"/>
        <v>459.03743916480579</v>
      </c>
      <c r="AF97" s="245">
        <f t="shared" si="54"/>
        <v>6.4843886983445636</v>
      </c>
      <c r="AG97" s="245">
        <f t="shared" si="55"/>
        <v>8.4703240865619147</v>
      </c>
      <c r="AH97" s="245">
        <f t="shared" si="44"/>
        <v>473.99215194971225</v>
      </c>
      <c r="AI97" s="247">
        <f t="shared" si="45"/>
        <v>31.242550328271484</v>
      </c>
      <c r="AK97" s="259"/>
      <c r="AL97" s="59"/>
    </row>
    <row r="98" spans="1:38">
      <c r="A98" s="122"/>
      <c r="B98" s="241">
        <v>94</v>
      </c>
      <c r="C98" s="248">
        <f>'Other parameters'!$D$33</f>
        <v>0.15309420000000001</v>
      </c>
      <c r="D98" s="242">
        <f>'Other parameters'!$G$33</f>
        <v>3.3</v>
      </c>
      <c r="E98" s="234">
        <v>0</v>
      </c>
      <c r="F98" s="248">
        <f t="shared" si="57"/>
        <v>9.69444514630145E-5</v>
      </c>
      <c r="G98" s="248">
        <f t="shared" si="35"/>
        <v>0.76</v>
      </c>
      <c r="H98" s="249">
        <f t="shared" si="36"/>
        <v>6.3993829875609989E-2</v>
      </c>
      <c r="I98" s="122"/>
      <c r="J98" s="244">
        <v>0</v>
      </c>
      <c r="K98" s="245">
        <v>0</v>
      </c>
      <c r="L98" s="245">
        <v>0</v>
      </c>
      <c r="M98" s="245">
        <v>0</v>
      </c>
      <c r="N98" s="245">
        <f t="shared" si="37"/>
        <v>0.74080738476122987</v>
      </c>
      <c r="O98" s="245">
        <f t="shared" si="38"/>
        <v>6.7472136959529569E-3</v>
      </c>
      <c r="P98" s="245">
        <f t="shared" si="39"/>
        <v>1.3669652860687335E-2</v>
      </c>
      <c r="Q98" s="245">
        <f t="shared" si="40"/>
        <v>0.23877574868213053</v>
      </c>
      <c r="R98" s="243">
        <f t="shared" si="56"/>
        <v>1.0000000000000007</v>
      </c>
      <c r="S98" s="250"/>
      <c r="T98" s="244">
        <f t="shared" si="41"/>
        <v>0.15623332429486694</v>
      </c>
      <c r="U98" s="246">
        <f t="shared" si="46"/>
        <v>0.51556997017306083</v>
      </c>
      <c r="V98" s="246">
        <f t="shared" si="47"/>
        <v>0</v>
      </c>
      <c r="W98" s="246">
        <f t="shared" si="48"/>
        <v>3.0373102775210426E-2</v>
      </c>
      <c r="X98" s="246">
        <f t="shared" si="49"/>
        <v>1.2077512515755791E-3</v>
      </c>
      <c r="Y98" s="246">
        <f t="shared" si="50"/>
        <v>9.5687570024811355E-4</v>
      </c>
      <c r="Z98" s="246">
        <f t="shared" si="42"/>
        <v>0.548107699900095</v>
      </c>
      <c r="AA98" s="247">
        <f t="shared" si="43"/>
        <v>3.5075510900918573E-2</v>
      </c>
      <c r="AB98" s="122"/>
      <c r="AC98" s="244">
        <f t="shared" si="51"/>
        <v>0</v>
      </c>
      <c r="AD98" s="245">
        <f t="shared" si="52"/>
        <v>0</v>
      </c>
      <c r="AE98" s="245">
        <f t="shared" si="53"/>
        <v>457.15223713615495</v>
      </c>
      <c r="AF98" s="245">
        <f t="shared" si="54"/>
        <v>6.4577582283965755</v>
      </c>
      <c r="AG98" s="245">
        <f t="shared" si="55"/>
        <v>8.4355427803301541</v>
      </c>
      <c r="AH98" s="245">
        <f t="shared" si="44"/>
        <v>472.04553814488168</v>
      </c>
      <c r="AI98" s="247">
        <f t="shared" si="45"/>
        <v>30.208001861584325</v>
      </c>
      <c r="AK98" s="259"/>
      <c r="AL98" s="59"/>
    </row>
    <row r="99" spans="1:38">
      <c r="A99" s="122"/>
      <c r="B99" s="241">
        <v>95</v>
      </c>
      <c r="C99" s="248">
        <f>'Other parameters'!$D$34</f>
        <v>0.17422679999999999</v>
      </c>
      <c r="D99" s="242">
        <f>'Other parameters'!$G$34</f>
        <v>2.5</v>
      </c>
      <c r="E99" s="234">
        <v>0</v>
      </c>
      <c r="F99" s="248">
        <f t="shared" si="57"/>
        <v>8.7718967154706395E-5</v>
      </c>
      <c r="G99" s="248">
        <f t="shared" si="35"/>
        <v>0.76</v>
      </c>
      <c r="H99" s="249">
        <f t="shared" si="36"/>
        <v>6.212993191806794E-2</v>
      </c>
      <c r="I99" s="122"/>
      <c r="J99" s="244">
        <v>0</v>
      </c>
      <c r="K99" s="245">
        <v>0</v>
      </c>
      <c r="L99" s="245">
        <v>0</v>
      </c>
      <c r="M99" s="245">
        <v>0</v>
      </c>
      <c r="N99" s="245">
        <f t="shared" si="37"/>
        <v>0.73776499330154333</v>
      </c>
      <c r="O99" s="245">
        <f t="shared" si="38"/>
        <v>6.7195038408036818E-3</v>
      </c>
      <c r="P99" s="245">
        <f t="shared" si="39"/>
        <v>1.3613520435794262E-2</v>
      </c>
      <c r="Q99" s="245">
        <f t="shared" si="40"/>
        <v>0.24190198242185942</v>
      </c>
      <c r="R99" s="243">
        <f t="shared" si="56"/>
        <v>1.0000000000000007</v>
      </c>
      <c r="S99" s="250"/>
      <c r="T99" s="244">
        <f t="shared" si="41"/>
        <v>0.17735303373972888</v>
      </c>
      <c r="U99" s="246">
        <f t="shared" si="46"/>
        <v>0.44338258434932221</v>
      </c>
      <c r="V99" s="246">
        <f t="shared" si="47"/>
        <v>0</v>
      </c>
      <c r="W99" s="246">
        <f t="shared" si="48"/>
        <v>3.0248364725363276E-2</v>
      </c>
      <c r="X99" s="246">
        <f t="shared" si="49"/>
        <v>1.2027911875038589E-3</v>
      </c>
      <c r="Y99" s="246">
        <f t="shared" si="50"/>
        <v>9.5294643050559849E-4</v>
      </c>
      <c r="Z99" s="246">
        <f t="shared" si="42"/>
        <v>0.47578668669269497</v>
      </c>
      <c r="AA99" s="247">
        <f t="shared" si="43"/>
        <v>2.9560594451740259E-2</v>
      </c>
      <c r="AB99" s="122"/>
      <c r="AC99" s="244">
        <f t="shared" si="51"/>
        <v>0</v>
      </c>
      <c r="AD99" s="245">
        <f t="shared" si="52"/>
        <v>0</v>
      </c>
      <c r="AE99" s="245">
        <f t="shared" si="53"/>
        <v>455.27477736638241</v>
      </c>
      <c r="AF99" s="245">
        <f t="shared" si="54"/>
        <v>6.4312371260332037</v>
      </c>
      <c r="AG99" s="245">
        <f t="shared" si="55"/>
        <v>8.4009034609286388</v>
      </c>
      <c r="AH99" s="245">
        <f t="shared" si="44"/>
        <v>470.10691795334424</v>
      </c>
      <c r="AI99" s="247">
        <f t="shared" si="45"/>
        <v>29.207710806654028</v>
      </c>
      <c r="AK99" s="259"/>
      <c r="AL99" s="59"/>
    </row>
    <row r="100" spans="1:38">
      <c r="A100" s="122"/>
      <c r="B100" s="241">
        <v>96</v>
      </c>
      <c r="C100" s="248">
        <f>'Other parameters'!$D$34</f>
        <v>0.17422679999999999</v>
      </c>
      <c r="D100" s="242">
        <f>'Other parameters'!$G$34</f>
        <v>2.5</v>
      </c>
      <c r="E100" s="234">
        <v>0</v>
      </c>
      <c r="F100" s="248">
        <f t="shared" si="57"/>
        <v>7.9371403753045696E-5</v>
      </c>
      <c r="G100" s="248">
        <f t="shared" si="35"/>
        <v>0.76</v>
      </c>
      <c r="H100" s="249">
        <f t="shared" si="36"/>
        <v>6.0320322250551395E-2</v>
      </c>
      <c r="I100" s="122"/>
      <c r="J100" s="244">
        <v>0</v>
      </c>
      <c r="K100" s="245">
        <v>0</v>
      </c>
      <c r="L100" s="245">
        <v>0</v>
      </c>
      <c r="M100" s="245">
        <v>0</v>
      </c>
      <c r="N100" s="245">
        <f t="shared" si="37"/>
        <v>0.73473509651454005</v>
      </c>
      <c r="O100" s="245">
        <f t="shared" si="38"/>
        <v>6.6919077861218278E-3</v>
      </c>
      <c r="P100" s="245">
        <f t="shared" si="39"/>
        <v>1.3557617384601255E-2</v>
      </c>
      <c r="Q100" s="245">
        <f t="shared" si="40"/>
        <v>0.24501537831473752</v>
      </c>
      <c r="R100" s="243">
        <f t="shared" si="56"/>
        <v>1.0000000000000007</v>
      </c>
      <c r="S100" s="250"/>
      <c r="T100" s="244">
        <f t="shared" si="41"/>
        <v>0.17734019589287808</v>
      </c>
      <c r="U100" s="246">
        <f t="shared" si="46"/>
        <v>0.44335048973219521</v>
      </c>
      <c r="V100" s="246">
        <f t="shared" si="47"/>
        <v>0</v>
      </c>
      <c r="W100" s="246">
        <f t="shared" si="48"/>
        <v>3.0124138957096144E-2</v>
      </c>
      <c r="X100" s="246">
        <f t="shared" si="49"/>
        <v>1.1978514937158072E-3</v>
      </c>
      <c r="Y100" s="246">
        <f t="shared" si="50"/>
        <v>9.4903321692208788E-4</v>
      </c>
      <c r="Z100" s="246">
        <f t="shared" si="42"/>
        <v>0.47562151339992925</v>
      </c>
      <c r="AA100" s="247">
        <f t="shared" si="43"/>
        <v>2.8689642957578681E-2</v>
      </c>
      <c r="AB100" s="122"/>
      <c r="AC100" s="244">
        <f t="shared" si="51"/>
        <v>0</v>
      </c>
      <c r="AD100" s="245">
        <f t="shared" si="52"/>
        <v>0</v>
      </c>
      <c r="AE100" s="245">
        <f t="shared" si="53"/>
        <v>453.40502805912269</v>
      </c>
      <c r="AF100" s="245">
        <f t="shared" si="54"/>
        <v>6.4048249420972017</v>
      </c>
      <c r="AG100" s="245">
        <f t="shared" si="55"/>
        <v>8.3664056880374353</v>
      </c>
      <c r="AH100" s="245">
        <f t="shared" si="44"/>
        <v>468.17625868925734</v>
      </c>
      <c r="AI100" s="247">
        <f t="shared" si="45"/>
        <v>28.240542794193516</v>
      </c>
      <c r="AK100" s="259"/>
      <c r="AL100" s="59"/>
    </row>
    <row r="101" spans="1:38">
      <c r="A101" s="122"/>
      <c r="B101" s="241">
        <v>97</v>
      </c>
      <c r="C101" s="248">
        <f>'Other parameters'!$D$34</f>
        <v>0.17422679999999999</v>
      </c>
      <c r="D101" s="242">
        <f>'Other parameters'!$G$34</f>
        <v>2.5</v>
      </c>
      <c r="E101" s="234">
        <v>0</v>
      </c>
      <c r="F101" s="248">
        <f t="shared" si="57"/>
        <v>7.1818216037795505E-5</v>
      </c>
      <c r="G101" s="248">
        <f t="shared" si="35"/>
        <v>0.76</v>
      </c>
      <c r="H101" s="249">
        <f t="shared" si="36"/>
        <v>5.8563419660729518E-2</v>
      </c>
      <c r="I101" s="122"/>
      <c r="J101" s="244">
        <v>0</v>
      </c>
      <c r="K101" s="245">
        <v>0</v>
      </c>
      <c r="L101" s="245">
        <v>0</v>
      </c>
      <c r="M101" s="245">
        <v>0</v>
      </c>
      <c r="N101" s="245">
        <f t="shared" si="37"/>
        <v>0.73171764308636145</v>
      </c>
      <c r="O101" s="245">
        <f t="shared" si="38"/>
        <v>6.664425064544924E-3</v>
      </c>
      <c r="P101" s="245">
        <f t="shared" si="39"/>
        <v>1.3501942957863144E-2</v>
      </c>
      <c r="Q101" s="245">
        <f t="shared" si="40"/>
        <v>0.24811598889123115</v>
      </c>
      <c r="R101" s="243">
        <f t="shared" si="56"/>
        <v>1.0000000000000007</v>
      </c>
      <c r="S101" s="250"/>
      <c r="T101" s="244">
        <f t="shared" si="41"/>
        <v>0.17732741057649362</v>
      </c>
      <c r="U101" s="246">
        <f t="shared" si="46"/>
        <v>0.44331852644123404</v>
      </c>
      <c r="V101" s="246">
        <f t="shared" si="47"/>
        <v>0</v>
      </c>
      <c r="W101" s="246">
        <f t="shared" si="48"/>
        <v>3.000042336654082E-2</v>
      </c>
      <c r="X101" s="246">
        <f t="shared" si="49"/>
        <v>1.1929320865535413E-3</v>
      </c>
      <c r="Y101" s="246">
        <f t="shared" si="50"/>
        <v>9.4513600705042021E-4</v>
      </c>
      <c r="Z101" s="246">
        <f t="shared" si="42"/>
        <v>0.47545701790137879</v>
      </c>
      <c r="AA101" s="247">
        <f>Z101*H101</f>
        <v>2.7844388869997433E-2</v>
      </c>
      <c r="AB101" s="122"/>
      <c r="AC101" s="244">
        <f t="shared" si="51"/>
        <v>0</v>
      </c>
      <c r="AD101" s="245">
        <f t="shared" si="52"/>
        <v>0</v>
      </c>
      <c r="AE101" s="245">
        <f t="shared" si="53"/>
        <v>451.54295754859368</v>
      </c>
      <c r="AF101" s="245">
        <f t="shared" si="54"/>
        <v>6.3785212292759468</v>
      </c>
      <c r="AG101" s="245">
        <f t="shared" si="55"/>
        <v>8.3320489992973457</v>
      </c>
      <c r="AH101" s="245">
        <f t="shared" si="44"/>
        <v>466.25352777716699</v>
      </c>
      <c r="AI101" s="247">
        <f>AH101*H101</f>
        <v>27.305401015509837</v>
      </c>
      <c r="AK101" s="259"/>
      <c r="AL101" s="59"/>
    </row>
    <row r="102" spans="1:38">
      <c r="A102" s="122"/>
      <c r="B102" s="241">
        <v>98</v>
      </c>
      <c r="C102" s="248">
        <f>'Other parameters'!$D$34</f>
        <v>0.17422679999999999</v>
      </c>
      <c r="D102" s="242">
        <f>'Other parameters'!$G$34</f>
        <v>2.5</v>
      </c>
      <c r="E102" s="234">
        <v>0</v>
      </c>
      <c r="F102" s="248">
        <f t="shared" si="57"/>
        <v>6.4983809167587655E-5</v>
      </c>
      <c r="G102" s="248">
        <f t="shared" si="35"/>
        <v>0.76</v>
      </c>
      <c r="H102" s="249">
        <f t="shared" si="36"/>
        <v>5.6857688990999529E-2</v>
      </c>
      <c r="I102" s="122"/>
      <c r="J102" s="244">
        <v>0</v>
      </c>
      <c r="K102" s="245">
        <v>0</v>
      </c>
      <c r="L102" s="245">
        <v>0</v>
      </c>
      <c r="M102" s="245">
        <v>0</v>
      </c>
      <c r="N102" s="245">
        <f t="shared" si="37"/>
        <v>0.72871258191388755</v>
      </c>
      <c r="O102" s="245">
        <f t="shared" si="38"/>
        <v>6.6370552106298905E-3</v>
      </c>
      <c r="P102" s="245">
        <f t="shared" si="39"/>
        <v>1.3446496377220838E-2</v>
      </c>
      <c r="Q102" s="245">
        <f t="shared" si="40"/>
        <v>0.25120386649826243</v>
      </c>
      <c r="R102" s="243">
        <f t="shared" si="56"/>
        <v>1.0000000000000007</v>
      </c>
      <c r="S102" s="250"/>
      <c r="T102" s="244">
        <f t="shared" si="41"/>
        <v>0.17731467760703123</v>
      </c>
      <c r="U102" s="246">
        <f t="shared" si="46"/>
        <v>0.44328669401757809</v>
      </c>
      <c r="V102" s="246">
        <f t="shared" si="47"/>
        <v>0</v>
      </c>
      <c r="W102" s="246">
        <f t="shared" si="48"/>
        <v>2.9877215858469391E-2</v>
      </c>
      <c r="X102" s="246">
        <f t="shared" si="49"/>
        <v>1.1880328827027504E-3</v>
      </c>
      <c r="Y102" s="246">
        <f t="shared" si="50"/>
        <v>9.412547464054588E-4</v>
      </c>
      <c r="Z102" s="246">
        <f t="shared" si="42"/>
        <v>0.4752931975051557</v>
      </c>
      <c r="AA102" s="247">
        <f>Z102*H102</f>
        <v>2.7024072803285854E-2</v>
      </c>
      <c r="AB102" s="122"/>
      <c r="AC102" s="244">
        <f t="shared" si="51"/>
        <v>0</v>
      </c>
      <c r="AD102" s="245">
        <f t="shared" si="52"/>
        <v>0</v>
      </c>
      <c r="AE102" s="245">
        <f t="shared" si="53"/>
        <v>449.68853429906</v>
      </c>
      <c r="AF102" s="245">
        <f t="shared" si="54"/>
        <v>6.352325542093868</v>
      </c>
      <c r="AG102" s="245">
        <f t="shared" si="55"/>
        <v>8.2978329143829797</v>
      </c>
      <c r="AH102" s="245">
        <f t="shared" si="44"/>
        <v>464.33869275553684</v>
      </c>
      <c r="AI102" s="247">
        <f>AH102*H102</f>
        <v>26.401224979181599</v>
      </c>
      <c r="AK102" s="259"/>
      <c r="AL102" s="59"/>
    </row>
    <row r="103" spans="1:38">
      <c r="A103" s="122"/>
      <c r="B103" s="241">
        <v>99</v>
      </c>
      <c r="C103" s="248">
        <f>'Other parameters'!$D$34</f>
        <v>0.17422679999999999</v>
      </c>
      <c r="D103" s="242">
        <f>'Other parameters'!$G$34</f>
        <v>2.5</v>
      </c>
      <c r="E103" s="234">
        <v>0</v>
      </c>
      <c r="F103" s="248">
        <f t="shared" si="57"/>
        <v>5.8799782101341559E-5</v>
      </c>
      <c r="G103" s="248">
        <f t="shared" si="35"/>
        <v>0.76</v>
      </c>
      <c r="H103" s="249">
        <f t="shared" si="36"/>
        <v>5.5201639797086935E-2</v>
      </c>
      <c r="I103" s="122"/>
      <c r="J103" s="244">
        <v>0</v>
      </c>
      <c r="K103" s="245">
        <v>0</v>
      </c>
      <c r="L103" s="245">
        <v>0</v>
      </c>
      <c r="M103" s="245">
        <v>0</v>
      </c>
      <c r="N103" s="245">
        <f t="shared" si="37"/>
        <v>0.72571986210387174</v>
      </c>
      <c r="O103" s="245">
        <f t="shared" si="38"/>
        <v>6.6097977608451583E-3</v>
      </c>
      <c r="P103" s="245">
        <f t="shared" si="39"/>
        <v>1.3391276840696785E-2</v>
      </c>
      <c r="Q103" s="245">
        <f t="shared" si="40"/>
        <v>0.25427906329458705</v>
      </c>
      <c r="R103" s="243">
        <f t="shared" si="56"/>
        <v>1.0000000000000007</v>
      </c>
      <c r="S103" s="250"/>
      <c r="T103" s="244">
        <f t="shared" si="41"/>
        <v>0.17730199679632461</v>
      </c>
      <c r="U103" s="246">
        <f t="shared" si="46"/>
        <v>0.44325499199081153</v>
      </c>
      <c r="V103" s="246">
        <f t="shared" si="47"/>
        <v>0</v>
      </c>
      <c r="W103" s="246">
        <f t="shared" si="48"/>
        <v>2.9754514346258743E-2</v>
      </c>
      <c r="X103" s="246">
        <f t="shared" si="49"/>
        <v>1.1831537991912832E-3</v>
      </c>
      <c r="Y103" s="246">
        <f t="shared" si="50"/>
        <v>9.3738937884877511E-4</v>
      </c>
      <c r="Z103" s="246">
        <f t="shared" si="42"/>
        <v>0.47513004951511034</v>
      </c>
      <c r="AA103" s="247">
        <f>Z103*H103</f>
        <v>2.6227957850105201E-2</v>
      </c>
      <c r="AB103" s="122"/>
      <c r="AC103" s="244">
        <f t="shared" si="51"/>
        <v>0</v>
      </c>
      <c r="AD103" s="245">
        <f t="shared" si="52"/>
        <v>0</v>
      </c>
      <c r="AE103" s="245">
        <f t="shared" si="53"/>
        <v>447.84172690429926</v>
      </c>
      <c r="AF103" s="245">
        <f t="shared" si="54"/>
        <v>6.3262374369049015</v>
      </c>
      <c r="AG103" s="245">
        <f t="shared" si="55"/>
        <v>8.2637569383939873</v>
      </c>
      <c r="AH103" s="245">
        <f t="shared" si="44"/>
        <v>462.43172127959815</v>
      </c>
      <c r="AI103" s="247">
        <f>AH103*H103</f>
        <v>25.526989308823278</v>
      </c>
      <c r="AK103" s="259"/>
      <c r="AL103" s="59"/>
    </row>
    <row r="104" spans="1:38">
      <c r="A104" s="122"/>
      <c r="B104" s="235">
        <v>100</v>
      </c>
      <c r="C104" s="251">
        <f>'Other parameters'!$D$35</f>
        <v>1</v>
      </c>
      <c r="D104" s="252">
        <f>'Other parameters'!$G$35</f>
        <v>1.9</v>
      </c>
      <c r="E104" s="236">
        <v>0</v>
      </c>
      <c r="F104" s="251">
        <f t="shared" si="57"/>
        <v>5.320424301765489E-5</v>
      </c>
      <c r="G104" s="251">
        <f t="shared" si="35"/>
        <v>0.76</v>
      </c>
      <c r="H104" s="253">
        <f t="shared" si="36"/>
        <v>5.3593825045715457E-2</v>
      </c>
      <c r="I104" s="122"/>
      <c r="J104" s="254">
        <v>0</v>
      </c>
      <c r="K104" s="255">
        <v>0</v>
      </c>
      <c r="L104" s="255">
        <v>0</v>
      </c>
      <c r="M104" s="255">
        <v>0</v>
      </c>
      <c r="N104" s="255">
        <f t="shared" si="37"/>
        <v>0.72273943297207877</v>
      </c>
      <c r="O104" s="255">
        <f t="shared" si="38"/>
        <v>6.5826522535628136E-3</v>
      </c>
      <c r="P104" s="255">
        <f t="shared" si="39"/>
        <v>1.3336283527270079E-2</v>
      </c>
      <c r="Q104" s="255">
        <f t="shared" si="40"/>
        <v>0.25734163124708903</v>
      </c>
      <c r="R104" s="237">
        <f t="shared" si="56"/>
        <v>1.0000000000000007</v>
      </c>
      <c r="S104" s="250"/>
      <c r="T104" s="254">
        <v>1</v>
      </c>
      <c r="U104" s="255">
        <f t="shared" si="46"/>
        <v>1.9</v>
      </c>
      <c r="V104" s="255">
        <f t="shared" si="47"/>
        <v>0</v>
      </c>
      <c r="W104" s="255">
        <f t="shared" si="48"/>
        <v>2.963231675185523E-2</v>
      </c>
      <c r="X104" s="255">
        <f t="shared" si="49"/>
        <v>1.1782947533877436E-3</v>
      </c>
      <c r="Y104" s="255">
        <f t="shared" si="50"/>
        <v>9.3353984690890558E-4</v>
      </c>
      <c r="Z104" s="255">
        <f t="shared" si="42"/>
        <v>1.9317441513521518</v>
      </c>
      <c r="AA104" s="256">
        <f>Z104*H104</f>
        <v>0.1035295580806513</v>
      </c>
      <c r="AB104" s="122"/>
      <c r="AC104" s="254">
        <f t="shared" si="51"/>
        <v>0</v>
      </c>
      <c r="AD104" s="255">
        <f t="shared" si="52"/>
        <v>0</v>
      </c>
      <c r="AE104" s="255">
        <f t="shared" si="53"/>
        <v>446.00250408706984</v>
      </c>
      <c r="AF104" s="255">
        <f t="shared" si="54"/>
        <v>6.3002564718849694</v>
      </c>
      <c r="AG104" s="255">
        <f t="shared" si="55"/>
        <v>8.2298205646783664</v>
      </c>
      <c r="AH104" s="255">
        <f t="shared" si="44"/>
        <v>460.53258112363318</v>
      </c>
      <c r="AI104" s="256">
        <f>AH104*H104</f>
        <v>24.681702580591757</v>
      </c>
      <c r="AK104" s="259"/>
      <c r="AL104" s="59"/>
    </row>
    <row r="105" spans="1:38">
      <c r="A105" s="122"/>
      <c r="B105" s="122"/>
      <c r="C105" s="122"/>
      <c r="D105" s="122"/>
      <c r="E105" s="122"/>
      <c r="F105" s="122"/>
      <c r="G105" s="122"/>
      <c r="H105" s="122"/>
      <c r="I105" s="122"/>
      <c r="J105" s="122"/>
      <c r="K105" s="122"/>
      <c r="L105" s="122"/>
      <c r="M105" s="122"/>
      <c r="N105" s="122"/>
      <c r="O105" s="122"/>
      <c r="P105" s="122"/>
      <c r="Q105" s="122"/>
      <c r="R105" s="122"/>
      <c r="S105" s="122"/>
      <c r="T105" s="122"/>
      <c r="U105" s="122"/>
      <c r="V105" s="122"/>
      <c r="W105" s="122"/>
      <c r="X105" s="122"/>
      <c r="Y105" s="122"/>
      <c r="Z105" s="122"/>
      <c r="AA105" s="122"/>
      <c r="AB105" s="122"/>
      <c r="AC105" s="234"/>
      <c r="AD105" s="234"/>
      <c r="AE105" s="234"/>
      <c r="AF105" s="234"/>
      <c r="AG105" s="234"/>
      <c r="AH105" s="234"/>
      <c r="AI105" s="234"/>
      <c r="AK105" s="59"/>
      <c r="AL105" s="59"/>
    </row>
    <row r="106" spans="1:38">
      <c r="A106" s="122"/>
      <c r="B106" s="122"/>
      <c r="C106" s="122"/>
      <c r="D106" s="122"/>
      <c r="E106" s="122"/>
      <c r="F106" s="122"/>
      <c r="G106" s="122"/>
      <c r="H106" s="122"/>
      <c r="I106" s="122"/>
      <c r="J106" s="122"/>
      <c r="K106" s="122"/>
      <c r="L106" s="122"/>
      <c r="M106" s="122"/>
      <c r="N106" s="122"/>
      <c r="O106" s="122"/>
      <c r="P106" s="122"/>
      <c r="Q106" s="122"/>
      <c r="R106" s="122"/>
      <c r="S106" s="122"/>
      <c r="T106" s="122"/>
      <c r="U106" s="122"/>
      <c r="V106" s="122"/>
      <c r="W106" s="122"/>
      <c r="X106" s="122"/>
      <c r="Y106" s="122"/>
      <c r="Z106" s="238" t="s">
        <v>57</v>
      </c>
      <c r="AA106" s="240" t="s">
        <v>58</v>
      </c>
      <c r="AB106" s="122"/>
      <c r="AC106" s="234"/>
      <c r="AD106" s="234"/>
      <c r="AE106" s="234"/>
      <c r="AF106" s="234"/>
      <c r="AG106" s="234"/>
      <c r="AH106" s="238" t="s">
        <v>61</v>
      </c>
      <c r="AI106" s="240" t="s">
        <v>62</v>
      </c>
      <c r="AK106" s="59"/>
      <c r="AL106" s="59"/>
    </row>
    <row r="107" spans="1:38">
      <c r="A107" s="122"/>
      <c r="B107" s="122"/>
      <c r="C107" s="122"/>
      <c r="D107" s="122"/>
      <c r="E107" s="122"/>
      <c r="F107" s="122"/>
      <c r="G107" s="122"/>
      <c r="H107" s="122"/>
      <c r="I107" s="122"/>
      <c r="J107" s="122"/>
      <c r="K107" s="122"/>
      <c r="L107" s="122"/>
      <c r="M107" s="122"/>
      <c r="N107" s="122"/>
      <c r="O107" s="122"/>
      <c r="P107" s="122"/>
      <c r="Q107" s="122"/>
      <c r="R107" s="122"/>
      <c r="S107" s="122"/>
      <c r="T107" s="122"/>
      <c r="U107" s="122"/>
      <c r="V107" s="122"/>
      <c r="W107" s="122"/>
      <c r="X107" s="122"/>
      <c r="Y107" s="122"/>
      <c r="Z107" s="254">
        <f>SUM(Z12:Z104)</f>
        <v>37.274975771605305</v>
      </c>
      <c r="AA107" s="256">
        <f>SUM(AA12:AA104)</f>
        <v>7.5580356103573783</v>
      </c>
      <c r="AB107" s="122"/>
      <c r="AC107" s="234"/>
      <c r="AD107" s="234"/>
      <c r="AE107" s="234"/>
      <c r="AF107" s="234"/>
      <c r="AG107" s="234"/>
      <c r="AH107" s="257">
        <f>SUM(AH12:AH104)</f>
        <v>51454.134667998944</v>
      </c>
      <c r="AI107" s="258">
        <f>SUM(AI12:AI104)</f>
        <v>15380.459999404387</v>
      </c>
      <c r="AK107" s="259"/>
      <c r="AL107" s="59"/>
    </row>
  </sheetData>
  <mergeCells count="4">
    <mergeCell ref="B2:H2"/>
    <mergeCell ref="J2:R2"/>
    <mergeCell ref="T2:AA2"/>
    <mergeCell ref="AC2:AI2"/>
  </mergeCells>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Introduction</vt:lpstr>
      <vt:lpstr>Model Inputs</vt:lpstr>
      <vt:lpstr>Other parameters</vt:lpstr>
      <vt:lpstr>Program costs</vt:lpstr>
      <vt:lpstr>Results</vt:lpstr>
      <vt:lpstr>PSA</vt:lpstr>
      <vt:lpstr>USA</vt:lpstr>
      <vt:lpstr>M tr Scen 1 ante</vt:lpstr>
      <vt:lpstr>M tr Scen 1 post</vt:lpstr>
      <vt:lpstr>M tr Scen 2 ante</vt:lpstr>
      <vt:lpstr>M tr Scen 2 post</vt:lpstr>
      <vt:lpstr>M tr Scen 3 ante</vt:lpstr>
      <vt:lpstr>M tr Scen 3 post</vt:lpstr>
    </vt:vector>
  </TitlesOfParts>
  <Company>University of Washington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Watkins, MD</dc:creator>
  <cp:lastModifiedBy>David Watkins, MD</cp:lastModifiedBy>
  <dcterms:created xsi:type="dcterms:W3CDTF">2014-07-29T13:33:39Z</dcterms:created>
  <dcterms:modified xsi:type="dcterms:W3CDTF">2016-06-18T06:14:29Z</dcterms:modified>
</cp:coreProperties>
</file>