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jetadeshpande/Documents/GitHub/compartmental-model-COVID19/"/>
    </mc:Choice>
  </mc:AlternateContent>
  <xr:revisionPtr revIDLastSave="0" documentId="13_ncr:1_{AE3DAA8E-20B6-E546-B9AA-17DF18AC42F7}" xr6:coauthVersionLast="45" xr6:coauthVersionMax="45" xr10:uidLastSave="{00000000-0000-0000-0000-000000000000}"/>
  <bookViews>
    <workbookView xWindow="0" yWindow="460" windowWidth="28800" windowHeight="17540" xr2:uid="{68BC5988-E0E2-3145-9802-2A71AB6DCC1D}"/>
  </bookViews>
  <sheets>
    <sheet name="rate matrix" sheetId="1" r:id="rId1"/>
    <sheet name="visual Q" sheetId="3" r:id="rId2"/>
    <sheet name="age distribution in indi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I3" i="1" l="1"/>
  <c r="C3" i="1" s="1"/>
  <c r="I4" i="1"/>
  <c r="G5" i="1" l="1"/>
  <c r="F5" i="1"/>
  <c r="H5" i="1"/>
  <c r="H4" i="1"/>
  <c r="H6" i="1"/>
  <c r="I8" i="1" l="1"/>
  <c r="E5" i="1"/>
  <c r="E4" i="1" l="1"/>
  <c r="D4" i="1" s="1"/>
  <c r="H6" i="3"/>
  <c r="G6" i="3"/>
  <c r="F6" i="3" s="1"/>
  <c r="G5" i="3"/>
  <c r="E4" i="3"/>
  <c r="D4" i="3" s="1"/>
  <c r="D3" i="3"/>
  <c r="C3" i="3"/>
  <c r="H2" i="3"/>
  <c r="H7" i="3" s="1"/>
  <c r="G7" i="3" l="1"/>
  <c r="H5" i="3"/>
  <c r="E5" i="3" s="1"/>
  <c r="B2" i="3"/>
  <c r="H8" i="1"/>
  <c r="H7" i="1"/>
  <c r="I7" i="1"/>
  <c r="G7" i="1" s="1"/>
  <c r="H3" i="2"/>
  <c r="G7" i="2"/>
  <c r="G11" i="2"/>
  <c r="F3" i="2"/>
  <c r="G3" i="2" s="1"/>
  <c r="H12" i="2"/>
  <c r="H11" i="2"/>
  <c r="H10" i="2"/>
  <c r="H9" i="2"/>
  <c r="H8" i="2"/>
  <c r="H7" i="2"/>
  <c r="H6" i="2"/>
  <c r="H5" i="2"/>
  <c r="H4" i="2"/>
  <c r="G10" i="2" l="1"/>
  <c r="G6" i="2"/>
  <c r="F6" i="1"/>
  <c r="G4" i="2"/>
  <c r="G9" i="2"/>
  <c r="G5" i="2"/>
  <c r="G12" i="2"/>
  <c r="G8" i="2"/>
  <c r="I3" i="2" l="1"/>
</calcChain>
</file>

<file path=xl/sharedStrings.xml><?xml version="1.0" encoding="utf-8"?>
<sst xmlns="http://schemas.openxmlformats.org/spreadsheetml/2006/main" count="45" uniqueCount="30">
  <si>
    <t>Exposed</t>
  </si>
  <si>
    <t>Symptomatic</t>
  </si>
  <si>
    <t>Diagnosed</t>
  </si>
  <si>
    <t>Non-severe cases</t>
  </si>
  <si>
    <t>Severe cases</t>
  </si>
  <si>
    <t>Recovery</t>
  </si>
  <si>
    <t>Death</t>
  </si>
  <si>
    <t>60–64</t>
  </si>
  <si>
    <t>65–69</t>
  </si>
  <si>
    <t>70–74</t>
  </si>
  <si>
    <t>75–79</t>
  </si>
  <si>
    <t>80–84</t>
  </si>
  <si>
    <t>85–89</t>
  </si>
  <si>
    <t>90–94</t>
  </si>
  <si>
    <t>95–99</t>
  </si>
  <si>
    <t>100+</t>
  </si>
  <si>
    <t>Age group</t>
  </si>
  <si>
    <t>percentage of population</t>
  </si>
  <si>
    <t>Normalized value</t>
  </si>
  <si>
    <t>CFR</t>
  </si>
  <si>
    <t>Weighted average of CFR</t>
  </si>
  <si>
    <t>&lt;60</t>
  </si>
  <si>
    <t>exposed</t>
  </si>
  <si>
    <t>symptomatic</t>
  </si>
  <si>
    <t>diagnosed</t>
  </si>
  <si>
    <t>non-severe cases</t>
  </si>
  <si>
    <t>severe cases</t>
  </si>
  <si>
    <t>recovery</t>
  </si>
  <si>
    <t>death</t>
  </si>
  <si>
    <t>births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</si>
</sst>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>
    <font>
      <sz val="12"/>
      <color theme="1"/>
      <name val="Calibri"/>
      <family val="2"/>
      <scheme val="minor"/>
    </font>
    <font>
      <sz val="14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0" fontId="0" fillId="3" borderId="0" xfId="0" applyFill="1"/>
    <xf numFmtId="164" fontId="0" fillId="6" borderId="0" xfId="0" applyNumberFormat="1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C106C-C0BF-6E4A-8EFB-4C5B408BEA35}">
  <dimension ref="A1:I9"/>
  <sheetViews>
    <sheetView tabSelected="1" workbookViewId="0">
      <selection activeCell="C13" sqref="C13"/>
    </sheetView>
  </sheetViews>
  <sheetFormatPr baseColWidth="10" defaultRowHeight="16"/>
  <cols>
    <col min="1" max="1" width="15.5" bestFit="1" customWidth="1"/>
    <col min="3" max="3" width="17.83203125" bestFit="1" customWidth="1"/>
    <col min="5" max="5" width="12" bestFit="1" customWidth="1"/>
    <col min="11" max="12" width="19.33203125" bestFit="1" customWidth="1"/>
  </cols>
  <sheetData>
    <row r="1" spans="1:9">
      <c r="B1" t="s">
        <v>29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</row>
    <row r="2" spans="1:9">
      <c r="A2" t="s">
        <v>29</v>
      </c>
      <c r="B2">
        <v>-1</v>
      </c>
      <c r="C2">
        <v>1</v>
      </c>
    </row>
    <row r="3" spans="1:9">
      <c r="A3" t="s">
        <v>22</v>
      </c>
      <c r="B3">
        <v>2.2000000000000002</v>
      </c>
      <c r="C3" s="1">
        <f>-SUM(D3:I3)</f>
        <v>-9.1122993794526638E-2</v>
      </c>
      <c r="D3" s="1">
        <f>1/11</f>
        <v>9.0909090909090912E-2</v>
      </c>
      <c r="E3" s="1"/>
      <c r="F3" s="1"/>
      <c r="G3" s="1"/>
      <c r="H3" s="1"/>
      <c r="I3" s="10">
        <f>(0.8*(1/(68.5*52*7)))+(0.2*0.02*1/22)</f>
        <v>2.1390288543573217E-4</v>
      </c>
    </row>
    <row r="4" spans="1:9">
      <c r="A4" t="s">
        <v>23</v>
      </c>
      <c r="B4">
        <v>2.2000000000000002</v>
      </c>
      <c r="C4" s="1"/>
      <c r="D4" s="1">
        <f>-SUM(E4:I4)</f>
        <v>-1</v>
      </c>
      <c r="E4" s="10">
        <f>1-SUM(F4:I4)</f>
        <v>0.94264323997170707</v>
      </c>
      <c r="F4" s="10"/>
      <c r="G4" s="10"/>
      <c r="H4" s="10">
        <f>0.8*(1/14)</f>
        <v>5.7142857142857141E-2</v>
      </c>
      <c r="I4" s="10">
        <f>(0.8*(1/(68.5*52*7)))+(0.2*0.02*1/22)</f>
        <v>2.1390288543573217E-4</v>
      </c>
    </row>
    <row r="5" spans="1:9">
      <c r="A5" t="s">
        <v>24</v>
      </c>
      <c r="C5" s="1"/>
      <c r="D5" s="1"/>
      <c r="E5" s="10">
        <f>-SUM(F5:H5)</f>
        <v>-0.10571428571428571</v>
      </c>
      <c r="F5" s="10">
        <f xml:space="preserve"> 0.2*(1/7)</f>
        <v>2.8571428571428571E-2</v>
      </c>
      <c r="G5" s="10">
        <f>0.2*1/10</f>
        <v>0.02</v>
      </c>
      <c r="H5" s="10">
        <f>0.8*(1/14)</f>
        <v>5.7142857142857141E-2</v>
      </c>
      <c r="I5" s="10"/>
    </row>
    <row r="6" spans="1:9">
      <c r="A6" t="s">
        <v>25</v>
      </c>
      <c r="C6" s="1"/>
      <c r="D6" s="1"/>
      <c r="E6" s="10"/>
      <c r="F6" s="10">
        <f>-SUM(H6:I6)</f>
        <v>-9.4073377234242708E-2</v>
      </c>
      <c r="G6" s="10"/>
      <c r="H6" s="10">
        <f>1/10.63</f>
        <v>9.4073377234242708E-2</v>
      </c>
      <c r="I6" s="10"/>
    </row>
    <row r="7" spans="1:9">
      <c r="A7" t="s">
        <v>26</v>
      </c>
      <c r="C7" s="1"/>
      <c r="D7" s="1"/>
      <c r="E7" s="1"/>
      <c r="F7" s="1"/>
      <c r="G7" s="1">
        <f>-SUM(H7:I7)</f>
        <v>-9.6736596736596736E-2</v>
      </c>
      <c r="H7" s="1">
        <f>1/22</f>
        <v>4.5454545454545456E-2</v>
      </c>
      <c r="I7" s="1">
        <f>1/19.5</f>
        <v>5.128205128205128E-2</v>
      </c>
    </row>
    <row r="8" spans="1:9">
      <c r="A8" t="s">
        <v>27</v>
      </c>
      <c r="C8" s="1"/>
      <c r="D8" s="1"/>
      <c r="E8" s="1"/>
      <c r="F8" s="1"/>
      <c r="G8" s="1"/>
      <c r="H8" s="1">
        <f>-I8</f>
        <v>-4.0105879521937915E-5</v>
      </c>
      <c r="I8" s="1">
        <f>1/(68.5*52*7)</f>
        <v>4.0105879521937915E-5</v>
      </c>
    </row>
    <row r="9" spans="1:9">
      <c r="A9" t="s">
        <v>28</v>
      </c>
      <c r="I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DE0EB-6EE2-C94D-98D4-90D7B73D6803}">
  <dimension ref="A1:H8"/>
  <sheetViews>
    <sheetView zoomScale="130" zoomScaleNormal="130" workbookViewId="0">
      <selection activeCell="B9" sqref="B9"/>
    </sheetView>
  </sheetViews>
  <sheetFormatPr baseColWidth="10" defaultRowHeight="16"/>
  <cols>
    <col min="1" max="1" width="15.5" bestFit="1" customWidth="1"/>
    <col min="3" max="3" width="12" bestFit="1" customWidth="1"/>
    <col min="5" max="5" width="15.5" bestFit="1" customWidth="1"/>
    <col min="6" max="6" width="11.6640625" bestFit="1" customWidth="1"/>
  </cols>
  <sheetData>
    <row r="1" spans="1: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s">
        <v>0</v>
      </c>
      <c r="B2" s="5">
        <f>-SUM(C2:H2)</f>
        <v>-9.0949161690118518E-2</v>
      </c>
      <c r="C2" s="4">
        <v>9.0909090909090912E-2</v>
      </c>
      <c r="D2" s="5"/>
      <c r="E2" s="5"/>
      <c r="F2" s="5"/>
      <c r="G2" s="5"/>
      <c r="H2" s="6">
        <f>1/(68.56*52*7)</f>
        <v>4.0070781027607166E-5</v>
      </c>
    </row>
    <row r="3" spans="1:8">
      <c r="A3" t="s">
        <v>1</v>
      </c>
      <c r="B3" s="5"/>
      <c r="C3" s="5">
        <f>-SUM(D3:H3)</f>
        <v>-1</v>
      </c>
      <c r="D3" s="9">
        <f>1-H3</f>
        <v>0.99761599999999995</v>
      </c>
      <c r="E3" s="5"/>
      <c r="F3" s="5"/>
      <c r="G3" s="5"/>
      <c r="H3" s="6">
        <v>2.3839999999999998E-3</v>
      </c>
    </row>
    <row r="4" spans="1:8">
      <c r="A4" t="s">
        <v>2</v>
      </c>
      <c r="B4" s="5"/>
      <c r="C4" s="5"/>
      <c r="D4" s="5">
        <f>-SUM(E4:F4)</f>
        <v>-1</v>
      </c>
      <c r="E4" s="9">
        <f>1-F4</f>
        <v>0.83</v>
      </c>
      <c r="F4" s="9">
        <v>0.17</v>
      </c>
      <c r="G4" s="5"/>
      <c r="H4" s="5"/>
    </row>
    <row r="5" spans="1:8">
      <c r="A5" t="s">
        <v>3</v>
      </c>
      <c r="B5" s="5"/>
      <c r="C5" s="5"/>
      <c r="D5" s="5"/>
      <c r="E5" s="5">
        <f>-SUM(G5:H5)</f>
        <v>-0.10004007078102761</v>
      </c>
      <c r="F5" s="5"/>
      <c r="G5" s="7">
        <f>1/10</f>
        <v>0.1</v>
      </c>
      <c r="H5" s="7">
        <f>H7</f>
        <v>4.0070781027607166E-5</v>
      </c>
    </row>
    <row r="6" spans="1:8">
      <c r="A6" t="s">
        <v>4</v>
      </c>
      <c r="B6" s="5"/>
      <c r="C6" s="5"/>
      <c r="D6" s="5"/>
      <c r="E6" s="5"/>
      <c r="F6" s="5">
        <f>-SUM(G6:H6)</f>
        <v>-9.6736596736596736E-2</v>
      </c>
      <c r="G6" s="4">
        <f>1/22</f>
        <v>4.5454545454545456E-2</v>
      </c>
      <c r="H6" s="4">
        <f>1/19.5</f>
        <v>5.128205128205128E-2</v>
      </c>
    </row>
    <row r="7" spans="1:8">
      <c r="A7" t="s">
        <v>5</v>
      </c>
      <c r="B7" s="5"/>
      <c r="C7" s="5"/>
      <c r="D7" s="5"/>
      <c r="E7" s="5"/>
      <c r="F7" s="5"/>
      <c r="G7" s="5">
        <f>-H7</f>
        <v>-4.0070781027607166E-5</v>
      </c>
      <c r="H7" s="4">
        <f>H2</f>
        <v>4.0070781027607166E-5</v>
      </c>
    </row>
    <row r="8" spans="1:8">
      <c r="A8" t="s">
        <v>6</v>
      </c>
      <c r="B8" s="8"/>
      <c r="C8" s="8"/>
      <c r="D8" s="8"/>
      <c r="E8" s="8"/>
      <c r="F8" s="8"/>
      <c r="G8" s="8"/>
      <c r="H8" s="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D6DD8-93E4-1E4E-8837-2E61D85A8003}">
  <dimension ref="B2:I12"/>
  <sheetViews>
    <sheetView workbookViewId="0">
      <selection activeCell="I3" sqref="I3"/>
    </sheetView>
  </sheetViews>
  <sheetFormatPr baseColWidth="10" defaultRowHeight="16"/>
  <cols>
    <col min="7" max="7" width="15.5" bestFit="1" customWidth="1"/>
    <col min="8" max="8" width="12.1640625" bestFit="1" customWidth="1"/>
  </cols>
  <sheetData>
    <row r="2" spans="2:9">
      <c r="B2" t="s">
        <v>16</v>
      </c>
      <c r="F2" t="s">
        <v>17</v>
      </c>
      <c r="G2" t="s">
        <v>18</v>
      </c>
      <c r="H2" t="s">
        <v>19</v>
      </c>
      <c r="I2" t="s">
        <v>20</v>
      </c>
    </row>
    <row r="3" spans="2:9">
      <c r="B3" t="s">
        <v>21</v>
      </c>
      <c r="F3">
        <f>100-SUM(F4:F12)</f>
        <v>91.43</v>
      </c>
      <c r="G3">
        <f>F3/SUM($F$3:$F$12)</f>
        <v>0.91429999999999978</v>
      </c>
      <c r="H3">
        <f>1/(70*52*7)</f>
        <v>3.924646781789639E-5</v>
      </c>
      <c r="I3">
        <f>SUMPRODUCT(G4:G12,H4:H12)</f>
        <v>2.3845999999999993E-3</v>
      </c>
    </row>
    <row r="4" spans="2:9" ht="18">
      <c r="B4" s="2" t="s">
        <v>7</v>
      </c>
      <c r="C4" s="3">
        <v>18701749</v>
      </c>
      <c r="D4" s="3">
        <v>18961958</v>
      </c>
      <c r="E4" s="3">
        <v>37663707</v>
      </c>
      <c r="F4" s="2">
        <v>3.11</v>
      </c>
      <c r="G4">
        <f>F4/SUM($F$3:$F$12)</f>
        <v>3.1099999999999989E-2</v>
      </c>
      <c r="H4">
        <f>1.8/100</f>
        <v>1.8000000000000002E-2</v>
      </c>
    </row>
    <row r="5" spans="2:9" ht="18">
      <c r="B5" s="2" t="s">
        <v>8</v>
      </c>
      <c r="C5" s="3">
        <v>12944326</v>
      </c>
      <c r="D5" s="3">
        <v>13510657</v>
      </c>
      <c r="E5" s="3">
        <v>26454983</v>
      </c>
      <c r="F5" s="2">
        <v>2.1800000000000002</v>
      </c>
      <c r="G5">
        <f t="shared" ref="G5:G12" si="0">F5/SUM($F$3:$F$12)</f>
        <v>2.1799999999999996E-2</v>
      </c>
      <c r="H5">
        <f>1.8/100</f>
        <v>1.8000000000000002E-2</v>
      </c>
    </row>
    <row r="6" spans="2:9" ht="18">
      <c r="B6" s="2" t="s">
        <v>9</v>
      </c>
      <c r="C6" s="3">
        <v>9651499</v>
      </c>
      <c r="D6" s="3">
        <v>9557343</v>
      </c>
      <c r="E6" s="3">
        <v>19208842</v>
      </c>
      <c r="F6" s="2">
        <v>1.59</v>
      </c>
      <c r="G6">
        <f t="shared" si="0"/>
        <v>1.5899999999999997E-2</v>
      </c>
      <c r="H6">
        <f>3.8/100</f>
        <v>3.7999999999999999E-2</v>
      </c>
    </row>
    <row r="7" spans="2:9" ht="18">
      <c r="B7" s="2" t="s">
        <v>10</v>
      </c>
      <c r="C7" s="3">
        <v>4490603</v>
      </c>
      <c r="D7" s="3">
        <v>4741900</v>
      </c>
      <c r="E7" s="3">
        <v>9232503</v>
      </c>
      <c r="F7" s="2">
        <v>0.76</v>
      </c>
      <c r="G7">
        <f t="shared" si="0"/>
        <v>7.5999999999999983E-3</v>
      </c>
      <c r="H7">
        <f>3.8/100</f>
        <v>3.7999999999999999E-2</v>
      </c>
    </row>
    <row r="8" spans="2:9" ht="18">
      <c r="B8" s="2" t="s">
        <v>11</v>
      </c>
      <c r="C8" s="3">
        <v>2927040</v>
      </c>
      <c r="D8" s="3">
        <v>3293189</v>
      </c>
      <c r="E8" s="3">
        <v>6220229</v>
      </c>
      <c r="F8" s="2">
        <v>0.51</v>
      </c>
      <c r="G8">
        <f t="shared" si="0"/>
        <v>5.0999999999999986E-3</v>
      </c>
      <c r="H8">
        <f>5.8/100</f>
        <v>5.7999999999999996E-2</v>
      </c>
    </row>
    <row r="9" spans="2:9" ht="18">
      <c r="B9" s="2" t="s">
        <v>12</v>
      </c>
      <c r="C9" s="3">
        <v>1120106</v>
      </c>
      <c r="D9" s="3">
        <v>1263061</v>
      </c>
      <c r="E9" s="3">
        <v>2383167</v>
      </c>
      <c r="F9" s="2">
        <v>0.2</v>
      </c>
      <c r="G9">
        <f t="shared" si="0"/>
        <v>1.9999999999999996E-3</v>
      </c>
      <c r="H9">
        <f>5.8/100</f>
        <v>5.7999999999999996E-2</v>
      </c>
    </row>
    <row r="10" spans="2:9" ht="18">
      <c r="B10" s="2" t="s">
        <v>13</v>
      </c>
      <c r="C10" s="3">
        <v>652465</v>
      </c>
      <c r="D10" s="3">
        <v>794069</v>
      </c>
      <c r="E10" s="3">
        <v>1446534</v>
      </c>
      <c r="F10" s="2">
        <v>0.12</v>
      </c>
      <c r="G10">
        <f t="shared" si="0"/>
        <v>1.1999999999999997E-3</v>
      </c>
      <c r="H10">
        <f>5.8/100</f>
        <v>5.7999999999999996E-2</v>
      </c>
    </row>
    <row r="11" spans="2:9" ht="18">
      <c r="B11" s="2" t="s">
        <v>14</v>
      </c>
      <c r="C11" s="3">
        <v>294759</v>
      </c>
      <c r="D11" s="3">
        <v>338538</v>
      </c>
      <c r="E11" s="3">
        <v>633297</v>
      </c>
      <c r="F11" s="2">
        <v>0.05</v>
      </c>
      <c r="G11">
        <f t="shared" si="0"/>
        <v>4.999999999999999E-4</v>
      </c>
      <c r="H11">
        <f>5.8/100</f>
        <v>5.7999999999999996E-2</v>
      </c>
    </row>
    <row r="12" spans="2:9" ht="18">
      <c r="B12" s="2" t="s">
        <v>15</v>
      </c>
      <c r="C12" s="3">
        <v>289325</v>
      </c>
      <c r="D12" s="3">
        <v>316453</v>
      </c>
      <c r="E12" s="3">
        <v>605778</v>
      </c>
      <c r="F12" s="2">
        <v>0.05</v>
      </c>
      <c r="G12">
        <f t="shared" si="0"/>
        <v>4.999999999999999E-4</v>
      </c>
      <c r="H12">
        <f>5.8/100</f>
        <v>5.7999999999999996E-2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rate matrix</vt:lpstr>
      <vt:lpstr>visual Q</vt:lpstr>
      <vt:lpstr>age distribution in india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2020-03-29T20:34:34Z</dcterms:created>
  <dcterms:modified xsi:type="dcterms:W3CDTF">2020-04-07T05:38:09Z</dcterms:modified>
</cp:coreProperties>
</file>