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kas Vaghasiya\Desktop\Resume content\Github_Portfolio\Broccolini, Parkhill Industrial Building cost estimation (Milton, Ontario)\"/>
    </mc:Choice>
  </mc:AlternateContent>
  <xr:revisionPtr revIDLastSave="0" documentId="13_ncr:1_{37E04C9D-D9BA-4A81-8343-5C9DBBD489B8}" xr6:coauthVersionLast="47" xr6:coauthVersionMax="47" xr10:uidLastSave="{00000000-0000-0000-0000-000000000000}"/>
  <bookViews>
    <workbookView xWindow="-108" yWindow="-108" windowWidth="23256" windowHeight="12576" autoFilterDateGrouping="0" xr2:uid="{00000000-000D-0000-FFFF-FFFF00000000}"/>
  </bookViews>
  <sheets>
    <sheet name="Project Cost Breakdown" sheetId="1" r:id="rId1"/>
    <sheet name="05 12 00 Structural Steel Frami" sheetId="9" r:id="rId2"/>
    <sheet name="03 31 00 Structural Concrete" sheetId="5" r:id="rId3"/>
    <sheet name="Sheet2" sheetId="2" state="hidden" r:id="rId4"/>
    <sheet name="03 11 00 Concrete Forming" sheetId="3" r:id="rId5"/>
    <sheet name="Sheet3" sheetId="11" r:id="rId6"/>
  </sheets>
  <definedNames>
    <definedName name="_xlnm._FilterDatabase" localSheetId="1" hidden="1">'05 12 00 Structural Steel Frami'!$A$1:$Q$307</definedName>
    <definedName name="_xlnm._FilterDatabase" localSheetId="0" hidden="1">'Project Cost Breakdown'!$A$13:$I$228</definedName>
    <definedName name="DvListSource1">Sheet2!$D$1:$D$148</definedName>
    <definedName name="_xlnm.Print_Area" localSheetId="2">'03 31 00 Structural Concrete'!$A$42:$L$95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1" l="1"/>
  <c r="H111" i="1"/>
  <c r="E143" i="1"/>
  <c r="F143" i="1"/>
  <c r="G143" i="1"/>
  <c r="H143" i="1"/>
  <c r="F142" i="1"/>
  <c r="G142" i="1"/>
  <c r="E142" i="1"/>
  <c r="H120" i="1"/>
  <c r="H142" i="1"/>
  <c r="H104" i="1"/>
  <c r="AA24" i="9"/>
  <c r="Z24" i="9"/>
  <c r="Y24" i="9"/>
  <c r="E103" i="1"/>
  <c r="F103" i="1"/>
  <c r="G103" i="1"/>
  <c r="Y14" i="9"/>
  <c r="E93" i="1" s="1"/>
  <c r="Z14" i="9"/>
  <c r="F93" i="1" s="1"/>
  <c r="AA14" i="9"/>
  <c r="G93" i="1" s="1"/>
  <c r="Y15" i="9"/>
  <c r="E94" i="1" s="1"/>
  <c r="Z15" i="9"/>
  <c r="F94" i="1" s="1"/>
  <c r="AA15" i="9"/>
  <c r="G94" i="1" s="1"/>
  <c r="Y16" i="9"/>
  <c r="E95" i="1" s="1"/>
  <c r="Z16" i="9"/>
  <c r="F95" i="1" s="1"/>
  <c r="AA16" i="9"/>
  <c r="G95" i="1" s="1"/>
  <c r="Y17" i="9"/>
  <c r="E96" i="1" s="1"/>
  <c r="Z17" i="9"/>
  <c r="F96" i="1" s="1"/>
  <c r="AA17" i="9"/>
  <c r="G96" i="1" s="1"/>
  <c r="Y18" i="9"/>
  <c r="E97" i="1" s="1"/>
  <c r="Z18" i="9"/>
  <c r="F97" i="1" s="1"/>
  <c r="AA18" i="9"/>
  <c r="G97" i="1" s="1"/>
  <c r="Y19" i="9"/>
  <c r="E98" i="1" s="1"/>
  <c r="Z19" i="9"/>
  <c r="F98" i="1" s="1"/>
  <c r="AA19" i="9"/>
  <c r="G98" i="1" s="1"/>
  <c r="Y20" i="9"/>
  <c r="E99" i="1" s="1"/>
  <c r="Z20" i="9"/>
  <c r="F99" i="1" s="1"/>
  <c r="AA20" i="9"/>
  <c r="G99" i="1" s="1"/>
  <c r="Y21" i="9"/>
  <c r="E100" i="1" s="1"/>
  <c r="Z21" i="9"/>
  <c r="F100" i="1" s="1"/>
  <c r="AA21" i="9"/>
  <c r="G100" i="1" s="1"/>
  <c r="Y22" i="9"/>
  <c r="E101" i="1" s="1"/>
  <c r="Z22" i="9"/>
  <c r="F101" i="1" s="1"/>
  <c r="AA22" i="9"/>
  <c r="G101" i="1" s="1"/>
  <c r="Y23" i="9"/>
  <c r="E102" i="1" s="1"/>
  <c r="Z23" i="9"/>
  <c r="F102" i="1" s="1"/>
  <c r="AA23" i="9"/>
  <c r="G102" i="1" s="1"/>
  <c r="AA13" i="9"/>
  <c r="G92" i="1" s="1"/>
  <c r="Z13" i="9"/>
  <c r="F92" i="1" s="1"/>
  <c r="Y13" i="9"/>
  <c r="E92" i="1" s="1"/>
  <c r="Z10" i="9"/>
  <c r="F89" i="1" s="1"/>
  <c r="Y10" i="9"/>
  <c r="E89" i="1" s="1"/>
  <c r="AA10" i="9"/>
  <c r="G89" i="1" s="1"/>
  <c r="AA5" i="9"/>
  <c r="G84" i="1" s="1"/>
  <c r="Z5" i="9"/>
  <c r="F84" i="1" s="1"/>
  <c r="Y5" i="9"/>
  <c r="E84" i="1" s="1"/>
  <c r="Y3" i="9"/>
  <c r="E82" i="1" s="1"/>
  <c r="Z3" i="9"/>
  <c r="F82" i="1" s="1"/>
  <c r="AA3" i="9"/>
  <c r="G82" i="1" s="1"/>
  <c r="Y4" i="9"/>
  <c r="E83" i="1" s="1"/>
  <c r="Z4" i="9"/>
  <c r="F83" i="1" s="1"/>
  <c r="AA4" i="9"/>
  <c r="G83" i="1" s="1"/>
  <c r="Y6" i="9"/>
  <c r="E85" i="1" s="1"/>
  <c r="Z6" i="9"/>
  <c r="F85" i="1" s="1"/>
  <c r="AA6" i="9"/>
  <c r="G85" i="1" s="1"/>
  <c r="Y7" i="9"/>
  <c r="E86" i="1" s="1"/>
  <c r="Z7" i="9"/>
  <c r="F86" i="1" s="1"/>
  <c r="AA7" i="9"/>
  <c r="G86" i="1" s="1"/>
  <c r="Y8" i="9"/>
  <c r="E87" i="1" s="1"/>
  <c r="Z8" i="9"/>
  <c r="F87" i="1" s="1"/>
  <c r="AA8" i="9"/>
  <c r="G87" i="1" s="1"/>
  <c r="Y9" i="9"/>
  <c r="E88" i="1" s="1"/>
  <c r="Z9" i="9"/>
  <c r="F88" i="1" s="1"/>
  <c r="AA9" i="9"/>
  <c r="G88" i="1" s="1"/>
  <c r="Y11" i="9"/>
  <c r="E90" i="1" s="1"/>
  <c r="Z11" i="9"/>
  <c r="F90" i="1" s="1"/>
  <c r="AA11" i="9"/>
  <c r="G90" i="1" s="1"/>
  <c r="Y12" i="9"/>
  <c r="E91" i="1" s="1"/>
  <c r="Z12" i="9"/>
  <c r="F91" i="1" s="1"/>
  <c r="AA12" i="9"/>
  <c r="G91" i="1" s="1"/>
  <c r="AA2" i="9"/>
  <c r="G81" i="1" s="1"/>
  <c r="Z2" i="9"/>
  <c r="F81" i="1" s="1"/>
  <c r="Y2" i="9"/>
  <c r="E81" i="1" s="1"/>
  <c r="I73" i="1"/>
  <c r="I210" i="1"/>
  <c r="I209" i="1"/>
  <c r="I202" i="1"/>
  <c r="I193" i="1"/>
  <c r="I194" i="1"/>
  <c r="I192" i="1"/>
  <c r="I191" i="1"/>
  <c r="I190" i="1"/>
  <c r="I189" i="1"/>
  <c r="I188" i="1"/>
  <c r="I181" i="1"/>
  <c r="I175" i="1"/>
  <c r="I168" i="1"/>
  <c r="I167" i="1"/>
  <c r="I160" i="1"/>
  <c r="I159" i="1"/>
  <c r="I151" i="1"/>
  <c r="I150" i="1"/>
  <c r="I143" i="1"/>
  <c r="I142" i="1"/>
  <c r="I135" i="1"/>
  <c r="I134" i="1"/>
  <c r="I129" i="1"/>
  <c r="I128" i="1"/>
  <c r="I120" i="1"/>
  <c r="I112" i="1"/>
  <c r="H218" i="1"/>
  <c r="I218" i="1" s="1"/>
  <c r="H28" i="1"/>
  <c r="H29" i="1"/>
  <c r="H30" i="1"/>
  <c r="H31" i="1"/>
  <c r="H32" i="1"/>
  <c r="H33" i="1"/>
  <c r="H34" i="1"/>
  <c r="H35" i="1"/>
  <c r="H27" i="1"/>
  <c r="H39" i="1"/>
  <c r="H41" i="1"/>
  <c r="H42" i="1"/>
  <c r="H43" i="1"/>
  <c r="H44" i="1"/>
  <c r="H45" i="1"/>
  <c r="H46" i="1"/>
  <c r="H47" i="1"/>
  <c r="H48" i="1"/>
  <c r="H49" i="1"/>
  <c r="H40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83" i="1"/>
  <c r="H82" i="1"/>
  <c r="I104" i="1"/>
  <c r="H81" i="1"/>
  <c r="I217" i="1"/>
  <c r="I216" i="1"/>
  <c r="I215" i="1"/>
  <c r="I214" i="1"/>
  <c r="I208" i="1"/>
  <c r="I207" i="1"/>
  <c r="I206" i="1"/>
  <c r="I201" i="1"/>
  <c r="I200" i="1"/>
  <c r="I199" i="1"/>
  <c r="I198" i="1"/>
  <c r="I187" i="1"/>
  <c r="I186" i="1"/>
  <c r="I185" i="1"/>
  <c r="I180" i="1"/>
  <c r="I179" i="1"/>
  <c r="I174" i="1"/>
  <c r="I173" i="1"/>
  <c r="I172" i="1"/>
  <c r="I166" i="1"/>
  <c r="I165" i="1"/>
  <c r="I164" i="1"/>
  <c r="I158" i="1"/>
  <c r="I157" i="1"/>
  <c r="I156" i="1"/>
  <c r="I155" i="1"/>
  <c r="I149" i="1"/>
  <c r="I148" i="1"/>
  <c r="I147" i="1"/>
  <c r="I141" i="1"/>
  <c r="I140" i="1"/>
  <c r="I139" i="1"/>
  <c r="I133" i="1"/>
  <c r="I127" i="1"/>
  <c r="I126" i="1"/>
  <c r="I125" i="1"/>
  <c r="I124" i="1" s="1"/>
  <c r="I119" i="1"/>
  <c r="I118" i="1"/>
  <c r="I117" i="1"/>
  <c r="I116" i="1"/>
  <c r="I72" i="1"/>
  <c r="I71" i="1"/>
  <c r="I70" i="1"/>
  <c r="I69" i="1"/>
  <c r="AA9" i="5"/>
  <c r="Y9" i="5"/>
  <c r="AA3" i="5"/>
  <c r="AA4" i="5"/>
  <c r="AA5" i="5"/>
  <c r="AA6" i="5"/>
  <c r="AA7" i="5"/>
  <c r="AA2" i="5"/>
  <c r="Y3" i="5"/>
  <c r="Y4" i="5"/>
  <c r="Y5" i="5"/>
  <c r="Y6" i="5"/>
  <c r="Y7" i="5"/>
  <c r="Y2" i="5"/>
  <c r="I66" i="1"/>
  <c r="I67" i="1"/>
  <c r="I68" i="1"/>
  <c r="I65" i="1"/>
  <c r="I64" i="1" s="1"/>
  <c r="I63" i="1" s="1"/>
  <c r="I62" i="1" s="1"/>
  <c r="I56" i="1"/>
  <c r="I57" i="1"/>
  <c r="I58" i="1"/>
  <c r="I59" i="1"/>
  <c r="I60" i="1"/>
  <c r="I61" i="1"/>
  <c r="I55" i="1"/>
  <c r="I54" i="1" s="1"/>
  <c r="I53" i="1" s="1"/>
  <c r="I48" i="1"/>
  <c r="I49" i="1"/>
  <c r="I28" i="1"/>
  <c r="I29" i="1"/>
  <c r="I30" i="1"/>
  <c r="I31" i="1"/>
  <c r="I32" i="1"/>
  <c r="I33" i="1"/>
  <c r="I34" i="1"/>
  <c r="I35" i="1"/>
  <c r="I27" i="1"/>
  <c r="I26" i="1" s="1"/>
  <c r="I25" i="1" s="1"/>
  <c r="I24" i="1" s="1"/>
  <c r="I19" i="1"/>
  <c r="I20" i="1"/>
  <c r="I18" i="1"/>
  <c r="I17" i="1" s="1"/>
  <c r="I16" i="1" s="1"/>
  <c r="I15" i="1" s="1"/>
  <c r="C47" i="1"/>
  <c r="I47" i="1" s="1"/>
  <c r="R10" i="5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39" i="1"/>
  <c r="I39" i="1" s="1"/>
  <c r="I38" i="1" s="1"/>
  <c r="I37" i="1" s="1"/>
  <c r="I36" i="1" s="1"/>
  <c r="R9" i="5"/>
  <c r="R8" i="5"/>
  <c r="R7" i="5"/>
  <c r="R6" i="5"/>
  <c r="R4" i="5"/>
  <c r="R3" i="5"/>
  <c r="R2" i="5"/>
  <c r="F35" i="5"/>
  <c r="F27" i="5"/>
  <c r="F10" i="5"/>
  <c r="H307" i="9"/>
  <c r="J307" i="9" s="1"/>
  <c r="O5" i="9" s="1"/>
  <c r="D303" i="9"/>
  <c r="H303" i="9" s="1"/>
  <c r="J303" i="9" s="1"/>
  <c r="D302" i="9"/>
  <c r="H302" i="9" s="1"/>
  <c r="J302" i="9" s="1"/>
  <c r="D306" i="9"/>
  <c r="H306" i="9" s="1"/>
  <c r="J306" i="9" s="1"/>
  <c r="D305" i="9"/>
  <c r="H305" i="9" s="1"/>
  <c r="J305" i="9" s="1"/>
  <c r="D304" i="9"/>
  <c r="H304" i="9" s="1"/>
  <c r="J304" i="9" s="1"/>
  <c r="D301" i="9"/>
  <c r="H301" i="9" s="1"/>
  <c r="J301" i="9" s="1"/>
  <c r="D300" i="9"/>
  <c r="H300" i="9" s="1"/>
  <c r="J300" i="9" s="1"/>
  <c r="D299" i="9"/>
  <c r="H299" i="9" s="1"/>
  <c r="J299" i="9" s="1"/>
  <c r="D166" i="9"/>
  <c r="H166" i="9" s="1"/>
  <c r="J166" i="9" s="1"/>
  <c r="D165" i="9"/>
  <c r="H165" i="9" s="1"/>
  <c r="J165" i="9" s="1"/>
  <c r="H298" i="9"/>
  <c r="J298" i="9" s="1"/>
  <c r="D297" i="9"/>
  <c r="H297" i="9" s="1"/>
  <c r="J297" i="9" s="1"/>
  <c r="D296" i="9"/>
  <c r="H296" i="9" s="1"/>
  <c r="J296" i="9" s="1"/>
  <c r="H295" i="9"/>
  <c r="J295" i="9" s="1"/>
  <c r="D293" i="9"/>
  <c r="H293" i="9" s="1"/>
  <c r="J293" i="9" s="1"/>
  <c r="D294" i="9"/>
  <c r="H294" i="9" s="1"/>
  <c r="J294" i="9" s="1"/>
  <c r="H292" i="9"/>
  <c r="J292" i="9" s="1"/>
  <c r="D291" i="9"/>
  <c r="H291" i="9" s="1"/>
  <c r="J291" i="9" s="1"/>
  <c r="D290" i="9"/>
  <c r="H290" i="9" s="1"/>
  <c r="J290" i="9" s="1"/>
  <c r="H289" i="9"/>
  <c r="J289" i="9" s="1"/>
  <c r="D288" i="9"/>
  <c r="H288" i="9" s="1"/>
  <c r="J288" i="9" s="1"/>
  <c r="D287" i="9"/>
  <c r="H287" i="9" s="1"/>
  <c r="J287" i="9" s="1"/>
  <c r="H286" i="9"/>
  <c r="J286" i="9" s="1"/>
  <c r="D285" i="9"/>
  <c r="H285" i="9" s="1"/>
  <c r="J285" i="9" s="1"/>
  <c r="D284" i="9"/>
  <c r="H284" i="9" s="1"/>
  <c r="J284" i="9" s="1"/>
  <c r="H283" i="9"/>
  <c r="J283" i="9" s="1"/>
  <c r="H280" i="9"/>
  <c r="J280" i="9" s="1"/>
  <c r="D282" i="9"/>
  <c r="H282" i="9" s="1"/>
  <c r="J282" i="9" s="1"/>
  <c r="D281" i="9"/>
  <c r="H281" i="9" s="1"/>
  <c r="J281" i="9" s="1"/>
  <c r="D277" i="9"/>
  <c r="H277" i="9" s="1"/>
  <c r="J277" i="9" s="1"/>
  <c r="D276" i="9"/>
  <c r="H276" i="9" s="1"/>
  <c r="J276" i="9" s="1"/>
  <c r="D275" i="9"/>
  <c r="H275" i="9" s="1"/>
  <c r="J275" i="9" s="1"/>
  <c r="D279" i="9"/>
  <c r="H279" i="9" s="1"/>
  <c r="J279" i="9" s="1"/>
  <c r="D278" i="9"/>
  <c r="H278" i="9" s="1"/>
  <c r="J278" i="9" s="1"/>
  <c r="D274" i="9"/>
  <c r="H274" i="9" s="1"/>
  <c r="J274" i="9" s="1"/>
  <c r="D273" i="9"/>
  <c r="H273" i="9" s="1"/>
  <c r="J273" i="9" s="1"/>
  <c r="H272" i="9"/>
  <c r="J272" i="9" s="1"/>
  <c r="H271" i="9"/>
  <c r="J271" i="9" s="1"/>
  <c r="H270" i="9"/>
  <c r="J270" i="9" s="1"/>
  <c r="H269" i="9"/>
  <c r="J269" i="9" s="1"/>
  <c r="H268" i="9"/>
  <c r="J268" i="9" s="1"/>
  <c r="H267" i="9"/>
  <c r="J267" i="9" s="1"/>
  <c r="H266" i="9"/>
  <c r="J266" i="9" s="1"/>
  <c r="H265" i="9"/>
  <c r="J265" i="9" s="1"/>
  <c r="H264" i="9"/>
  <c r="J264" i="9" s="1"/>
  <c r="H229" i="9"/>
  <c r="J229" i="9" s="1"/>
  <c r="H228" i="9"/>
  <c r="J228" i="9" s="1"/>
  <c r="H227" i="9"/>
  <c r="J227" i="9" s="1"/>
  <c r="H226" i="9"/>
  <c r="J226" i="9" s="1"/>
  <c r="H225" i="9"/>
  <c r="J225" i="9" s="1"/>
  <c r="H224" i="9"/>
  <c r="J224" i="9" s="1"/>
  <c r="H223" i="9"/>
  <c r="J223" i="9" s="1"/>
  <c r="H222" i="9"/>
  <c r="J222" i="9" s="1"/>
  <c r="H221" i="9"/>
  <c r="J221" i="9" s="1"/>
  <c r="H220" i="9"/>
  <c r="J220" i="9" s="1"/>
  <c r="H219" i="9"/>
  <c r="J219" i="9" s="1"/>
  <c r="H218" i="9"/>
  <c r="J218" i="9" s="1"/>
  <c r="H217" i="9"/>
  <c r="J217" i="9" s="1"/>
  <c r="H216" i="9"/>
  <c r="J216" i="9" s="1"/>
  <c r="H215" i="9"/>
  <c r="J215" i="9" s="1"/>
  <c r="H214" i="9"/>
  <c r="J214" i="9" s="1"/>
  <c r="H213" i="9"/>
  <c r="J213" i="9" s="1"/>
  <c r="H212" i="9"/>
  <c r="J212" i="9" s="1"/>
  <c r="H211" i="9"/>
  <c r="J211" i="9" s="1"/>
  <c r="H210" i="9"/>
  <c r="J210" i="9" s="1"/>
  <c r="H209" i="9"/>
  <c r="J209" i="9" s="1"/>
  <c r="H208" i="9"/>
  <c r="J208" i="9" s="1"/>
  <c r="H207" i="9"/>
  <c r="J207" i="9" s="1"/>
  <c r="H206" i="9"/>
  <c r="J206" i="9" s="1"/>
  <c r="H205" i="9"/>
  <c r="H204" i="9"/>
  <c r="J204" i="9" s="1"/>
  <c r="H203" i="9"/>
  <c r="J203" i="9" s="1"/>
  <c r="H202" i="9"/>
  <c r="J202" i="9" s="1"/>
  <c r="H201" i="9"/>
  <c r="J201" i="9" s="1"/>
  <c r="H200" i="9"/>
  <c r="J200" i="9" s="1"/>
  <c r="H199" i="9"/>
  <c r="J199" i="9" s="1"/>
  <c r="H198" i="9"/>
  <c r="J198" i="9" s="1"/>
  <c r="H197" i="9"/>
  <c r="J197" i="9" s="1"/>
  <c r="H196" i="9"/>
  <c r="J196" i="9" s="1"/>
  <c r="H194" i="9"/>
  <c r="H195" i="9"/>
  <c r="I205" i="9"/>
  <c r="I195" i="9"/>
  <c r="I194" i="9"/>
  <c r="H255" i="9"/>
  <c r="J255" i="9" s="1"/>
  <c r="H252" i="9"/>
  <c r="J252" i="9" s="1"/>
  <c r="H251" i="9"/>
  <c r="J251" i="9" s="1"/>
  <c r="H250" i="9"/>
  <c r="J250" i="9" s="1"/>
  <c r="O9" i="9" s="1"/>
  <c r="T9" i="9" s="1"/>
  <c r="H249" i="9"/>
  <c r="J249" i="9" s="1"/>
  <c r="H248" i="9"/>
  <c r="J248" i="9" s="1"/>
  <c r="H245" i="9"/>
  <c r="J245" i="9" s="1"/>
  <c r="H244" i="9"/>
  <c r="J244" i="9" s="1"/>
  <c r="H243" i="9"/>
  <c r="J243" i="9" s="1"/>
  <c r="H242" i="9"/>
  <c r="J242" i="9" s="1"/>
  <c r="H233" i="9"/>
  <c r="J233" i="9" s="1"/>
  <c r="H232" i="9"/>
  <c r="J232" i="9" s="1"/>
  <c r="H231" i="9"/>
  <c r="J231" i="9" s="1"/>
  <c r="H230" i="9"/>
  <c r="J230" i="9" s="1"/>
  <c r="H188" i="9"/>
  <c r="J188" i="9" s="1"/>
  <c r="H187" i="9"/>
  <c r="J187" i="9" s="1"/>
  <c r="H186" i="9"/>
  <c r="J186" i="9" s="1"/>
  <c r="H185" i="9"/>
  <c r="J185" i="9" s="1"/>
  <c r="H184" i="9"/>
  <c r="J184" i="9" s="1"/>
  <c r="H183" i="9"/>
  <c r="J183" i="9" s="1"/>
  <c r="H182" i="9"/>
  <c r="J182" i="9" s="1"/>
  <c r="H181" i="9"/>
  <c r="J181" i="9" s="1"/>
  <c r="H180" i="9"/>
  <c r="J180" i="9" s="1"/>
  <c r="H179" i="9"/>
  <c r="J179" i="9" s="1"/>
  <c r="H178" i="9"/>
  <c r="J178" i="9" s="1"/>
  <c r="H176" i="9"/>
  <c r="J176" i="9" s="1"/>
  <c r="H175" i="9"/>
  <c r="J175" i="9" s="1"/>
  <c r="H172" i="9"/>
  <c r="J172" i="9" s="1"/>
  <c r="H171" i="9"/>
  <c r="J171" i="9" s="1"/>
  <c r="H170" i="9"/>
  <c r="J170" i="9" s="1"/>
  <c r="H169" i="9"/>
  <c r="J169" i="9" s="1"/>
  <c r="H168" i="9"/>
  <c r="J168" i="9" s="1"/>
  <c r="H167" i="9"/>
  <c r="J167" i="9" s="1"/>
  <c r="H162" i="9"/>
  <c r="J162" i="9" s="1"/>
  <c r="H135" i="9"/>
  <c r="J135" i="9" s="1"/>
  <c r="H134" i="9"/>
  <c r="J134" i="9" s="1"/>
  <c r="H133" i="9"/>
  <c r="J133" i="9" s="1"/>
  <c r="H132" i="9"/>
  <c r="J132" i="9" s="1"/>
  <c r="H131" i="9"/>
  <c r="J131" i="9" s="1"/>
  <c r="H130" i="9"/>
  <c r="J130" i="9" s="1"/>
  <c r="H129" i="9"/>
  <c r="J129" i="9" s="1"/>
  <c r="H128" i="9"/>
  <c r="J128" i="9" s="1"/>
  <c r="H127" i="9"/>
  <c r="J127" i="9" s="1"/>
  <c r="H126" i="9"/>
  <c r="J126" i="9" s="1"/>
  <c r="O17" i="9" s="1"/>
  <c r="T17" i="9" s="1"/>
  <c r="H125" i="9"/>
  <c r="J125" i="9" s="1"/>
  <c r="H124" i="9"/>
  <c r="J124" i="9" s="1"/>
  <c r="H123" i="9"/>
  <c r="J123" i="9" s="1"/>
  <c r="H122" i="9"/>
  <c r="J122" i="9" s="1"/>
  <c r="H121" i="9"/>
  <c r="J121" i="9" s="1"/>
  <c r="H120" i="9"/>
  <c r="J120" i="9" s="1"/>
  <c r="H119" i="9"/>
  <c r="J119" i="9" s="1"/>
  <c r="H118" i="9"/>
  <c r="J118" i="9" s="1"/>
  <c r="H117" i="9"/>
  <c r="J117" i="9" s="1"/>
  <c r="H116" i="9"/>
  <c r="J116" i="9" s="1"/>
  <c r="H115" i="9"/>
  <c r="J115" i="9" s="1"/>
  <c r="H114" i="9"/>
  <c r="J114" i="9" s="1"/>
  <c r="H113" i="9"/>
  <c r="J113" i="9" s="1"/>
  <c r="H112" i="9"/>
  <c r="J112" i="9" s="1"/>
  <c r="H111" i="9"/>
  <c r="J111" i="9" s="1"/>
  <c r="H110" i="9"/>
  <c r="J110" i="9" s="1"/>
  <c r="H109" i="9"/>
  <c r="J109" i="9" s="1"/>
  <c r="H108" i="9"/>
  <c r="J108" i="9" s="1"/>
  <c r="H107" i="9"/>
  <c r="J107" i="9" s="1"/>
  <c r="H106" i="9"/>
  <c r="J106" i="9" s="1"/>
  <c r="H105" i="9"/>
  <c r="J105" i="9" s="1"/>
  <c r="H104" i="9"/>
  <c r="J104" i="9" s="1"/>
  <c r="H103" i="9"/>
  <c r="J103" i="9" s="1"/>
  <c r="H102" i="9"/>
  <c r="J102" i="9" s="1"/>
  <c r="H101" i="9"/>
  <c r="J101" i="9" s="1"/>
  <c r="H100" i="9"/>
  <c r="J100" i="9" s="1"/>
  <c r="H99" i="9"/>
  <c r="J99" i="9" s="1"/>
  <c r="H98" i="9"/>
  <c r="J98" i="9" s="1"/>
  <c r="H97" i="9"/>
  <c r="J97" i="9" s="1"/>
  <c r="H96" i="9"/>
  <c r="J96" i="9" s="1"/>
  <c r="H95" i="9"/>
  <c r="J95" i="9" s="1"/>
  <c r="H94" i="9"/>
  <c r="J94" i="9" s="1"/>
  <c r="H93" i="9"/>
  <c r="J93" i="9" s="1"/>
  <c r="O19" i="9" s="1"/>
  <c r="T19" i="9" s="1"/>
  <c r="H92" i="9"/>
  <c r="J92" i="9" s="1"/>
  <c r="H91" i="9"/>
  <c r="J91" i="9" s="1"/>
  <c r="H90" i="9"/>
  <c r="J90" i="9" s="1"/>
  <c r="H89" i="9"/>
  <c r="J89" i="9" s="1"/>
  <c r="H88" i="9"/>
  <c r="J88" i="9" s="1"/>
  <c r="H87" i="9"/>
  <c r="J87" i="9" s="1"/>
  <c r="H86" i="9"/>
  <c r="J86" i="9" s="1"/>
  <c r="H85" i="9"/>
  <c r="J85" i="9" s="1"/>
  <c r="H84" i="9"/>
  <c r="J84" i="9" s="1"/>
  <c r="H83" i="9"/>
  <c r="J83" i="9" s="1"/>
  <c r="H82" i="9"/>
  <c r="J82" i="9" s="1"/>
  <c r="H81" i="9"/>
  <c r="J81" i="9" s="1"/>
  <c r="H80" i="9"/>
  <c r="J80" i="9" s="1"/>
  <c r="H79" i="9"/>
  <c r="J79" i="9" s="1"/>
  <c r="D263" i="9"/>
  <c r="H263" i="9" s="1"/>
  <c r="J263" i="9" s="1"/>
  <c r="D262" i="9"/>
  <c r="H262" i="9" s="1"/>
  <c r="J262" i="9" s="1"/>
  <c r="D261" i="9"/>
  <c r="H261" i="9" s="1"/>
  <c r="J261" i="9" s="1"/>
  <c r="D260" i="9"/>
  <c r="H260" i="9" s="1"/>
  <c r="J260" i="9" s="1"/>
  <c r="D259" i="9"/>
  <c r="H259" i="9" s="1"/>
  <c r="J259" i="9" s="1"/>
  <c r="D258" i="9"/>
  <c r="H258" i="9" s="1"/>
  <c r="J258" i="9" s="1"/>
  <c r="D257" i="9"/>
  <c r="H257" i="9" s="1"/>
  <c r="J257" i="9" s="1"/>
  <c r="D256" i="9"/>
  <c r="H256" i="9" s="1"/>
  <c r="J256" i="9" s="1"/>
  <c r="D254" i="9"/>
  <c r="H254" i="9" s="1"/>
  <c r="J254" i="9" s="1"/>
  <c r="D253" i="9"/>
  <c r="H253" i="9" s="1"/>
  <c r="J253" i="9" s="1"/>
  <c r="D247" i="9"/>
  <c r="H247" i="9" s="1"/>
  <c r="J247" i="9" s="1"/>
  <c r="D246" i="9"/>
  <c r="H246" i="9" s="1"/>
  <c r="J246" i="9" s="1"/>
  <c r="D241" i="9"/>
  <c r="H241" i="9" s="1"/>
  <c r="J241" i="9" s="1"/>
  <c r="D240" i="9"/>
  <c r="H240" i="9" s="1"/>
  <c r="J240" i="9" s="1"/>
  <c r="D239" i="9"/>
  <c r="H239" i="9" s="1"/>
  <c r="J239" i="9" s="1"/>
  <c r="D238" i="9"/>
  <c r="H238" i="9" s="1"/>
  <c r="J238" i="9" s="1"/>
  <c r="D237" i="9"/>
  <c r="H237" i="9" s="1"/>
  <c r="J237" i="9" s="1"/>
  <c r="D236" i="9"/>
  <c r="H236" i="9" s="1"/>
  <c r="J236" i="9" s="1"/>
  <c r="D235" i="9"/>
  <c r="H235" i="9" s="1"/>
  <c r="J235" i="9" s="1"/>
  <c r="D234" i="9"/>
  <c r="H234" i="9" s="1"/>
  <c r="J234" i="9" s="1"/>
  <c r="I93" i="5"/>
  <c r="J93" i="5" s="1"/>
  <c r="I92" i="5"/>
  <c r="J92" i="5" s="1"/>
  <c r="I89" i="5"/>
  <c r="D89" i="5"/>
  <c r="I88" i="5"/>
  <c r="E88" i="5"/>
  <c r="D88" i="5"/>
  <c r="I87" i="5"/>
  <c r="J87" i="5" s="1"/>
  <c r="I86" i="5"/>
  <c r="I90" i="5"/>
  <c r="I85" i="5"/>
  <c r="D86" i="5"/>
  <c r="F33" i="5"/>
  <c r="F32" i="5"/>
  <c r="H190" i="9"/>
  <c r="J190" i="9" s="1"/>
  <c r="H191" i="9"/>
  <c r="J191" i="9" s="1"/>
  <c r="H192" i="9"/>
  <c r="J192" i="9" s="1"/>
  <c r="H193" i="9"/>
  <c r="J193" i="9" s="1"/>
  <c r="D189" i="9"/>
  <c r="H189" i="9" s="1"/>
  <c r="J189" i="9" s="1"/>
  <c r="D177" i="9"/>
  <c r="H177" i="9" s="1"/>
  <c r="J177" i="9" s="1"/>
  <c r="D174" i="9"/>
  <c r="H174" i="9" s="1"/>
  <c r="J174" i="9" s="1"/>
  <c r="D173" i="9"/>
  <c r="H173" i="9" s="1"/>
  <c r="J173" i="9" s="1"/>
  <c r="D164" i="9"/>
  <c r="H164" i="9" s="1"/>
  <c r="J164" i="9" s="1"/>
  <c r="D163" i="9"/>
  <c r="H163" i="9" s="1"/>
  <c r="J163" i="9" s="1"/>
  <c r="D161" i="9"/>
  <c r="H161" i="9" s="1"/>
  <c r="J161" i="9" s="1"/>
  <c r="D160" i="9"/>
  <c r="H160" i="9" s="1"/>
  <c r="J160" i="9" s="1"/>
  <c r="D159" i="9"/>
  <c r="H159" i="9" s="1"/>
  <c r="J159" i="9" s="1"/>
  <c r="D158" i="9"/>
  <c r="H158" i="9" s="1"/>
  <c r="J158" i="9" s="1"/>
  <c r="D157" i="9"/>
  <c r="H157" i="9" s="1"/>
  <c r="J157" i="9" s="1"/>
  <c r="D156" i="9"/>
  <c r="H156" i="9" s="1"/>
  <c r="J156" i="9" s="1"/>
  <c r="D149" i="9"/>
  <c r="H149" i="9" s="1"/>
  <c r="J149" i="9" s="1"/>
  <c r="D148" i="9"/>
  <c r="H148" i="9" s="1"/>
  <c r="J148" i="9" s="1"/>
  <c r="D147" i="9"/>
  <c r="H147" i="9" s="1"/>
  <c r="J147" i="9" s="1"/>
  <c r="D146" i="9"/>
  <c r="H146" i="9" s="1"/>
  <c r="J146" i="9" s="1"/>
  <c r="D145" i="9"/>
  <c r="H145" i="9" s="1"/>
  <c r="J145" i="9" s="1"/>
  <c r="D144" i="9"/>
  <c r="H144" i="9" s="1"/>
  <c r="J144" i="9" s="1"/>
  <c r="D143" i="9"/>
  <c r="H143" i="9" s="1"/>
  <c r="J143" i="9" s="1"/>
  <c r="D142" i="9"/>
  <c r="H142" i="9" s="1"/>
  <c r="J142" i="9" s="1"/>
  <c r="D141" i="9"/>
  <c r="H141" i="9" s="1"/>
  <c r="J141" i="9" s="1"/>
  <c r="D140" i="9"/>
  <c r="H140" i="9" s="1"/>
  <c r="J140" i="9" s="1"/>
  <c r="D139" i="9"/>
  <c r="H139" i="9" s="1"/>
  <c r="J139" i="9" s="1"/>
  <c r="D138" i="9"/>
  <c r="H138" i="9" s="1"/>
  <c r="J138" i="9" s="1"/>
  <c r="D137" i="9"/>
  <c r="H137" i="9" s="1"/>
  <c r="J137" i="9" s="1"/>
  <c r="D136" i="9"/>
  <c r="H136" i="9" s="1"/>
  <c r="J136" i="9" s="1"/>
  <c r="D155" i="9"/>
  <c r="H155" i="9" s="1"/>
  <c r="J155" i="9" s="1"/>
  <c r="D154" i="9"/>
  <c r="H154" i="9" s="1"/>
  <c r="J154" i="9" s="1"/>
  <c r="D153" i="9"/>
  <c r="H153" i="9" s="1"/>
  <c r="J153" i="9" s="1"/>
  <c r="D152" i="9"/>
  <c r="H152" i="9" s="1"/>
  <c r="J152" i="9" s="1"/>
  <c r="D151" i="9"/>
  <c r="H151" i="9" s="1"/>
  <c r="J151" i="9" s="1"/>
  <c r="D150" i="9"/>
  <c r="H150" i="9" s="1"/>
  <c r="J150" i="9" s="1"/>
  <c r="O23" i="9" s="1"/>
  <c r="T23" i="9" s="1"/>
  <c r="H3" i="9"/>
  <c r="J3" i="9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39" i="9"/>
  <c r="J39" i="9" s="1"/>
  <c r="H40" i="9"/>
  <c r="J40" i="9" s="1"/>
  <c r="H41" i="9"/>
  <c r="J41" i="9" s="1"/>
  <c r="H42" i="9"/>
  <c r="J42" i="9" s="1"/>
  <c r="H43" i="9"/>
  <c r="J43" i="9" s="1"/>
  <c r="H44" i="9"/>
  <c r="J44" i="9" s="1"/>
  <c r="H45" i="9"/>
  <c r="J45" i="9" s="1"/>
  <c r="H46" i="9"/>
  <c r="J46" i="9" s="1"/>
  <c r="H47" i="9"/>
  <c r="J47" i="9" s="1"/>
  <c r="H48" i="9"/>
  <c r="J48" i="9" s="1"/>
  <c r="H49" i="9"/>
  <c r="J49" i="9" s="1"/>
  <c r="H50" i="9"/>
  <c r="J50" i="9" s="1"/>
  <c r="H51" i="9"/>
  <c r="J51" i="9" s="1"/>
  <c r="H52" i="9"/>
  <c r="J52" i="9" s="1"/>
  <c r="H53" i="9"/>
  <c r="J53" i="9" s="1"/>
  <c r="H54" i="9"/>
  <c r="J54" i="9" s="1"/>
  <c r="H55" i="9"/>
  <c r="J55" i="9" s="1"/>
  <c r="H56" i="9"/>
  <c r="J56" i="9" s="1"/>
  <c r="H57" i="9"/>
  <c r="J57" i="9" s="1"/>
  <c r="H58" i="9"/>
  <c r="J58" i="9" s="1"/>
  <c r="H59" i="9"/>
  <c r="J59" i="9" s="1"/>
  <c r="H60" i="9"/>
  <c r="J60" i="9" s="1"/>
  <c r="H61" i="9"/>
  <c r="J61" i="9" s="1"/>
  <c r="H62" i="9"/>
  <c r="J62" i="9" s="1"/>
  <c r="H63" i="9"/>
  <c r="J63" i="9" s="1"/>
  <c r="H64" i="9"/>
  <c r="J64" i="9" s="1"/>
  <c r="H65" i="9"/>
  <c r="J65" i="9" s="1"/>
  <c r="H66" i="9"/>
  <c r="J66" i="9" s="1"/>
  <c r="H67" i="9"/>
  <c r="J67" i="9" s="1"/>
  <c r="H68" i="9"/>
  <c r="J68" i="9" s="1"/>
  <c r="H69" i="9"/>
  <c r="J69" i="9" s="1"/>
  <c r="H70" i="9"/>
  <c r="J70" i="9" s="1"/>
  <c r="H71" i="9"/>
  <c r="J71" i="9" s="1"/>
  <c r="H72" i="9"/>
  <c r="J72" i="9" s="1"/>
  <c r="H73" i="9"/>
  <c r="J73" i="9" s="1"/>
  <c r="H74" i="9"/>
  <c r="J74" i="9" s="1"/>
  <c r="H75" i="9"/>
  <c r="J75" i="9" s="1"/>
  <c r="H76" i="9"/>
  <c r="J76" i="9" s="1"/>
  <c r="H77" i="9"/>
  <c r="J77" i="9" s="1"/>
  <c r="H78" i="9"/>
  <c r="J78" i="9" s="1"/>
  <c r="H2" i="9"/>
  <c r="J2" i="9" s="1"/>
  <c r="C24" i="5"/>
  <c r="F24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F22" i="5" s="1"/>
  <c r="C23" i="5"/>
  <c r="F23" i="5" s="1"/>
  <c r="C15" i="5"/>
  <c r="F15" i="5" s="1"/>
  <c r="C6" i="5"/>
  <c r="F6" i="5" s="1"/>
  <c r="C7" i="5"/>
  <c r="F7" i="5" s="1"/>
  <c r="C8" i="5"/>
  <c r="F8" i="5" s="1"/>
  <c r="C5" i="5"/>
  <c r="C70" i="5"/>
  <c r="C71" i="5"/>
  <c r="C72" i="5"/>
  <c r="C73" i="5"/>
  <c r="C74" i="5"/>
  <c r="C75" i="5"/>
  <c r="C76" i="5"/>
  <c r="C77" i="5"/>
  <c r="C78" i="5"/>
  <c r="C79" i="5"/>
  <c r="C69" i="5"/>
  <c r="B70" i="5"/>
  <c r="B71" i="5"/>
  <c r="B72" i="5"/>
  <c r="B73" i="5"/>
  <c r="B74" i="5"/>
  <c r="B75" i="5"/>
  <c r="B76" i="5"/>
  <c r="B77" i="5"/>
  <c r="B78" i="5"/>
  <c r="B79" i="5"/>
  <c r="B69" i="5"/>
  <c r="A70" i="5"/>
  <c r="A71" i="5"/>
  <c r="A72" i="5"/>
  <c r="A73" i="5"/>
  <c r="A74" i="5"/>
  <c r="A75" i="5"/>
  <c r="A76" i="5"/>
  <c r="A77" i="5"/>
  <c r="A78" i="5"/>
  <c r="A79" i="5"/>
  <c r="A69" i="5"/>
  <c r="F47" i="5"/>
  <c r="F52" i="5" s="1"/>
  <c r="F53" i="5"/>
  <c r="C53" i="5"/>
  <c r="C51" i="5"/>
  <c r="C49" i="5"/>
  <c r="C50" i="5"/>
  <c r="C48" i="5"/>
  <c r="C47" i="5"/>
  <c r="D90" i="5" s="1"/>
  <c r="C45" i="5"/>
  <c r="C46" i="5"/>
  <c r="I14" i="1" l="1"/>
  <c r="Q23" i="9"/>
  <c r="C102" i="1" s="1"/>
  <c r="I102" i="1"/>
  <c r="Q19" i="9"/>
  <c r="C98" i="1" s="1"/>
  <c r="I98" i="1"/>
  <c r="Q17" i="9"/>
  <c r="C96" i="1" s="1"/>
  <c r="I96" i="1"/>
  <c r="Q9" i="9"/>
  <c r="C88" i="1" s="1"/>
  <c r="I88" i="1"/>
  <c r="Q5" i="9"/>
  <c r="J195" i="9"/>
  <c r="J194" i="9"/>
  <c r="J205" i="9"/>
  <c r="D85" i="5"/>
  <c r="J85" i="5" s="1"/>
  <c r="J89" i="5"/>
  <c r="F74" i="5"/>
  <c r="O10" i="9"/>
  <c r="T10" i="9" s="1"/>
  <c r="O22" i="9"/>
  <c r="T22" i="9" s="1"/>
  <c r="O21" i="9"/>
  <c r="T21" i="9" s="1"/>
  <c r="O8" i="9"/>
  <c r="T8" i="9" s="1"/>
  <c r="O24" i="9"/>
  <c r="T24" i="9" s="1"/>
  <c r="O3" i="9"/>
  <c r="T3" i="9" s="1"/>
  <c r="O6" i="9"/>
  <c r="O16" i="9"/>
  <c r="T16" i="9" s="1"/>
  <c r="O11" i="9"/>
  <c r="T11" i="9" s="1"/>
  <c r="O12" i="9"/>
  <c r="T12" i="9" s="1"/>
  <c r="O18" i="9"/>
  <c r="T18" i="9" s="1"/>
  <c r="O20" i="9"/>
  <c r="T20" i="9" s="1"/>
  <c r="O7" i="9"/>
  <c r="T7" i="9" s="1"/>
  <c r="O15" i="9"/>
  <c r="T15" i="9" s="1"/>
  <c r="O4" i="9"/>
  <c r="T4" i="9" s="1"/>
  <c r="O14" i="9"/>
  <c r="T14" i="9" s="1"/>
  <c r="O13" i="9"/>
  <c r="T13" i="9" s="1"/>
  <c r="O2" i="9"/>
  <c r="T2" i="9" s="1"/>
  <c r="J88" i="5"/>
  <c r="F78" i="5"/>
  <c r="F70" i="5"/>
  <c r="F73" i="5"/>
  <c r="F34" i="5"/>
  <c r="J86" i="5"/>
  <c r="J90" i="5"/>
  <c r="F69" i="5"/>
  <c r="F72" i="5"/>
  <c r="F71" i="5"/>
  <c r="F54" i="5"/>
  <c r="C62" i="5" s="1"/>
  <c r="F62" i="5" s="1"/>
  <c r="F63" i="5" s="1"/>
  <c r="F26" i="5"/>
  <c r="F77" i="5"/>
  <c r="F5" i="5"/>
  <c r="F9" i="5" s="1"/>
  <c r="F76" i="5"/>
  <c r="F75" i="5"/>
  <c r="F79" i="5"/>
  <c r="C52" i="5"/>
  <c r="C54" i="5" s="1"/>
  <c r="C67" i="5" s="1"/>
  <c r="F67" i="5" s="1"/>
  <c r="C84" i="1" l="1"/>
  <c r="I84" i="1" s="1"/>
  <c r="T5" i="9"/>
  <c r="Q2" i="9"/>
  <c r="C81" i="1" s="1"/>
  <c r="I81" i="1"/>
  <c r="Q13" i="9"/>
  <c r="C92" i="1" s="1"/>
  <c r="I92" i="1"/>
  <c r="Q14" i="9"/>
  <c r="C93" i="1" s="1"/>
  <c r="I93" i="1"/>
  <c r="Q4" i="9"/>
  <c r="C83" i="1" s="1"/>
  <c r="I83" i="1"/>
  <c r="Q15" i="9"/>
  <c r="C94" i="1" s="1"/>
  <c r="I94" i="1"/>
  <c r="Q7" i="9"/>
  <c r="C86" i="1" s="1"/>
  <c r="I86" i="1"/>
  <c r="Q20" i="9"/>
  <c r="C99" i="1" s="1"/>
  <c r="I99" i="1"/>
  <c r="Q18" i="9"/>
  <c r="C97" i="1" s="1"/>
  <c r="I97" i="1"/>
  <c r="Q12" i="9"/>
  <c r="C91" i="1" s="1"/>
  <c r="I91" i="1"/>
  <c r="Q11" i="9"/>
  <c r="C90" i="1" s="1"/>
  <c r="I90" i="1"/>
  <c r="Q16" i="9"/>
  <c r="C95" i="1" s="1"/>
  <c r="I95" i="1"/>
  <c r="Q6" i="9"/>
  <c r="Q3" i="9"/>
  <c r="C82" i="1" s="1"/>
  <c r="I82" i="1"/>
  <c r="Q24" i="9"/>
  <c r="C103" i="1" s="1"/>
  <c r="I103" i="1"/>
  <c r="Q8" i="9"/>
  <c r="C87" i="1" s="1"/>
  <c r="I87" i="1"/>
  <c r="Q21" i="9"/>
  <c r="C100" i="1" s="1"/>
  <c r="I100" i="1"/>
  <c r="Q22" i="9"/>
  <c r="C101" i="1" s="1"/>
  <c r="I101" i="1"/>
  <c r="Q10" i="9"/>
  <c r="C89" i="1" s="1"/>
  <c r="I89" i="1"/>
  <c r="J94" i="5"/>
  <c r="J95" i="5" s="1"/>
  <c r="C58" i="5"/>
  <c r="F58" i="5" s="1"/>
  <c r="F59" i="5" s="1"/>
  <c r="Q25" i="9"/>
  <c r="F80" i="5"/>
  <c r="F81" i="5" s="1"/>
  <c r="C85" i="1" l="1"/>
  <c r="I85" i="1" s="1"/>
  <c r="T6" i="9"/>
  <c r="I80" i="1"/>
  <c r="I79" i="1" s="1"/>
  <c r="I78" i="1" s="1"/>
  <c r="I111" i="1"/>
  <c r="I110" i="1"/>
  <c r="I109" i="1"/>
  <c r="I108" i="1"/>
  <c r="I77" i="1"/>
  <c r="I222" i="1"/>
  <c r="I223" i="1"/>
  <c r="I224" i="1" l="1"/>
  <c r="I225" i="1" l="1"/>
  <c r="I226" i="1" s="1"/>
  <c r="I227" i="1" s="1"/>
  <c r="I228" i="1" s="1"/>
</calcChain>
</file>

<file path=xl/sharedStrings.xml><?xml version="1.0" encoding="utf-8"?>
<sst xmlns="http://schemas.openxmlformats.org/spreadsheetml/2006/main" count="2039" uniqueCount="778">
  <si>
    <t>Concordia University - Gina Cody School of Engineering and Computer Science</t>
  </si>
  <si>
    <t>BCEE 464/BLDG 6851 - Project Cost Estimating</t>
  </si>
  <si>
    <t>Term Project - Fall 2022</t>
  </si>
  <si>
    <t>Annex F - Project Cost Breakdown</t>
  </si>
  <si>
    <r>
      <rPr>
        <b/>
        <sz val="11"/>
        <color rgb="FF505759"/>
        <rFont val="Arial"/>
        <family val="2"/>
      </rPr>
      <t>Instructor:</t>
    </r>
    <r>
      <rPr>
        <sz val="11"/>
        <color rgb="FF505759"/>
        <rFont val="Arial"/>
        <family val="2"/>
      </rPr>
      <t xml:space="preserve"> Mark-Anthony Sagaria, P.Eng., M.Eng., MFin, LL.M.</t>
    </r>
  </si>
  <si>
    <t>Date:</t>
  </si>
  <si>
    <t>Team Member Names &amp; ID:</t>
  </si>
  <si>
    <t>Description</t>
  </si>
  <si>
    <t>Pricing Notes</t>
  </si>
  <si>
    <t>Quantity</t>
  </si>
  <si>
    <t>Pricing Unit</t>
  </si>
  <si>
    <t>Material Cost</t>
  </si>
  <si>
    <t>Labor Cost</t>
  </si>
  <si>
    <t>Equipment Cost</t>
  </si>
  <si>
    <t>Sub Cost</t>
  </si>
  <si>
    <t>Total Cost</t>
  </si>
  <si>
    <t>03 00 00 Concrete</t>
  </si>
  <si>
    <t>03 10 00 Concrete Forming and Accessories</t>
  </si>
  <si>
    <t>03 11 00 Concrete Forming</t>
  </si>
  <si>
    <t xml:space="preserve"> 03 11 13 Formwork</t>
  </si>
  <si>
    <t>Strip Footings</t>
  </si>
  <si>
    <r>
      <rPr>
        <sz val="11"/>
        <color rgb="FF000000"/>
        <rFont val="Arial"/>
        <family val="2"/>
      </rPr>
      <t xml:space="preserve">Price from </t>
    </r>
    <r>
      <rPr>
        <i/>
        <sz val="11"/>
        <color rgb="FF000000"/>
        <rFont val="Arial"/>
        <family val="2"/>
      </rPr>
      <t>"Annex B - Broccolini Pricing Database"</t>
    </r>
  </si>
  <si>
    <t>sfca</t>
  </si>
  <si>
    <t>Piers</t>
  </si>
  <si>
    <t>Foundation Walls Standard</t>
  </si>
  <si>
    <t>Other (Specify)</t>
  </si>
  <si>
    <t>03 20 00 Concrete Reinforcing</t>
  </si>
  <si>
    <t>03 21 00 Reinforcing Steel</t>
  </si>
  <si>
    <t>Reinforcing Steel 10M S/I</t>
  </si>
  <si>
    <r>
      <rPr>
        <sz val="11"/>
        <color rgb="FF000000"/>
        <rFont val="Arial"/>
        <family val="2"/>
      </rPr>
      <t xml:space="preserve">Price from </t>
    </r>
    <r>
      <rPr>
        <i/>
        <sz val="11"/>
        <color rgb="FF000000"/>
        <rFont val="Arial"/>
        <family val="2"/>
      </rPr>
      <t>"Annex C - Reinforcing Steel Rate"</t>
    </r>
  </si>
  <si>
    <t>kg</t>
  </si>
  <si>
    <t>Reinforcing Steel 15M S/I</t>
  </si>
  <si>
    <t>Reinforcing Steel 20M S/I</t>
  </si>
  <si>
    <t>Reinforcing Steel 25M S/I</t>
  </si>
  <si>
    <t>Reinforcing Steel 30M S/I</t>
  </si>
  <si>
    <t>Reinforcing Steel 35M S/I</t>
  </si>
  <si>
    <t>03 30 00 Cast-in-Place Concrete</t>
  </si>
  <si>
    <t>03 31 00 Structural Concrete</t>
  </si>
  <si>
    <t>03 31 00 Concrete Supply</t>
  </si>
  <si>
    <t>25 MPA - Footing</t>
  </si>
  <si>
    <t>Material cost is based from Subtrade #2 from Concrete Tender Analysis. No marked-up added. Footing, continous, shallow, pumped - 03310570</t>
  </si>
  <si>
    <t>m3</t>
  </si>
  <si>
    <t>25 MPA - Foundation Walls</t>
  </si>
  <si>
    <t>Material cost is based from Subtrade #2 from Concrete Tender Analysis. No marked-up added. Walls 200mm thk, direct chute - 03310570</t>
  </si>
  <si>
    <t>25 MPA - Interior Augured Footings</t>
  </si>
  <si>
    <t>Material cost is based from Subtrade #2 from Concrete Tender Analysis. No marked-up added. deep continous footing, shallow, pumped - 03310570</t>
  </si>
  <si>
    <t xml:space="preserve">25 MPA - Slabs </t>
  </si>
  <si>
    <t>Material cost is based from Subtrade #2 from Concrete Tender Analysis. No marked-up added. Slabs of Grade, over 150mm thk, direct chute, pumped - 03310570</t>
  </si>
  <si>
    <t>25 MPA with air - Perimeter Augured Footings</t>
  </si>
  <si>
    <t>25 MPA with air - Foundation Walls</t>
  </si>
  <si>
    <t>25 MPA with air - Trench Footing</t>
  </si>
  <si>
    <t>25 MPA with air - Piers</t>
  </si>
  <si>
    <t xml:space="preserve">Material cost is based from Subtrade #2 from Concrete Tender Analysis. No marked-up added. </t>
  </si>
  <si>
    <t>Environmental Cost, Fuel Surcharge &amp; Carbon Tax</t>
  </si>
  <si>
    <t>Steel Fibres 15kg/m3</t>
  </si>
  <si>
    <t>Material cost is based from Subtrade #2 from Concrete Tender Analysis. No marked-up added. Labor and equipment cost included in concrete.</t>
  </si>
  <si>
    <t>High Range Super Plasticizer (Required with Steel Fibres)</t>
  </si>
  <si>
    <t>03 35 00 Concrete Finishing</t>
  </si>
  <si>
    <t>Floor Hardener Traprock 60lbs/100sf</t>
  </si>
  <si>
    <t>sf</t>
  </si>
  <si>
    <t>Pour / Finish 6" Slab on Grade</t>
  </si>
  <si>
    <t>Sawcuts @ slab on grade</t>
  </si>
  <si>
    <t>lf</t>
  </si>
  <si>
    <t>Wet Cure Slab on Grade &gt; film</t>
  </si>
  <si>
    <t>03 40 00 Precast Concrete</t>
  </si>
  <si>
    <t>03 45 00 Precast Architectural Concrete</t>
  </si>
  <si>
    <t>03 45 13 Faced Architectural Precast Concrete</t>
  </si>
  <si>
    <t>Insulated Precast Concrete Panel System</t>
  </si>
  <si>
    <t>04 00 00 Masonry</t>
  </si>
  <si>
    <t>04 20 00 Unit Masonry</t>
  </si>
  <si>
    <t>04 22 00 Concrete Unit Masonry</t>
  </si>
  <si>
    <t>04 22 00 Masonry</t>
  </si>
  <si>
    <t>Fire-rated CMU Block 190mm - 2 hrs</t>
  </si>
  <si>
    <t>Assume Reg, hollow, alternated reinforced, 8" thick-042210280300</t>
  </si>
  <si>
    <t>05 00 00 Metals</t>
  </si>
  <si>
    <t>05 10 00 Structural Metal Framing</t>
  </si>
  <si>
    <t>05 12 00 Structural Steel Framing</t>
  </si>
  <si>
    <t>05 12 00 Structural Steel</t>
  </si>
  <si>
    <t>Column HSS 254x254x10</t>
  </si>
  <si>
    <t>See Appendix for conversion process from RSmeans to kg</t>
  </si>
  <si>
    <t>Column HSS 254x254x13</t>
  </si>
  <si>
    <t>Column HSS 305x305x10</t>
  </si>
  <si>
    <t>Continuous Angle L127x76x10</t>
  </si>
  <si>
    <t>Bracing Angles L76x76x6</t>
  </si>
  <si>
    <t>Girts HSS 203x203x6</t>
  </si>
  <si>
    <t>Girts HSS 203x203x10</t>
  </si>
  <si>
    <t>Girts HSS 203x203x13</t>
  </si>
  <si>
    <t>Girts W360x33</t>
  </si>
  <si>
    <t>X Bracing HSS 203x203x6</t>
  </si>
  <si>
    <t>X Bracing HSS 254x254x13</t>
  </si>
  <si>
    <t>Beam W200x27</t>
  </si>
  <si>
    <t>Beam W250x33</t>
  </si>
  <si>
    <t>Beam W360x33</t>
  </si>
  <si>
    <t>Beam W410x39</t>
  </si>
  <si>
    <t>Beam W410x46</t>
  </si>
  <si>
    <t>Beam W460x52</t>
  </si>
  <si>
    <t>Beam W460x60</t>
  </si>
  <si>
    <t>Beam W760x134</t>
  </si>
  <si>
    <t>Beam W840x176</t>
  </si>
  <si>
    <t>Beam W920x201</t>
  </si>
  <si>
    <t>Beam W920x238</t>
  </si>
  <si>
    <t>OWSJ 900mm</t>
  </si>
  <si>
    <t>ALLOWANCE - Base plates, gusset plates, connections, bolts, etc. (2% of total structural steel weight)</t>
  </si>
  <si>
    <t>RSmeans Industrial building, 1 storey - 051233.77</t>
  </si>
  <si>
    <t>05 30 00 Metal Decking</t>
  </si>
  <si>
    <t>05 31 00 Steel Decking</t>
  </si>
  <si>
    <t>05 31 23 Steel Decking</t>
  </si>
  <si>
    <t>Metal Roof Deck @ Main Roof</t>
  </si>
  <si>
    <t>Open tupe, 1-1/2 deep, Type B, wide rib, galv. 16 gauge, Over 500 squares-053123503100</t>
  </si>
  <si>
    <t>Metal Roof Deck @ Entrance Canopies</t>
  </si>
  <si>
    <t>06 00 00 Wood, Plastics, and Composites</t>
  </si>
  <si>
    <t>06 10 00 Rough Carpentry</t>
  </si>
  <si>
    <t>06 11 00 Wood Framing</t>
  </si>
  <si>
    <t>06 11 10 Blocking</t>
  </si>
  <si>
    <t>2' x 10' x 12' @ Parapet</t>
  </si>
  <si>
    <t>Miscellaneous to steel construction 2" x 10" - 061110.02 Blocking</t>
  </si>
  <si>
    <t>07 00 00 Thermal and Moisture Protection</t>
  </si>
  <si>
    <t>07 40 00 Roofing and Siding Panels</t>
  </si>
  <si>
    <t>07 42 13 Metal Wall Panels</t>
  </si>
  <si>
    <t>07 42 13.20 Aluminum Siding Panels</t>
  </si>
  <si>
    <t>Aluminum Composite Panel Alucobond System SL2000 - Color Red @ Canopy</t>
  </si>
  <si>
    <t>Aluminum siding, industrial type, corrugated, on steel frame, painted, 0.24" thick- 074213200900</t>
  </si>
  <si>
    <t>Aluminum Soffits Alucobond System SL2000 - Color Red @ Canopy</t>
  </si>
  <si>
    <t>07 42 13.30 Steel Siding</t>
  </si>
  <si>
    <t>Insulated Metal Panels (Type W2) - Grey</t>
  </si>
  <si>
    <t>Factory sandwich panel, 26ga., 1" insulation, colored 2 sides-074213301500</t>
  </si>
  <si>
    <t>Insulated Metal Panels (Type W2) - White</t>
  </si>
  <si>
    <t>07 50 00 Membrane Roofing</t>
  </si>
  <si>
    <t>07 51 00 Built-Up Bituminous Roofing</t>
  </si>
  <si>
    <t>07 51 13.20 Built-Up Roofing Systems</t>
  </si>
  <si>
    <t>Roof R1 (Bldg) - 4 ply built up roofing over R30 rigid insulation over vapor retarder - Note 301/A3.2</t>
  </si>
  <si>
    <t>Asphalt flood coat, smooth surface, 4 plies, #15 asphalt, mopped-075113200500</t>
  </si>
  <si>
    <t>Roof R2 (Canopy) - Single ply membrane flashing</t>
  </si>
  <si>
    <t>Assume Asphalt flood coat, smooth surface, 4 plies, #15 asphalt, mopped-075113200500</t>
  </si>
  <si>
    <t>07 65 00 Flexible Flashing</t>
  </si>
  <si>
    <t>07 65 10 Sheet Metal Flashing</t>
  </si>
  <si>
    <t>Metal cap flashing w/ cont. metal starter strip @ IMP Parapet</t>
  </si>
  <si>
    <t>Assume galvanized steel, 20ga.-076510109320</t>
  </si>
  <si>
    <t>Metal cap flashing w/ cont. metal starter strip @ Parapet Precast</t>
  </si>
  <si>
    <t>08 00 00 Openings</t>
  </si>
  <si>
    <t>08 10 00 Doors and Frames</t>
  </si>
  <si>
    <t>08 11 00 &amp; 08 13 00 Metal Doors and Frames</t>
  </si>
  <si>
    <t>08 11 13 &amp; 08 13 13 Metal Doors and Frames</t>
  </si>
  <si>
    <t>Hollow Metal Door - 3-2 x 7-0</t>
  </si>
  <si>
    <t xml:space="preserve">Hollow metal door for commercial use, 1-3/8" thick 20ga., 3'x7'-081313130100 </t>
  </si>
  <si>
    <t>ea</t>
  </si>
  <si>
    <t>Hollow Metal Frame - 3-2 x 7-0</t>
  </si>
  <si>
    <t>Hollow metal frame, 16ga., up to 5-3/4" deep, 3'x7'-081213130100</t>
  </si>
  <si>
    <t>08 30 00 Specialty Doors and Frames</t>
  </si>
  <si>
    <t>08 33 00 Coiling Doors and Grilles</t>
  </si>
  <si>
    <t>08 33 23 Sectional Overhead Coiling Doors</t>
  </si>
  <si>
    <t>Overhead Door 12 x 14' Type SD2</t>
  </si>
  <si>
    <t xml:space="preserve">Steel Rolling door, 20 ga., 14'x14' high, incl. hardware-083323100500 </t>
  </si>
  <si>
    <t>Overhead Door 9 x 10' Type SD1</t>
  </si>
  <si>
    <t xml:space="preserve">Steel Rolling door, 20 ga., 10'x10' high, incl. hardware-083323100100 </t>
  </si>
  <si>
    <t>08 40 00 Entrances, Storefronts, and Curtain Walls</t>
  </si>
  <si>
    <t>08 42 00 Entrances</t>
  </si>
  <si>
    <t>08 42 26 All-Glass Entrances</t>
  </si>
  <si>
    <t>Aluminum Entrance Door (Double Door) w/ Tempered Glazing &amp; Hardware</t>
  </si>
  <si>
    <t>Glass door, tempered, 1/2" thick, 3'x7' opening, incl. hardware-084226100020</t>
  </si>
  <si>
    <t>08 44 00 Curtain Wall and Glazed Assemblies</t>
  </si>
  <si>
    <t>08 44 13 Glazed Aluminum Curtain Walls</t>
  </si>
  <si>
    <t>Alum Curtain Wall 1" Insulated Tempered Glass - Vision &amp; Spandrel Panels</t>
  </si>
  <si>
    <t>Assume double glazed-084413100150</t>
  </si>
  <si>
    <t>08 70 00 Hardware</t>
  </si>
  <si>
    <t>08 71 00 Door Hardware</t>
  </si>
  <si>
    <t>08 71 20 Hardware</t>
  </si>
  <si>
    <t>Hinges Per Door</t>
  </si>
  <si>
    <t>Assume half surface, half mortise, or full surface, average frequency 5"x5"- 087120900100</t>
  </si>
  <si>
    <t>Door Stop W1276 CCS</t>
  </si>
  <si>
    <t>Assume floor or wall mounted-087120500020</t>
  </si>
  <si>
    <t>Threshold 200D</t>
  </si>
  <si>
    <t>Assume rubber 5-1/2"-087120650700</t>
  </si>
  <si>
    <t>Standard Door Closer - 8581 BF</t>
  </si>
  <si>
    <t>Assume adjustable backcheck, 3 way mount, non sized, hold open arm-087120300240</t>
  </si>
  <si>
    <t>Door Shoe 216DV</t>
  </si>
  <si>
    <t>Assume as mechanical seal weatherstripping-087125101100</t>
  </si>
  <si>
    <t>Door Seals S88</t>
  </si>
  <si>
    <t>Assume as aluminum door sweep threshold weatherstripping-087125103650</t>
  </si>
  <si>
    <t>Latch Guard LP2</t>
  </si>
  <si>
    <t>Assume  as a dead lock night latch-087120411200</t>
  </si>
  <si>
    <t>09 00 00 Finishes</t>
  </si>
  <si>
    <t>09 20 00 Plaster and Gypsum Board</t>
  </si>
  <si>
    <t>09 21 00 Plaster and Gypsum Board Assemblies</t>
  </si>
  <si>
    <t>09 21 16 Gypsum Board Assemblies</t>
  </si>
  <si>
    <t>Drywall Partition type P2 - 2hr separation</t>
  </si>
  <si>
    <t>2 layer, 2hour, both side, 3-5/8" wide, 24" O.C., 8' to 12' high, gypsum drywall-092116336800</t>
  </si>
  <si>
    <t>09 90 00 Painting and Coating</t>
  </si>
  <si>
    <t>09 91 00 Painting</t>
  </si>
  <si>
    <t>09 91 23 Interior Painting</t>
  </si>
  <si>
    <t>Paint Door &amp; Frame 2 coats - Single door</t>
  </si>
  <si>
    <t>2 coat paint, both side-099123350190</t>
  </si>
  <si>
    <t>Drywall Paint 2 coats @ P2 wall type (both sides)</t>
  </si>
  <si>
    <t>2 coat paint, smooth finish-099123720800</t>
  </si>
  <si>
    <t>11 00 00 Equipment</t>
  </si>
  <si>
    <t>11 10 00 Vehicle and Pedestrian Equipment</t>
  </si>
  <si>
    <t>11 13 00 Loading Dock Equipment</t>
  </si>
  <si>
    <t>11 13 19 Stationary Loading Dock Equipment</t>
  </si>
  <si>
    <t>Loading Dock Equipment - hydraulic</t>
  </si>
  <si>
    <t>Price based on RS Means 2011 online free trial version;
111319 - Hydraulic, 9.1 metric capacity, 2134mm x 2438mm</t>
  </si>
  <si>
    <t>SUBTOTAL 1: DIRECT COSTS</t>
  </si>
  <si>
    <t>General Conditions (4.5%)</t>
  </si>
  <si>
    <t>SUBTOTAL 2</t>
  </si>
  <si>
    <t>Construction Contingency (3%)</t>
  </si>
  <si>
    <t>SUBTOTAL 3</t>
  </si>
  <si>
    <t>Fee (5%)</t>
  </si>
  <si>
    <t>GRAND TOTAL</t>
  </si>
  <si>
    <t>Code</t>
  </si>
  <si>
    <t>Unit</t>
  </si>
  <si>
    <t># of Element</t>
  </si>
  <si>
    <t>Length</t>
  </si>
  <si>
    <t>Width</t>
  </si>
  <si>
    <t>Depth</t>
  </si>
  <si>
    <t>03 11 00</t>
  </si>
  <si>
    <t>Concrete Forming</t>
  </si>
  <si>
    <t>03 11 13</t>
  </si>
  <si>
    <t>Formwork</t>
  </si>
  <si>
    <t>Strip Footing</t>
  </si>
  <si>
    <t>Outer Perimeter 
[2 x (5406+400) + 6959 + 4166 + (5 x 200)]/1000 = 23.737m</t>
  </si>
  <si>
    <t>Interior Permeter
= [4 x (5406 - 200) + 4166 – 400 + 6959 - 400] / 1000 = 31.149m</t>
  </si>
  <si>
    <t>P1</t>
  </si>
  <si>
    <t>P2</t>
  </si>
  <si>
    <t>Foundation Wall Standard</t>
  </si>
  <si>
    <t>West Elevation-Interior Perimeter</t>
  </si>
  <si>
    <t>1.900.40</t>
  </si>
  <si>
    <t>West Elevation-Outer Perimeter</t>
  </si>
  <si>
    <t>North, South and East Elevation-
Interior Perimeter</t>
  </si>
  <si>
    <t>North, South and East Elevation-
Outer Perimeter</t>
  </si>
  <si>
    <t>03 45 13</t>
  </si>
  <si>
    <t>Faced Architectural Precast Concrete</t>
  </si>
  <si>
    <t>Mark</t>
  </si>
  <si>
    <t>Section</t>
  </si>
  <si>
    <t>Type</t>
  </si>
  <si>
    <t>T.O.S.</t>
  </si>
  <si>
    <t>B.O.P.</t>
  </si>
  <si>
    <t>Column 1</t>
  </si>
  <si>
    <t>Column 2</t>
  </si>
  <si>
    <t>Qty</t>
  </si>
  <si>
    <t>Dwg No.</t>
  </si>
  <si>
    <t>Section Size</t>
  </si>
  <si>
    <t>Length (m)</t>
  </si>
  <si>
    <t>Unit Weight (kg/m)</t>
  </si>
  <si>
    <t>Total Weight (kg)</t>
  </si>
  <si>
    <t>RSmeans Description</t>
  </si>
  <si>
    <t>RSmeans Code</t>
  </si>
  <si>
    <t>Equip Cost</t>
  </si>
  <si>
    <t>New Material Cost</t>
  </si>
  <si>
    <t>New Labor Cost</t>
  </si>
  <si>
    <t>New Equipment Cost</t>
  </si>
  <si>
    <t>4C8</t>
  </si>
  <si>
    <t>Column</t>
  </si>
  <si>
    <t>S1</t>
  </si>
  <si>
    <t>Struct tubing 250x250</t>
  </si>
  <si>
    <t>051223.13</t>
  </si>
  <si>
    <t>4C10</t>
  </si>
  <si>
    <t>4C11</t>
  </si>
  <si>
    <t>4C16</t>
  </si>
  <si>
    <t>Angle framing, 100 or larger</t>
  </si>
  <si>
    <t>4C19</t>
  </si>
  <si>
    <t>Angle framing less than 100</t>
  </si>
  <si>
    <t>4C17</t>
  </si>
  <si>
    <t>Struct tubing 200x200</t>
  </si>
  <si>
    <t>4C9</t>
  </si>
  <si>
    <t>4C12</t>
  </si>
  <si>
    <t>4C13</t>
  </si>
  <si>
    <t>W 250 x 33</t>
  </si>
  <si>
    <t>051223.75</t>
  </si>
  <si>
    <t>m</t>
  </si>
  <si>
    <t>4C18</t>
  </si>
  <si>
    <t>4C14</t>
  </si>
  <si>
    <t>2C12</t>
  </si>
  <si>
    <t>W 300 x 31</t>
  </si>
  <si>
    <t>2C9</t>
  </si>
  <si>
    <t>2C7</t>
  </si>
  <si>
    <t>2C13</t>
  </si>
  <si>
    <t>W 410 x 39</t>
  </si>
  <si>
    <t>2C16</t>
  </si>
  <si>
    <t>W 410 x 46</t>
  </si>
  <si>
    <t>2C5</t>
  </si>
  <si>
    <t>W 460 x 52</t>
  </si>
  <si>
    <t>2C10</t>
  </si>
  <si>
    <t>W 460 x 60</t>
  </si>
  <si>
    <t>2C14</t>
  </si>
  <si>
    <t>W 760 x 147</t>
  </si>
  <si>
    <t>2C11</t>
  </si>
  <si>
    <t>W 840 x 176</t>
  </si>
  <si>
    <t>2C15</t>
  </si>
  <si>
    <t>W 920 x 201</t>
  </si>
  <si>
    <t>1C19</t>
  </si>
  <si>
    <t>W 920 x 253</t>
  </si>
  <si>
    <t>1C8</t>
  </si>
  <si>
    <t>30K12</t>
  </si>
  <si>
    <t>0512119.12</t>
  </si>
  <si>
    <t>1C10</t>
  </si>
  <si>
    <t>1C17</t>
  </si>
  <si>
    <t>1C16</t>
  </si>
  <si>
    <t>1C9</t>
  </si>
  <si>
    <t>1C11</t>
  </si>
  <si>
    <t>1C18</t>
  </si>
  <si>
    <t>1C12</t>
  </si>
  <si>
    <t>1C6</t>
  </si>
  <si>
    <t>1C13</t>
  </si>
  <si>
    <t>1C14</t>
  </si>
  <si>
    <t>1C7</t>
  </si>
  <si>
    <t>1C15</t>
  </si>
  <si>
    <t>3C7</t>
  </si>
  <si>
    <t>3C11</t>
  </si>
  <si>
    <t>3C10</t>
  </si>
  <si>
    <t>3C9</t>
  </si>
  <si>
    <t>3C8</t>
  </si>
  <si>
    <t>3C2</t>
  </si>
  <si>
    <t>3C4</t>
  </si>
  <si>
    <t>3C5</t>
  </si>
  <si>
    <t>3C3</t>
  </si>
  <si>
    <t>3C6</t>
  </si>
  <si>
    <t>4C4</t>
  </si>
  <si>
    <t>4C3</t>
  </si>
  <si>
    <t>4C5</t>
  </si>
  <si>
    <t>4C6</t>
  </si>
  <si>
    <t>4C7</t>
  </si>
  <si>
    <t>4C15</t>
  </si>
  <si>
    <t>3C1</t>
  </si>
  <si>
    <t>3C12</t>
  </si>
  <si>
    <t>4C2</t>
  </si>
  <si>
    <t>4C1</t>
  </si>
  <si>
    <t>1C5</t>
  </si>
  <si>
    <t>1C4</t>
  </si>
  <si>
    <t>1C3</t>
  </si>
  <si>
    <t>2C8</t>
  </si>
  <si>
    <t>2C3</t>
  </si>
  <si>
    <t>2C4</t>
  </si>
  <si>
    <t>1C2</t>
  </si>
  <si>
    <t>1C1</t>
  </si>
  <si>
    <t>1C20</t>
  </si>
  <si>
    <t>2C2</t>
  </si>
  <si>
    <t>2C1</t>
  </si>
  <si>
    <t>2C6</t>
  </si>
  <si>
    <t>3B14</t>
  </si>
  <si>
    <t>Beam</t>
  </si>
  <si>
    <t>W/ CA</t>
  </si>
  <si>
    <t>3B15</t>
  </si>
  <si>
    <t>3B12</t>
  </si>
  <si>
    <t>3B13</t>
  </si>
  <si>
    <t>4B20</t>
  </si>
  <si>
    <t>4B21</t>
  </si>
  <si>
    <t>4B23</t>
  </si>
  <si>
    <t>4B22</t>
  </si>
  <si>
    <t>4B8</t>
  </si>
  <si>
    <t>4B3</t>
  </si>
  <si>
    <t>4B18</t>
  </si>
  <si>
    <t>4B16</t>
  </si>
  <si>
    <t>4B17</t>
  </si>
  <si>
    <t>4B19</t>
  </si>
  <si>
    <t>4B2</t>
  </si>
  <si>
    <t>4B7</t>
  </si>
  <si>
    <t>4B6</t>
  </si>
  <si>
    <t>4B5</t>
  </si>
  <si>
    <t>4B1</t>
  </si>
  <si>
    <t>4B4</t>
  </si>
  <si>
    <t>4B9</t>
  </si>
  <si>
    <t>2B20</t>
  </si>
  <si>
    <t>2B19</t>
  </si>
  <si>
    <t>2B17</t>
  </si>
  <si>
    <t>2B18</t>
  </si>
  <si>
    <t>2B16</t>
  </si>
  <si>
    <t>2B11</t>
  </si>
  <si>
    <t>2B15</t>
  </si>
  <si>
    <t>2B13</t>
  </si>
  <si>
    <t>2B12</t>
  </si>
  <si>
    <t>2B14</t>
  </si>
  <si>
    <t>1B7</t>
  </si>
  <si>
    <t>1B6</t>
  </si>
  <si>
    <t>1B9</t>
  </si>
  <si>
    <t>1B11</t>
  </si>
  <si>
    <t>1B10</t>
  </si>
  <si>
    <t>1B4</t>
  </si>
  <si>
    <t>1B3</t>
  </si>
  <si>
    <t>1B5</t>
  </si>
  <si>
    <t>1B1</t>
  </si>
  <si>
    <t>1B2</t>
  </si>
  <si>
    <t>3B16</t>
  </si>
  <si>
    <t>3B3</t>
  </si>
  <si>
    <t>3B4</t>
  </si>
  <si>
    <t>3B2</t>
  </si>
  <si>
    <t>3B5</t>
  </si>
  <si>
    <t>3B1</t>
  </si>
  <si>
    <t>3B8</t>
  </si>
  <si>
    <t>3B6</t>
  </si>
  <si>
    <t>3B7</t>
  </si>
  <si>
    <t>4B12</t>
  </si>
  <si>
    <t>4B10</t>
  </si>
  <si>
    <t>4B11</t>
  </si>
  <si>
    <t>3B10</t>
  </si>
  <si>
    <t>3B9</t>
  </si>
  <si>
    <t>3B11</t>
  </si>
  <si>
    <t>4B14</t>
  </si>
  <si>
    <t>4B13</t>
  </si>
  <si>
    <t>4B15</t>
  </si>
  <si>
    <t>1B17</t>
  </si>
  <si>
    <t>1B15</t>
  </si>
  <si>
    <t>1B18</t>
  </si>
  <si>
    <t>1B16</t>
  </si>
  <si>
    <t>2B5</t>
  </si>
  <si>
    <t>2B6</t>
  </si>
  <si>
    <t>2B4</t>
  </si>
  <si>
    <t>1B14</t>
  </si>
  <si>
    <t>1B12</t>
  </si>
  <si>
    <t>1B13</t>
  </si>
  <si>
    <t>2B3</t>
  </si>
  <si>
    <t>2B2</t>
  </si>
  <si>
    <t>2B1</t>
  </si>
  <si>
    <t>3M1</t>
  </si>
  <si>
    <t>3M2</t>
  </si>
  <si>
    <t>4M8</t>
  </si>
  <si>
    <t>4M16</t>
  </si>
  <si>
    <t>1B27</t>
  </si>
  <si>
    <t>1B29</t>
  </si>
  <si>
    <t>1B30</t>
  </si>
  <si>
    <t>1B28</t>
  </si>
  <si>
    <t>1B26</t>
  </si>
  <si>
    <t>1B25</t>
  </si>
  <si>
    <t>1B32</t>
  </si>
  <si>
    <t>1B31</t>
  </si>
  <si>
    <t>MC1</t>
  </si>
  <si>
    <t>1B24</t>
  </si>
  <si>
    <t>PM2</t>
  </si>
  <si>
    <t>4B25</t>
  </si>
  <si>
    <t>4B26</t>
  </si>
  <si>
    <t>4B28</t>
  </si>
  <si>
    <t>4B31</t>
  </si>
  <si>
    <t>4B30</t>
  </si>
  <si>
    <t>4B24</t>
  </si>
  <si>
    <t>4B32</t>
  </si>
  <si>
    <t>4B29</t>
  </si>
  <si>
    <t>4B33</t>
  </si>
  <si>
    <t>4B27</t>
  </si>
  <si>
    <t>3RF1</t>
  </si>
  <si>
    <t>Joist</t>
  </si>
  <si>
    <t>4RF1</t>
  </si>
  <si>
    <t>4RF2</t>
  </si>
  <si>
    <t>4RF3</t>
  </si>
  <si>
    <t>OWSJ</t>
  </si>
  <si>
    <t>OSWJ</t>
  </si>
  <si>
    <t>1HG2</t>
  </si>
  <si>
    <t>Girts</t>
  </si>
  <si>
    <t>1HG1</t>
  </si>
  <si>
    <t>1HG4</t>
  </si>
  <si>
    <t>1HG3</t>
  </si>
  <si>
    <t>2D4</t>
  </si>
  <si>
    <t>V Bracing</t>
  </si>
  <si>
    <t>2D5</t>
  </si>
  <si>
    <t>2D6</t>
  </si>
  <si>
    <t>2D1</t>
  </si>
  <si>
    <t>2D3</t>
  </si>
  <si>
    <t>2D8</t>
  </si>
  <si>
    <t>2D7</t>
  </si>
  <si>
    <t>2D2</t>
  </si>
  <si>
    <t>4HG7</t>
  </si>
  <si>
    <t>4HG10</t>
  </si>
  <si>
    <t>4HG8</t>
  </si>
  <si>
    <t>4H69</t>
  </si>
  <si>
    <t>4D2</t>
  </si>
  <si>
    <t>3D9</t>
  </si>
  <si>
    <t>4HG1</t>
  </si>
  <si>
    <t>4HG3</t>
  </si>
  <si>
    <t>4HG4</t>
  </si>
  <si>
    <t>4HG2</t>
  </si>
  <si>
    <t>4HG5</t>
  </si>
  <si>
    <t>4D3</t>
  </si>
  <si>
    <t>4D1</t>
  </si>
  <si>
    <t>4HG6</t>
  </si>
  <si>
    <t>3D8</t>
  </si>
  <si>
    <t>3D4</t>
  </si>
  <si>
    <t>3D1</t>
  </si>
  <si>
    <t>3D7</t>
  </si>
  <si>
    <t>3D6</t>
  </si>
  <si>
    <t>3D2</t>
  </si>
  <si>
    <t>3D3</t>
  </si>
  <si>
    <t>3D5</t>
  </si>
  <si>
    <t>2B9</t>
  </si>
  <si>
    <t>2B7</t>
  </si>
  <si>
    <t>2B8</t>
  </si>
  <si>
    <t>2B10</t>
  </si>
  <si>
    <t>1B19</t>
  </si>
  <si>
    <t>1B20</t>
  </si>
  <si>
    <t>1B21</t>
  </si>
  <si>
    <t>1B22</t>
  </si>
  <si>
    <t>1B23</t>
  </si>
  <si>
    <t>1M15</t>
  </si>
  <si>
    <t xml:space="preserve">H Bracing </t>
  </si>
  <si>
    <t>1M5</t>
  </si>
  <si>
    <t>1M3</t>
  </si>
  <si>
    <t>1M14</t>
  </si>
  <si>
    <t>1M12</t>
  </si>
  <si>
    <t>2M6</t>
  </si>
  <si>
    <t>2M9</t>
  </si>
  <si>
    <t>2M1</t>
  </si>
  <si>
    <t>2M7</t>
  </si>
  <si>
    <t>2M4</t>
  </si>
  <si>
    <t>2M2</t>
  </si>
  <si>
    <t>2M10</t>
  </si>
  <si>
    <t>2M8</t>
  </si>
  <si>
    <t>2M3</t>
  </si>
  <si>
    <t>4M2</t>
  </si>
  <si>
    <t>4M13</t>
  </si>
  <si>
    <t>4M10</t>
  </si>
  <si>
    <t>4M11</t>
  </si>
  <si>
    <t>4M7</t>
  </si>
  <si>
    <t>4M4</t>
  </si>
  <si>
    <t>4M6</t>
  </si>
  <si>
    <t>4M1</t>
  </si>
  <si>
    <t>4M9</t>
  </si>
  <si>
    <t>4M5</t>
  </si>
  <si>
    <t>4M15</t>
  </si>
  <si>
    <t>4M12</t>
  </si>
  <si>
    <t>4M3</t>
  </si>
  <si>
    <t>4M14</t>
  </si>
  <si>
    <t>4M17</t>
  </si>
  <si>
    <t>PM1</t>
  </si>
  <si>
    <t>Cont. Angle</t>
  </si>
  <si>
    <t>Calculation</t>
  </si>
  <si>
    <t>Items</t>
  </si>
  <si>
    <t>Unit Rate</t>
  </si>
  <si>
    <r>
      <t xml:space="preserve">To be priced from </t>
    </r>
    <r>
      <rPr>
        <i/>
        <sz val="11"/>
        <color theme="1"/>
        <rFont val="Arial"/>
        <family val="2"/>
      </rPr>
      <t xml:space="preserve">"Annex D - Concrete Supply Rates" </t>
    </r>
    <r>
      <rPr>
        <sz val="11"/>
        <color theme="1"/>
        <rFont val="Arial"/>
        <family val="2"/>
      </rPr>
      <t>in parallel with</t>
    </r>
    <r>
      <rPr>
        <i/>
        <sz val="11"/>
        <color theme="1"/>
        <rFont val="Arial"/>
        <family val="2"/>
      </rPr>
      <t xml:space="preserve"> "Annex E - Concrete Tender Analysis"</t>
    </r>
  </si>
  <si>
    <t>25MPa Concrete in Footing</t>
  </si>
  <si>
    <t>Footing Dimension (mm)</t>
  </si>
  <si>
    <t>NOS</t>
  </si>
  <si>
    <t>Total Vol. (m3)</t>
  </si>
  <si>
    <t>Drawing No.</t>
  </si>
  <si>
    <t>25MPa Concrete in Foundation</t>
  </si>
  <si>
    <t>MARK</t>
  </si>
  <si>
    <t>Diameter</t>
  </si>
  <si>
    <t>Area(mm2)</t>
  </si>
  <si>
    <t>25MPa Concrete in SOG</t>
  </si>
  <si>
    <t>F1</t>
  </si>
  <si>
    <t>S3.1</t>
  </si>
  <si>
    <t>F2</t>
  </si>
  <si>
    <t>F3</t>
  </si>
  <si>
    <t>F4</t>
  </si>
  <si>
    <t> </t>
  </si>
  <si>
    <t>Total Volume</t>
  </si>
  <si>
    <t>TOTAL</t>
  </si>
  <si>
    <t>Total Volume of Concrete + 10% for waste factor</t>
  </si>
  <si>
    <t>F1(a)</t>
  </si>
  <si>
    <t>S2.2</t>
  </si>
  <si>
    <t>F1(B)</t>
  </si>
  <si>
    <t>F3(a)</t>
  </si>
  <si>
    <r>
      <t xml:space="preserve">Notes: Exterior Concrete </t>
    </r>
    <r>
      <rPr>
        <sz val="11"/>
        <color rgb="FFFF0000"/>
        <rFont val="Calibri"/>
        <family val="2"/>
        <scheme val="minor"/>
      </rPr>
      <t>(with air)</t>
    </r>
  </si>
  <si>
    <t>F5</t>
  </si>
  <si>
    <t>F6</t>
  </si>
  <si>
    <t>F7</t>
  </si>
  <si>
    <t>F8</t>
  </si>
  <si>
    <t>Pier Dimensions (mm)</t>
  </si>
  <si>
    <t>L</t>
  </si>
  <si>
    <t>W</t>
  </si>
  <si>
    <t>H</t>
  </si>
  <si>
    <t>PEDESTAL</t>
  </si>
  <si>
    <t>PIER1</t>
  </si>
  <si>
    <t>PIER2</t>
  </si>
  <si>
    <t>Total Volume of Concrete + 3% for waste factor</t>
  </si>
  <si>
    <t>Exterior</t>
  </si>
  <si>
    <t>Interior</t>
  </si>
  <si>
    <t>Grid</t>
  </si>
  <si>
    <t>Ext. Wall Length</t>
  </si>
  <si>
    <t>Int. Wall Length</t>
  </si>
  <si>
    <t>North Wall</t>
  </si>
  <si>
    <t>Along Grid A</t>
  </si>
  <si>
    <t>Sprinkler/Elect</t>
  </si>
  <si>
    <t>South Wall</t>
  </si>
  <si>
    <t>Along Grid J</t>
  </si>
  <si>
    <t>East Wall</t>
  </si>
  <si>
    <t>Along Grid 6</t>
  </si>
  <si>
    <t xml:space="preserve">West Wall </t>
  </si>
  <si>
    <t>Along Grid 1 &amp; 2</t>
  </si>
  <si>
    <t>West Wall</t>
  </si>
  <si>
    <t>North-East Wall</t>
  </si>
  <si>
    <t>Along Grid Y</t>
  </si>
  <si>
    <t>Partition</t>
  </si>
  <si>
    <t>South-East Wall</t>
  </si>
  <si>
    <t>Along Grid X</t>
  </si>
  <si>
    <t>Recess</t>
  </si>
  <si>
    <t>Along Grid A &amp; B</t>
  </si>
  <si>
    <t>Total Length</t>
  </si>
  <si>
    <t>Less</t>
  </si>
  <si>
    <t>=400x4</t>
  </si>
  <si>
    <t>Add</t>
  </si>
  <si>
    <t>=100x5</t>
  </si>
  <si>
    <t>PCL</t>
  </si>
  <si>
    <t>Thickness</t>
  </si>
  <si>
    <t>Dwg. No.</t>
  </si>
  <si>
    <t>Cont. Strip Ftg</t>
  </si>
  <si>
    <t>S1.0</t>
  </si>
  <si>
    <t>Fdn Wall</t>
  </si>
  <si>
    <t>900x500
Grade Beam</t>
  </si>
  <si>
    <t>LESS</t>
  </si>
  <si>
    <t>Section Type</t>
  </si>
  <si>
    <t>F.G.L.</t>
  </si>
  <si>
    <t>Slab Thk</t>
  </si>
  <si>
    <t>Total Height</t>
  </si>
  <si>
    <t>Remarks</t>
  </si>
  <si>
    <t>Section 1</t>
  </si>
  <si>
    <t>Section 1 S3.0</t>
  </si>
  <si>
    <t>since the FGL ranges from 211.53 to 211.58, use 211.56</t>
  </si>
  <si>
    <t>Section 2</t>
  </si>
  <si>
    <t>Section 2 S3.0</t>
  </si>
  <si>
    <t>Section 4</t>
  </si>
  <si>
    <t>Section 4 S3.0,
Section 5 A8.4</t>
  </si>
  <si>
    <t>Dock West Wall</t>
  </si>
  <si>
    <t>Section 4 S3.0,
Section 5 &amp; 7 A8.4</t>
  </si>
  <si>
    <t>Dock North and South Wall</t>
  </si>
  <si>
    <t>Section 5</t>
  </si>
  <si>
    <t>Section 5 S3.0</t>
  </si>
  <si>
    <t>Total</t>
  </si>
  <si>
    <t>%</t>
  </si>
  <si>
    <t>% Furn.</t>
  </si>
  <si>
    <t>% total</t>
  </si>
  <si>
    <t>% Vol.</t>
  </si>
  <si>
    <t>%(dup)</t>
  </si>
  <si>
    <t>****</t>
  </si>
  <si>
    <t>9 holes</t>
  </si>
  <si>
    <t>acre</t>
  </si>
  <si>
    <t>All</t>
  </si>
  <si>
    <t>bag</t>
  </si>
  <si>
    <t>Bag(dup)</t>
  </si>
  <si>
    <t>bdft</t>
  </si>
  <si>
    <t>Bm3</t>
  </si>
  <si>
    <t>Car</t>
  </si>
  <si>
    <t>Carton</t>
  </si>
  <si>
    <t>Coil</t>
  </si>
  <si>
    <t>Contrct</t>
  </si>
  <si>
    <t>Costs</t>
  </si>
  <si>
    <t>Court</t>
  </si>
  <si>
    <t>Cu Meter</t>
  </si>
  <si>
    <t>cuft</t>
  </si>
  <si>
    <t>cy</t>
  </si>
  <si>
    <t>Day</t>
  </si>
  <si>
    <t>days</t>
  </si>
  <si>
    <t>Door</t>
  </si>
  <si>
    <t>Drum</t>
  </si>
  <si>
    <t>Ea.</t>
  </si>
  <si>
    <t>Em3</t>
  </si>
  <si>
    <t>Face</t>
  </si>
  <si>
    <t>Fixture</t>
  </si>
  <si>
    <t>Flight</t>
  </si>
  <si>
    <t>Floor</t>
  </si>
  <si>
    <t>ft</t>
  </si>
  <si>
    <t>gal</t>
  </si>
  <si>
    <t>h</t>
  </si>
  <si>
    <t>h.Pr.</t>
  </si>
  <si>
    <t>Head</t>
  </si>
  <si>
    <t>Hectare</t>
  </si>
  <si>
    <t>Hood</t>
  </si>
  <si>
    <t>hour</t>
  </si>
  <si>
    <t>Hr.</t>
  </si>
  <si>
    <t>in</t>
  </si>
  <si>
    <t>Jack</t>
  </si>
  <si>
    <t>Job</t>
  </si>
  <si>
    <t>Joint</t>
  </si>
  <si>
    <t>k</t>
  </si>
  <si>
    <t>K.A.H.</t>
  </si>
  <si>
    <t>KEG/C</t>
  </si>
  <si>
    <t>kg(dup)</t>
  </si>
  <si>
    <t>kL</t>
  </si>
  <si>
    <t>km</t>
  </si>
  <si>
    <t>Km2</t>
  </si>
  <si>
    <t>kVA</t>
  </si>
  <si>
    <t>kW</t>
  </si>
  <si>
    <t>L.S.</t>
  </si>
  <si>
    <t>Lane</t>
  </si>
  <si>
    <t>lb</t>
  </si>
  <si>
    <t>lds</t>
  </si>
  <si>
    <t>Leaf</t>
  </si>
  <si>
    <t>liter</t>
  </si>
  <si>
    <t>Lm3</t>
  </si>
  <si>
    <t>lnm</t>
  </si>
  <si>
    <t>lnyd</t>
  </si>
  <si>
    <t>lsum</t>
  </si>
  <si>
    <t>m Hdr</t>
  </si>
  <si>
    <t>m Nose</t>
  </si>
  <si>
    <t>m Riser</t>
  </si>
  <si>
    <t>m Rsr</t>
  </si>
  <si>
    <t>m(dup)</t>
  </si>
  <si>
    <t>m2</t>
  </si>
  <si>
    <t>m2 Face</t>
  </si>
  <si>
    <t>m2 Flr.</t>
  </si>
  <si>
    <t>m2 Hor.</t>
  </si>
  <si>
    <t>m2 Pool</t>
  </si>
  <si>
    <t>m2 Roof</t>
  </si>
  <si>
    <t>m2 Shlf</t>
  </si>
  <si>
    <t>m2 Stg.</t>
  </si>
  <si>
    <t>m2 Surf</t>
  </si>
  <si>
    <t>m2 Wall</t>
  </si>
  <si>
    <t>m2(dup)</t>
  </si>
  <si>
    <t>m2CA</t>
  </si>
  <si>
    <t>m3(dup)</t>
  </si>
  <si>
    <t>m3/mn</t>
  </si>
  <si>
    <t>m3/s</t>
  </si>
  <si>
    <t>mbft</t>
  </si>
  <si>
    <t>MBH</t>
  </si>
  <si>
    <t>Met. Ton</t>
  </si>
  <si>
    <t>Meter</t>
  </si>
  <si>
    <t>ml</t>
  </si>
  <si>
    <t>mm</t>
  </si>
  <si>
    <t>Month</t>
  </si>
  <si>
    <t>Move</t>
  </si>
  <si>
    <t>Msf</t>
  </si>
  <si>
    <t>MSM</t>
  </si>
  <si>
    <t>mton</t>
  </si>
  <si>
    <t>MVA</t>
  </si>
  <si>
    <t>MVAR</t>
  </si>
  <si>
    <t>Name</t>
  </si>
  <si>
    <t>None</t>
  </si>
  <si>
    <t>Opng.</t>
  </si>
  <si>
    <t>Outlet</t>
  </si>
  <si>
    <t>Pair</t>
  </si>
  <si>
    <t>Payroll</t>
  </si>
  <si>
    <t>Person</t>
  </si>
  <si>
    <t>Pint</t>
  </si>
  <si>
    <t>Plane</t>
  </si>
  <si>
    <t>Point</t>
  </si>
  <si>
    <t>Pr.</t>
  </si>
  <si>
    <t>Project</t>
  </si>
  <si>
    <t>Riser</t>
  </si>
  <si>
    <t>Roll</t>
  </si>
  <si>
    <t>Room</t>
  </si>
  <si>
    <t>Seat</t>
  </si>
  <si>
    <t>Set</t>
  </si>
  <si>
    <t>Shade</t>
  </si>
  <si>
    <t>Signal</t>
  </si>
  <si>
    <t>Slip</t>
  </si>
  <si>
    <t>smca</t>
  </si>
  <si>
    <t>Speaker</t>
  </si>
  <si>
    <t>Sq Meter</t>
  </si>
  <si>
    <t>sqyd</t>
  </si>
  <si>
    <t>Stall</t>
  </si>
  <si>
    <t>Station</t>
  </si>
  <si>
    <t>Stop</t>
  </si>
  <si>
    <t>Story</t>
  </si>
  <si>
    <t>Student</t>
  </si>
  <si>
    <t>System</t>
  </si>
  <si>
    <t>Ton(M)</t>
  </si>
  <si>
    <t>Tread</t>
  </si>
  <si>
    <t>Truss</t>
  </si>
  <si>
    <t>tube</t>
  </si>
  <si>
    <t>U.I.</t>
  </si>
  <si>
    <t>unit(dup)</t>
  </si>
  <si>
    <t>Value</t>
  </si>
  <si>
    <t>W.Wire</t>
  </si>
  <si>
    <t>week</t>
  </si>
  <si>
    <t>Week(dup)</t>
  </si>
  <si>
    <t>yes-no</t>
  </si>
  <si>
    <t>Metal Decking</t>
  </si>
  <si>
    <t>Description of item</t>
  </si>
  <si>
    <t>nos</t>
  </si>
  <si>
    <t>bredth</t>
  </si>
  <si>
    <t>Quatitry</t>
  </si>
  <si>
    <t>Drawing no</t>
  </si>
  <si>
    <t>Metal Deck @ main roof</t>
  </si>
  <si>
    <t>S2</t>
  </si>
  <si>
    <t>Metal roof deck @canopies</t>
  </si>
  <si>
    <t>Metal doors and frames</t>
  </si>
  <si>
    <t>Hallow metal door - 3-2x7-0</t>
  </si>
  <si>
    <t>Ea</t>
  </si>
  <si>
    <t>A7.1</t>
  </si>
  <si>
    <t>Hallow metal Frame- 3-2x7-0</t>
  </si>
  <si>
    <t>Speciality Doors and frames</t>
  </si>
  <si>
    <t>Entrances,Storefront,and Curtain walls</t>
  </si>
  <si>
    <t>Aluminium Entrance Door (Double door) w/ tempered glazing &amp; hardware</t>
  </si>
  <si>
    <t>Hardware</t>
  </si>
  <si>
    <t>Door harware</t>
  </si>
  <si>
    <t>Hinges per door</t>
  </si>
  <si>
    <t>Door stop W1276 CCS</t>
  </si>
  <si>
    <t>A7.2</t>
  </si>
  <si>
    <t>Thershold 200D</t>
  </si>
  <si>
    <t>Standard Door Closer -8581 BF</t>
  </si>
  <si>
    <t>Door shoe 216DV</t>
  </si>
  <si>
    <t>Door seals S88</t>
  </si>
  <si>
    <t>Latch guard 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</si>
</sst>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-409]#,##0.00;\([$$-409]#,##0.00\);[$$-409]#,##0.00;@"/>
  </numFmts>
  <fonts count="3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b/>
      <i/>
      <sz val="11"/>
      <color theme="0"/>
      <name val="Arial"/>
      <family val="2"/>
    </font>
    <font>
      <b/>
      <sz val="16"/>
      <color rgb="FF505759"/>
      <name val="Arial"/>
      <family val="2"/>
    </font>
    <font>
      <b/>
      <sz val="18"/>
      <color rgb="FF505759"/>
      <name val="Arial"/>
      <family val="2"/>
    </font>
    <font>
      <sz val="16"/>
      <color rgb="FF505759"/>
      <name val="Arial"/>
      <family val="2"/>
    </font>
    <font>
      <b/>
      <sz val="22"/>
      <color rgb="FF505759"/>
      <name val="Arial"/>
      <family val="2"/>
    </font>
    <font>
      <sz val="11"/>
      <color rgb="FF505759"/>
      <name val="Arial"/>
      <family val="2"/>
    </font>
    <font>
      <b/>
      <sz val="11"/>
      <color rgb="FF505759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FFFFFF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2"/>
      <color rgb="FF2F5496"/>
      <name val="Times New Roman"/>
      <family val="1"/>
      <charset val="1"/>
    </font>
    <font>
      <i/>
      <sz val="11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5057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759"/>
      </left>
      <right style="thin">
        <color rgb="FF505759"/>
      </right>
      <top style="thin">
        <color rgb="FF505759"/>
      </top>
      <bottom style="thin">
        <color rgb="FF5057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759"/>
      </left>
      <right style="thin">
        <color rgb="FF505759"/>
      </right>
      <top/>
      <bottom style="thin">
        <color rgb="FF50575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05759"/>
      </left>
      <right style="thin">
        <color rgb="FF505759"/>
      </right>
      <top style="thin">
        <color rgb="FF5057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4" fontId="15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/>
    </xf>
    <xf numFmtId="164" fontId="15" fillId="2" borderId="0" xfId="0" applyNumberFormat="1" applyFont="1" applyFill="1" applyAlignment="1">
      <alignment horizontal="left" vertical="center"/>
    </xf>
    <xf numFmtId="164" fontId="15" fillId="2" borderId="0" xfId="0" applyNumberFormat="1" applyFont="1" applyFill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164" fontId="6" fillId="3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 vertical="center"/>
    </xf>
    <xf numFmtId="164" fontId="6" fillId="4" borderId="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2" fontId="22" fillId="0" borderId="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2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0" borderId="2" xfId="0" applyFont="1" applyBorder="1"/>
    <xf numFmtId="0" fontId="9" fillId="0" borderId="16" xfId="0" applyFont="1" applyBorder="1"/>
    <xf numFmtId="4" fontId="9" fillId="0" borderId="16" xfId="0" applyNumberFormat="1" applyFont="1" applyBorder="1"/>
    <xf numFmtId="4" fontId="9" fillId="0" borderId="2" xfId="0" applyNumberFormat="1" applyFont="1" applyBorder="1"/>
    <xf numFmtId="8" fontId="23" fillId="0" borderId="22" xfId="0" applyNumberFormat="1" applyFont="1" applyBorder="1"/>
    <xf numFmtId="0" fontId="24" fillId="0" borderId="0" xfId="0" applyFont="1"/>
    <xf numFmtId="0" fontId="22" fillId="0" borderId="17" xfId="0" applyFont="1" applyBorder="1" applyAlignment="1">
      <alignment horizontal="left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2" fontId="22" fillId="0" borderId="23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2" fontId="22" fillId="0" borderId="1" xfId="0" applyNumberFormat="1" applyFont="1" applyBorder="1" applyAlignment="1">
      <alignment horizontal="center" vertical="center"/>
    </xf>
    <xf numFmtId="0" fontId="26" fillId="6" borderId="3" xfId="0" applyFont="1" applyFill="1" applyBorder="1"/>
    <xf numFmtId="0" fontId="27" fillId="0" borderId="3" xfId="0" applyFont="1" applyBorder="1"/>
    <xf numFmtId="8" fontId="27" fillId="0" borderId="3" xfId="0" applyNumberFormat="1" applyFont="1" applyBorder="1"/>
    <xf numFmtId="0" fontId="28" fillId="0" borderId="0" xfId="0" applyFont="1"/>
    <xf numFmtId="8" fontId="26" fillId="6" borderId="3" xfId="0" applyNumberFormat="1" applyFont="1" applyFill="1" applyBorder="1"/>
    <xf numFmtId="0" fontId="23" fillId="0" borderId="2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" fontId="24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5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2" fontId="0" fillId="0" borderId="17" xfId="0" applyNumberFormat="1" applyBorder="1" applyAlignment="1">
      <alignment horizontal="center" vertical="center"/>
    </xf>
    <xf numFmtId="2" fontId="30" fillId="0" borderId="1" xfId="0" quotePrefix="1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5759"/>
      <color rgb="FFC8102E"/>
      <color rgb="FFDC1234"/>
      <color rgb="FFFF1111"/>
      <color rgb="FFF25C75"/>
      <color rgb="FFEF3F5C"/>
      <color rgb="FFFF7979"/>
      <color rgb="FFFF5757"/>
      <color rgb="FFFA7692"/>
      <color rgb="FFFA5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98612</xdr:colOff>
      <xdr:row>1</xdr:row>
      <xdr:rowOff>107690</xdr:rowOff>
    </xdr:from>
    <xdr:to>
      <xdr:col>1</xdr:col>
      <xdr:colOff>702016</xdr:colOff>
      <xdr:row>8</xdr:row>
      <xdr:rowOff>177612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01E9159-BD88-4DFF-A753-3CF7FDF27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" y="376631"/>
          <a:ext cx="3524404" cy="396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</xdr:colOff>
      <xdr:row>2</xdr:row>
      <xdr:rowOff>97622</xdr:rowOff>
    </xdr:from>
    <xdr:to>
      <xdr:col>12</xdr:col>
      <xdr:colOff>331447</xdr:colOff>
      <xdr:row>12</xdr:row>
      <xdr:rowOff>33056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5C39C-954A-4812-8017-B87A49804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2143" y="859622"/>
          <a:ext cx="5121161" cy="3745434"/>
        </a:xfrm>
        <a:prstGeom prst="rect">
          <a:avLst/>
        </a:prstGeom>
      </xdr:spPr>
    </xdr:pic>
    <xdr:clientData/>
  </xdr:twoCellAnchor>
  <xdr:twoCellAnchor>
    <xdr:from>
      <xdr:col>10</xdr:col>
      <xdr:colOff>1243853</xdr:colOff>
      <xdr:row>1</xdr:row>
      <xdr:rowOff>134471</xdr:rowOff>
    </xdr:from>
    <xdr:to>
      <xdr:col>11</xdr:col>
      <xdr:colOff>392206</xdr:colOff>
      <xdr:row>18</xdr:row>
      <xdr:rowOff>336176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4D5E649-9E4E-4574-9BDE-32EE26BEAB93}"/>
            </a:ext>
          </a:extLst>
        </xdr:cNvPr>
        <xdr:cNvSpPr/>
      </xdr:nvSpPr>
      <xdr:spPr>
        <a:xfrm>
          <a:off x="11474824" y="515471"/>
          <a:ext cx="560294" cy="401170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 editAs="oneCell">
    <xdr:from>
      <xdr:col>8</xdr:col>
      <xdr:colOff>361950</xdr:colOff>
      <xdr:row>54</xdr:row>
      <xdr:rowOff>180975</xdr:rowOff>
    </xdr:from>
    <xdr:to>
      <xdr:col>11</xdr:col>
      <xdr:colOff>1130011</xdr:colOff>
      <xdr:row>63</xdr:row>
      <xdr:rowOff>238125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79255DF-3F99-1A7F-0660-9BFC62104560}"/>
            </a:ext>
            <a:ext uri="{147F2762-F138-4A5C-976F-8EAC2B608ADB}">
              <a16:predDERef xmlns:a16="http://schemas.microsoft.com/office/drawing/2014/main" pred="{84D5E649-9E4E-4574-9BDE-32EE26BEA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3150" y="19230975"/>
          <a:ext cx="4105275" cy="3486150"/>
        </a:xfrm>
        <a:prstGeom prst="rect">
          <a:avLst/>
        </a:prstGeom>
      </xdr:spPr>
    </xdr:pic>
    <xdr:clientData/>
  </xdr:twoCellAnchor>
  <xdr:twoCellAnchor editAs="oneCell">
    <xdr:from>
      <xdr:col>13</xdr:col>
      <xdr:colOff>86591</xdr:colOff>
      <xdr:row>83</xdr:row>
      <xdr:rowOff>69272</xdr:rowOff>
    </xdr:from>
    <xdr:to>
      <xdr:col>15</xdr:col>
      <xdr:colOff>2815936</xdr:colOff>
      <xdr:row>92</xdr:row>
      <xdr:rowOff>65003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BB2C38-88EF-AC64-E4A4-D89C6C74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69636" y="30168272"/>
          <a:ext cx="3941618" cy="3424731"/>
        </a:xfrm>
        <a:prstGeom prst="rect">
          <a:avLst/>
        </a:prstGeom>
      </xdr:spPr>
    </xdr:pic>
    <xdr:clientData/>
  </xdr:twoCellAnchor>
  <xdr:twoCellAnchor editAs="oneCell">
    <xdr:from>
      <xdr:col>15</xdr:col>
      <xdr:colOff>2881313</xdr:colOff>
      <xdr:row>76</xdr:row>
      <xdr:rowOff>77933</xdr:rowOff>
    </xdr:from>
    <xdr:to>
      <xdr:col>16</xdr:col>
      <xdr:colOff>3476625</xdr:colOff>
      <xdr:row>84</xdr:row>
      <xdr:rowOff>81815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8D965A-3E2A-DE8E-73DB-17C3058C6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06938" y="30176933"/>
          <a:ext cx="4429125" cy="3432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54"/>
  <sheetViews>
    <sheetView tabSelected="1" zoomScale="90" zoomScaleNormal="90" workbookViewId="0">
      <pane ySplit="13" topLeftCell="A14" activePane="bottomLeft" state="frozen"/>
      <selection pane="bottomLeft" activeCell="B18" sqref="B18"/>
    </sheetView>
  </sheetViews>
  <sheetFormatPr defaultColWidth="8.88671875" defaultRowHeight="13.8" outlineLevelRow="4" x14ac:dyDescent="0.3"/>
  <cols>
    <col min="1" max="1" width="43.88671875" style="7" customWidth="1"/>
    <col min="2" max="2" width="64.33203125" style="7" customWidth="1"/>
    <col min="3" max="3" width="14.5546875" style="8" customWidth="1"/>
    <col min="4" max="4" width="15" style="9" customWidth="1"/>
    <col min="5" max="5" width="15.88671875" style="16" customWidth="1"/>
    <col min="6" max="6" width="14.44140625" style="16" customWidth="1"/>
    <col min="7" max="7" width="13.5546875" style="16" customWidth="1"/>
    <col min="8" max="8" width="13.33203125" style="16" customWidth="1"/>
    <col min="9" max="9" width="20.33203125" style="10" customWidth="1"/>
    <col min="10" max="16384" width="8.88671875" style="1"/>
  </cols>
  <sheetData>
    <row r="1" spans="1:9" ht="21" x14ac:dyDescent="0.3">
      <c r="A1" s="114" t="s">
        <v>0</v>
      </c>
      <c r="B1" s="114"/>
      <c r="C1" s="114"/>
      <c r="D1" s="114"/>
      <c r="E1" s="114"/>
      <c r="F1" s="114"/>
      <c r="G1" s="114"/>
      <c r="H1" s="114"/>
      <c r="I1" s="114"/>
    </row>
    <row r="2" spans="1:9" ht="22.8" hidden="1" x14ac:dyDescent="0.3">
      <c r="A2" s="112" t="s">
        <v>1</v>
      </c>
      <c r="B2" s="112"/>
      <c r="C2" s="112"/>
      <c r="D2" s="112"/>
      <c r="E2" s="112"/>
      <c r="F2" s="112"/>
      <c r="G2" s="112"/>
      <c r="H2" s="112"/>
      <c r="I2" s="112"/>
    </row>
    <row r="3" spans="1:9" ht="20.399999999999999" hidden="1" x14ac:dyDescent="0.3">
      <c r="A3" s="113" t="s">
        <v>2</v>
      </c>
      <c r="B3" s="113"/>
      <c r="C3" s="113"/>
      <c r="D3" s="113"/>
      <c r="E3" s="113"/>
      <c r="F3" s="113"/>
      <c r="G3" s="113"/>
      <c r="H3" s="113"/>
      <c r="I3" s="113"/>
    </row>
    <row r="4" spans="1:9" ht="20.399999999999999" hidden="1" x14ac:dyDescent="0.3">
      <c r="A4" s="17"/>
      <c r="B4" s="17"/>
      <c r="C4" s="17"/>
      <c r="D4" s="17"/>
      <c r="E4" s="17"/>
      <c r="F4" s="17"/>
      <c r="G4" s="17"/>
      <c r="H4" s="17"/>
      <c r="I4" s="17"/>
    </row>
    <row r="5" spans="1:9" ht="28.2" hidden="1" x14ac:dyDescent="0.3">
      <c r="A5" s="115" t="s">
        <v>3</v>
      </c>
      <c r="B5" s="115"/>
      <c r="C5" s="115"/>
      <c r="D5" s="115"/>
      <c r="E5" s="115"/>
      <c r="F5" s="115"/>
      <c r="G5" s="115"/>
      <c r="H5" s="115"/>
      <c r="I5" s="115"/>
    </row>
    <row r="6" spans="1:9" ht="27.6" hidden="1" x14ac:dyDescent="0.3">
      <c r="A6" s="18" t="s">
        <v>4</v>
      </c>
      <c r="B6" s="17"/>
      <c r="C6" s="17"/>
      <c r="D6" s="17"/>
      <c r="E6" s="17"/>
      <c r="F6" s="17"/>
      <c r="G6" s="17"/>
      <c r="H6" s="17"/>
      <c r="I6" s="17"/>
    </row>
    <row r="7" spans="1:9" ht="14.4" hidden="1" customHeight="1" x14ac:dyDescent="0.3">
      <c r="A7" s="19" t="s">
        <v>5</v>
      </c>
      <c r="B7" s="18"/>
      <c r="C7" s="20"/>
      <c r="D7" s="21"/>
      <c r="E7" s="22"/>
      <c r="F7" s="22"/>
      <c r="G7" s="22"/>
      <c r="H7" s="22"/>
      <c r="I7" s="23"/>
    </row>
    <row r="8" spans="1:9" ht="17.399999999999999" customHeight="1" x14ac:dyDescent="0.3">
      <c r="A8" s="19" t="s">
        <v>6</v>
      </c>
      <c r="B8" s="18"/>
      <c r="C8" s="20"/>
      <c r="D8" s="21"/>
      <c r="E8" s="22"/>
      <c r="F8" s="22"/>
      <c r="G8" s="22"/>
      <c r="H8" s="22"/>
      <c r="I8" s="23"/>
    </row>
    <row r="9" spans="1:9" x14ac:dyDescent="0.3">
      <c r="A9" s="2"/>
      <c r="B9" s="2"/>
      <c r="C9" s="3"/>
      <c r="D9" s="4"/>
      <c r="E9" s="5"/>
      <c r="F9" s="5"/>
      <c r="G9" s="5"/>
      <c r="H9" s="5"/>
      <c r="I9" s="6"/>
    </row>
    <row r="10" spans="1:9" x14ac:dyDescent="0.3">
      <c r="A10" s="2"/>
      <c r="B10" s="2"/>
      <c r="C10" s="3"/>
      <c r="D10" s="4"/>
      <c r="E10" s="5"/>
      <c r="F10" s="5"/>
      <c r="G10" s="5"/>
      <c r="H10" s="5"/>
      <c r="I10" s="6"/>
    </row>
    <row r="11" spans="1:9" x14ac:dyDescent="0.3">
      <c r="A11" s="2"/>
      <c r="B11" s="2"/>
      <c r="C11" s="3"/>
      <c r="D11" s="4"/>
      <c r="E11" s="5"/>
      <c r="F11" s="5"/>
      <c r="G11" s="5"/>
      <c r="H11" s="5"/>
      <c r="I11" s="6"/>
    </row>
    <row r="12" spans="1:9" x14ac:dyDescent="0.3">
      <c r="A12" s="2"/>
      <c r="B12" s="2"/>
      <c r="C12" s="3"/>
      <c r="D12" s="4"/>
      <c r="E12" s="5"/>
      <c r="F12" s="5"/>
      <c r="G12" s="5"/>
      <c r="H12" s="5"/>
      <c r="I12" s="6"/>
    </row>
    <row r="13" spans="1:9" ht="31.2" x14ac:dyDescent="0.3">
      <c r="A13" s="24" t="s">
        <v>7</v>
      </c>
      <c r="B13" s="24" t="s">
        <v>8</v>
      </c>
      <c r="C13" s="25" t="s">
        <v>9</v>
      </c>
      <c r="D13" s="25" t="s">
        <v>10</v>
      </c>
      <c r="E13" s="25" t="s">
        <v>11</v>
      </c>
      <c r="F13" s="25" t="s">
        <v>12</v>
      </c>
      <c r="G13" s="24" t="s">
        <v>13</v>
      </c>
      <c r="H13" s="25" t="s">
        <v>14</v>
      </c>
      <c r="I13" s="25" t="s">
        <v>15</v>
      </c>
    </row>
    <row r="14" spans="1:9" ht="21" customHeight="1" x14ac:dyDescent="0.3">
      <c r="A14" s="26" t="s">
        <v>16</v>
      </c>
      <c r="B14" s="27"/>
      <c r="C14" s="28"/>
      <c r="D14" s="28"/>
      <c r="E14" s="28"/>
      <c r="F14" s="28"/>
      <c r="G14" s="28"/>
      <c r="H14" s="28"/>
      <c r="I14" s="29">
        <f>I15+I24+I36+I53+I62</f>
        <v>2586113.919675475</v>
      </c>
    </row>
    <row r="15" spans="1:9" ht="34.799999999999997" outlineLevel="1" x14ac:dyDescent="0.3">
      <c r="A15" s="30" t="s">
        <v>17</v>
      </c>
      <c r="B15" s="27"/>
      <c r="C15" s="28"/>
      <c r="D15" s="28"/>
      <c r="E15" s="28"/>
      <c r="F15" s="28"/>
      <c r="G15" s="28"/>
      <c r="H15" s="28"/>
      <c r="I15" s="29">
        <f>I16</f>
        <v>54199.08</v>
      </c>
    </row>
    <row r="16" spans="1:9" ht="21" customHeight="1" outlineLevel="2" x14ac:dyDescent="0.3">
      <c r="A16" s="31" t="s">
        <v>18</v>
      </c>
      <c r="B16" s="27"/>
      <c r="C16" s="28"/>
      <c r="D16" s="28"/>
      <c r="E16" s="28"/>
      <c r="F16" s="28"/>
      <c r="G16" s="28"/>
      <c r="H16" s="28"/>
      <c r="I16" s="29">
        <f>I17</f>
        <v>54199.08</v>
      </c>
    </row>
    <row r="17" spans="1:9" ht="21" customHeight="1" outlineLevel="3" x14ac:dyDescent="0.3">
      <c r="A17" s="27" t="s">
        <v>19</v>
      </c>
      <c r="B17" s="27"/>
      <c r="C17" s="28"/>
      <c r="D17" s="28"/>
      <c r="E17" s="28"/>
      <c r="F17" s="28"/>
      <c r="G17" s="28"/>
      <c r="H17" s="28"/>
      <c r="I17" s="29">
        <f>SUM(I18:I23)</f>
        <v>54199.08</v>
      </c>
    </row>
    <row r="18" spans="1:9" ht="14.4" outlineLevel="4" x14ac:dyDescent="0.25">
      <c r="A18" s="32" t="s">
        <v>20</v>
      </c>
      <c r="B18" s="99" t="s">
        <v>21</v>
      </c>
      <c r="C18" s="79">
        <v>118.15</v>
      </c>
      <c r="D18" s="34" t="s">
        <v>22</v>
      </c>
      <c r="E18" s="35">
        <v>0</v>
      </c>
      <c r="F18" s="35">
        <v>0</v>
      </c>
      <c r="G18" s="35">
        <v>0</v>
      </c>
      <c r="H18" s="35">
        <v>9</v>
      </c>
      <c r="I18" s="36">
        <f>C18*H18</f>
        <v>1063.3500000000001</v>
      </c>
    </row>
    <row r="19" spans="1:9" ht="14.4" outlineLevel="4" x14ac:dyDescent="0.25">
      <c r="A19" s="32" t="s">
        <v>23</v>
      </c>
      <c r="B19" s="99" t="s">
        <v>21</v>
      </c>
      <c r="C19" s="80">
        <v>436.26</v>
      </c>
      <c r="D19" s="34" t="s">
        <v>22</v>
      </c>
      <c r="E19" s="35">
        <v>0</v>
      </c>
      <c r="F19" s="35">
        <v>0</v>
      </c>
      <c r="G19" s="35">
        <v>0</v>
      </c>
      <c r="H19" s="35">
        <v>9</v>
      </c>
      <c r="I19" s="36">
        <f t="shared" ref="I19:I20" si="0">C19*H19</f>
        <v>3926.34</v>
      </c>
    </row>
    <row r="20" spans="1:9" ht="14.4" outlineLevel="4" x14ac:dyDescent="0.25">
      <c r="A20" s="32" t="s">
        <v>24</v>
      </c>
      <c r="B20" s="99" t="s">
        <v>21</v>
      </c>
      <c r="C20" s="81">
        <v>5467.71</v>
      </c>
      <c r="D20" s="34" t="s">
        <v>22</v>
      </c>
      <c r="E20" s="35">
        <v>0</v>
      </c>
      <c r="F20" s="35">
        <v>0</v>
      </c>
      <c r="G20" s="35">
        <v>0</v>
      </c>
      <c r="H20" s="35">
        <v>9</v>
      </c>
      <c r="I20" s="36">
        <f t="shared" si="0"/>
        <v>49209.39</v>
      </c>
    </row>
    <row r="21" spans="1:9" outlineLevel="4" x14ac:dyDescent="0.3">
      <c r="A21" s="32" t="s">
        <v>25</v>
      </c>
      <c r="B21" s="32"/>
      <c r="C21" s="33"/>
      <c r="D21" s="34"/>
      <c r="E21" s="35">
        <v>0</v>
      </c>
      <c r="F21" s="35">
        <v>0</v>
      </c>
      <c r="G21" s="35">
        <v>0</v>
      </c>
      <c r="H21" s="35">
        <v>0</v>
      </c>
      <c r="I21" s="36">
        <v>0</v>
      </c>
    </row>
    <row r="22" spans="1:9" outlineLevel="4" x14ac:dyDescent="0.3">
      <c r="A22" s="32" t="s">
        <v>25</v>
      </c>
      <c r="B22" s="32"/>
      <c r="C22" s="33"/>
      <c r="D22" s="34"/>
      <c r="E22" s="35">
        <v>0</v>
      </c>
      <c r="F22" s="35">
        <v>0</v>
      </c>
      <c r="G22" s="35">
        <v>0</v>
      </c>
      <c r="H22" s="35">
        <v>0</v>
      </c>
      <c r="I22" s="36">
        <v>0</v>
      </c>
    </row>
    <row r="23" spans="1:9" outlineLevel="4" x14ac:dyDescent="0.3">
      <c r="A23" s="32" t="s">
        <v>25</v>
      </c>
      <c r="B23" s="32"/>
      <c r="C23" s="33"/>
      <c r="D23" s="34"/>
      <c r="E23" s="35">
        <v>0</v>
      </c>
      <c r="F23" s="35">
        <v>0</v>
      </c>
      <c r="G23" s="35">
        <v>0</v>
      </c>
      <c r="H23" s="35">
        <v>0</v>
      </c>
      <c r="I23" s="36">
        <v>0</v>
      </c>
    </row>
    <row r="24" spans="1:9" ht="21" customHeight="1" outlineLevel="1" x14ac:dyDescent="0.3">
      <c r="A24" s="30" t="s">
        <v>26</v>
      </c>
      <c r="B24" s="27"/>
      <c r="C24" s="28"/>
      <c r="D24" s="28"/>
      <c r="E24" s="28"/>
      <c r="F24" s="28"/>
      <c r="G24" s="28"/>
      <c r="H24" s="28"/>
      <c r="I24" s="29">
        <f>I25</f>
        <v>56856.959999999992</v>
      </c>
    </row>
    <row r="25" spans="1:9" ht="21" customHeight="1" outlineLevel="2" x14ac:dyDescent="0.3">
      <c r="A25" s="31" t="s">
        <v>27</v>
      </c>
      <c r="B25" s="27"/>
      <c r="C25" s="28"/>
      <c r="D25" s="28"/>
      <c r="E25" s="28"/>
      <c r="F25" s="28"/>
      <c r="G25" s="28"/>
      <c r="H25" s="28"/>
      <c r="I25" s="29">
        <f>I26</f>
        <v>56856.959999999992</v>
      </c>
    </row>
    <row r="26" spans="1:9" ht="21" customHeight="1" outlineLevel="3" x14ac:dyDescent="0.3">
      <c r="A26" s="27" t="s">
        <v>27</v>
      </c>
      <c r="B26" s="27"/>
      <c r="C26" s="28"/>
      <c r="D26" s="28"/>
      <c r="E26" s="28"/>
      <c r="F26" s="28"/>
      <c r="G26" s="28"/>
      <c r="H26" s="28"/>
      <c r="I26" s="29">
        <f>SUM(I27:I35)</f>
        <v>56856.959999999992</v>
      </c>
    </row>
    <row r="27" spans="1:9" ht="14.4" outlineLevel="4" x14ac:dyDescent="0.25">
      <c r="A27" s="32" t="s">
        <v>28</v>
      </c>
      <c r="B27" s="99" t="s">
        <v>29</v>
      </c>
      <c r="C27" s="81">
        <v>400</v>
      </c>
      <c r="D27" s="34" t="s">
        <v>30</v>
      </c>
      <c r="E27" s="35">
        <v>2.88</v>
      </c>
      <c r="F27" s="35">
        <v>0</v>
      </c>
      <c r="G27" s="35">
        <v>0</v>
      </c>
      <c r="H27" s="35">
        <f>SUM(E27:G27)</f>
        <v>2.88</v>
      </c>
      <c r="I27" s="36">
        <f t="shared" ref="I27:I35" si="1">H27*C27</f>
        <v>1152</v>
      </c>
    </row>
    <row r="28" spans="1:9" ht="14.4" outlineLevel="4" x14ac:dyDescent="0.25">
      <c r="A28" s="32" t="s">
        <v>31</v>
      </c>
      <c r="B28" s="99" t="s">
        <v>29</v>
      </c>
      <c r="C28" s="81">
        <v>12610</v>
      </c>
      <c r="D28" s="34" t="s">
        <v>30</v>
      </c>
      <c r="E28" s="35">
        <v>2.88</v>
      </c>
      <c r="F28" s="35">
        <v>0</v>
      </c>
      <c r="G28" s="35">
        <v>0</v>
      </c>
      <c r="H28" s="35">
        <f t="shared" ref="H28:H35" si="2">SUM(E28:G28)</f>
        <v>2.88</v>
      </c>
      <c r="I28" s="36">
        <f t="shared" si="1"/>
        <v>36316.799999999996</v>
      </c>
    </row>
    <row r="29" spans="1:9" ht="14.4" outlineLevel="4" x14ac:dyDescent="0.25">
      <c r="A29" s="32" t="s">
        <v>32</v>
      </c>
      <c r="B29" s="99" t="s">
        <v>29</v>
      </c>
      <c r="C29" s="81">
        <v>584</v>
      </c>
      <c r="D29" s="34" t="s">
        <v>30</v>
      </c>
      <c r="E29" s="35">
        <v>2.88</v>
      </c>
      <c r="F29" s="35">
        <v>0</v>
      </c>
      <c r="G29" s="35">
        <v>0</v>
      </c>
      <c r="H29" s="35">
        <f t="shared" si="2"/>
        <v>2.88</v>
      </c>
      <c r="I29" s="36">
        <f t="shared" si="1"/>
        <v>1681.9199999999998</v>
      </c>
    </row>
    <row r="30" spans="1:9" ht="14.4" outlineLevel="4" x14ac:dyDescent="0.25">
      <c r="A30" s="32" t="s">
        <v>33</v>
      </c>
      <c r="B30" s="99" t="s">
        <v>29</v>
      </c>
      <c r="C30" s="81">
        <v>6148</v>
      </c>
      <c r="D30" s="34" t="s">
        <v>30</v>
      </c>
      <c r="E30" s="35">
        <v>2.88</v>
      </c>
      <c r="F30" s="35">
        <v>0</v>
      </c>
      <c r="G30" s="35">
        <v>0</v>
      </c>
      <c r="H30" s="35">
        <f t="shared" si="2"/>
        <v>2.88</v>
      </c>
      <c r="I30" s="36">
        <f t="shared" si="1"/>
        <v>17706.239999999998</v>
      </c>
    </row>
    <row r="31" spans="1:9" ht="14.4" outlineLevel="4" x14ac:dyDescent="0.25">
      <c r="A31" s="32" t="s">
        <v>34</v>
      </c>
      <c r="B31" s="99" t="s">
        <v>29</v>
      </c>
      <c r="C31" s="81">
        <v>0</v>
      </c>
      <c r="D31" s="34" t="s">
        <v>30</v>
      </c>
      <c r="E31" s="35">
        <v>0</v>
      </c>
      <c r="F31" s="35">
        <v>0</v>
      </c>
      <c r="G31" s="35">
        <v>0</v>
      </c>
      <c r="H31" s="35">
        <f t="shared" si="2"/>
        <v>0</v>
      </c>
      <c r="I31" s="36">
        <f t="shared" si="1"/>
        <v>0</v>
      </c>
    </row>
    <row r="32" spans="1:9" ht="14.4" outlineLevel="4" x14ac:dyDescent="0.25">
      <c r="A32" s="32" t="s">
        <v>35</v>
      </c>
      <c r="B32" s="99" t="s">
        <v>29</v>
      </c>
      <c r="C32" s="81">
        <v>0</v>
      </c>
      <c r="D32" s="34" t="s">
        <v>30</v>
      </c>
      <c r="E32" s="35">
        <v>0</v>
      </c>
      <c r="F32" s="35">
        <v>0</v>
      </c>
      <c r="G32" s="35">
        <v>0</v>
      </c>
      <c r="H32" s="35">
        <f t="shared" si="2"/>
        <v>0</v>
      </c>
      <c r="I32" s="36">
        <f t="shared" si="1"/>
        <v>0</v>
      </c>
    </row>
    <row r="33" spans="1:9" outlineLevel="4" x14ac:dyDescent="0.3">
      <c r="A33" s="32" t="s">
        <v>25</v>
      </c>
      <c r="B33" s="32"/>
      <c r="C33" s="33"/>
      <c r="D33" s="34"/>
      <c r="E33" s="35">
        <v>0</v>
      </c>
      <c r="F33" s="35">
        <v>0</v>
      </c>
      <c r="G33" s="35">
        <v>0</v>
      </c>
      <c r="H33" s="35">
        <f t="shared" si="2"/>
        <v>0</v>
      </c>
      <c r="I33" s="36">
        <f t="shared" si="1"/>
        <v>0</v>
      </c>
    </row>
    <row r="34" spans="1:9" outlineLevel="4" x14ac:dyDescent="0.3">
      <c r="A34" s="32" t="s">
        <v>25</v>
      </c>
      <c r="B34" s="32"/>
      <c r="C34" s="33"/>
      <c r="D34" s="34"/>
      <c r="E34" s="35">
        <v>0</v>
      </c>
      <c r="F34" s="35">
        <v>0</v>
      </c>
      <c r="G34" s="35">
        <v>0</v>
      </c>
      <c r="H34" s="35">
        <f t="shared" si="2"/>
        <v>0</v>
      </c>
      <c r="I34" s="36">
        <f t="shared" si="1"/>
        <v>0</v>
      </c>
    </row>
    <row r="35" spans="1:9" outlineLevel="4" x14ac:dyDescent="0.3">
      <c r="A35" s="32" t="s">
        <v>25</v>
      </c>
      <c r="B35" s="32"/>
      <c r="C35" s="33"/>
      <c r="D35" s="34"/>
      <c r="E35" s="35">
        <v>0</v>
      </c>
      <c r="F35" s="35">
        <v>0</v>
      </c>
      <c r="G35" s="35">
        <v>0</v>
      </c>
      <c r="H35" s="35">
        <f t="shared" si="2"/>
        <v>0</v>
      </c>
      <c r="I35" s="36">
        <f t="shared" si="1"/>
        <v>0</v>
      </c>
    </row>
    <row r="36" spans="1:9" ht="21" customHeight="1" outlineLevel="1" x14ac:dyDescent="0.3">
      <c r="A36" s="30" t="s">
        <v>36</v>
      </c>
      <c r="B36" s="27"/>
      <c r="C36" s="28"/>
      <c r="D36" s="28"/>
      <c r="E36" s="28"/>
      <c r="F36" s="28"/>
      <c r="G36" s="28"/>
      <c r="H36" s="28"/>
      <c r="I36" s="29">
        <f>I37</f>
        <v>777806.94317547511</v>
      </c>
    </row>
    <row r="37" spans="1:9" ht="21" customHeight="1" outlineLevel="2" x14ac:dyDescent="0.3">
      <c r="A37" s="31" t="s">
        <v>37</v>
      </c>
      <c r="B37" s="27"/>
      <c r="C37" s="28"/>
      <c r="D37" s="28"/>
      <c r="E37" s="28"/>
      <c r="F37" s="28"/>
      <c r="G37" s="28"/>
      <c r="H37" s="28"/>
      <c r="I37" s="29">
        <f>I38</f>
        <v>777806.94317547511</v>
      </c>
    </row>
    <row r="38" spans="1:9" ht="21" customHeight="1" outlineLevel="3" x14ac:dyDescent="0.3">
      <c r="A38" s="27" t="s">
        <v>38</v>
      </c>
      <c r="B38" s="27"/>
      <c r="C38" s="28"/>
      <c r="D38" s="28"/>
      <c r="E38" s="28"/>
      <c r="F38" s="28"/>
      <c r="G38" s="28"/>
      <c r="H38" s="28"/>
      <c r="I38" s="29">
        <f>SUM(I39:I52)</f>
        <v>777806.94317547511</v>
      </c>
    </row>
    <row r="39" spans="1:9" ht="41.4" outlineLevel="4" x14ac:dyDescent="0.3">
      <c r="A39" s="32" t="s">
        <v>39</v>
      </c>
      <c r="B39" s="32" t="s">
        <v>40</v>
      </c>
      <c r="C39" s="108">
        <f>'03 31 00 Structural Concrete'!R2</f>
        <v>3.7016760000000004</v>
      </c>
      <c r="D39" s="34" t="s">
        <v>41</v>
      </c>
      <c r="E39" s="35">
        <v>112</v>
      </c>
      <c r="F39" s="35">
        <v>18.7</v>
      </c>
      <c r="G39" s="35">
        <v>0.51</v>
      </c>
      <c r="H39" s="35">
        <f>SUM(E39:G39)</f>
        <v>131.20999999999998</v>
      </c>
      <c r="I39" s="36">
        <f t="shared" ref="I39:I49" si="3">H39*C39</f>
        <v>485.69690795999998</v>
      </c>
    </row>
    <row r="40" spans="1:9" ht="41.4" outlineLevel="4" x14ac:dyDescent="0.3">
      <c r="A40" s="32" t="s">
        <v>42</v>
      </c>
      <c r="B40" s="32" t="s">
        <v>43</v>
      </c>
      <c r="C40" s="108">
        <f>'03 31 00 Structural Concrete'!R3</f>
        <v>5.7768579999999998</v>
      </c>
      <c r="D40" s="34" t="s">
        <v>41</v>
      </c>
      <c r="E40" s="35">
        <v>117</v>
      </c>
      <c r="F40" s="35">
        <v>25</v>
      </c>
      <c r="G40" s="35">
        <v>0.68</v>
      </c>
      <c r="H40" s="35">
        <f>SUM(E40:G40)</f>
        <v>142.68</v>
      </c>
      <c r="I40" s="36">
        <f t="shared" si="3"/>
        <v>824.24209944000006</v>
      </c>
    </row>
    <row r="41" spans="1:9" ht="41.4" outlineLevel="4" x14ac:dyDescent="0.3">
      <c r="A41" s="32" t="s">
        <v>44</v>
      </c>
      <c r="B41" s="32" t="s">
        <v>45</v>
      </c>
      <c r="C41" s="108">
        <f>'03 31 00 Structural Concrete'!R4</f>
        <v>129.46142913000003</v>
      </c>
      <c r="D41" s="34" t="s">
        <v>41</v>
      </c>
      <c r="E41" s="35">
        <v>112</v>
      </c>
      <c r="F41" s="35">
        <v>19.3</v>
      </c>
      <c r="G41" s="35">
        <v>6.45</v>
      </c>
      <c r="H41" s="35">
        <f t="shared" ref="H41:H49" si="4">SUM(E41:G41)</f>
        <v>137.75</v>
      </c>
      <c r="I41" s="36">
        <f t="shared" si="3"/>
        <v>17833.311862657505</v>
      </c>
    </row>
    <row r="42" spans="1:9" ht="41.4" outlineLevel="4" x14ac:dyDescent="0.3">
      <c r="A42" s="32" t="s">
        <v>46</v>
      </c>
      <c r="B42" s="32" t="s">
        <v>47</v>
      </c>
      <c r="C42" s="108">
        <f>'03 31 00 Structural Concrete'!R5</f>
        <v>1235.3</v>
      </c>
      <c r="D42" s="34" t="s">
        <v>41</v>
      </c>
      <c r="E42" s="35">
        <v>81</v>
      </c>
      <c r="F42" s="35">
        <v>13.65</v>
      </c>
      <c r="G42" s="35">
        <v>0.37</v>
      </c>
      <c r="H42" s="35">
        <f t="shared" si="4"/>
        <v>95.02000000000001</v>
      </c>
      <c r="I42" s="36">
        <f t="shared" si="3"/>
        <v>117378.20600000001</v>
      </c>
    </row>
    <row r="43" spans="1:9" ht="41.4" outlineLevel="4" x14ac:dyDescent="0.3">
      <c r="A43" s="32" t="s">
        <v>48</v>
      </c>
      <c r="B43" s="32" t="s">
        <v>45</v>
      </c>
      <c r="C43" s="108">
        <f>'03 31 00 Structural Concrete'!R6</f>
        <v>431.03669718999998</v>
      </c>
      <c r="D43" s="34" t="s">
        <v>41</v>
      </c>
      <c r="E43" s="35">
        <v>112</v>
      </c>
      <c r="F43" s="35">
        <v>19.3</v>
      </c>
      <c r="G43" s="35">
        <v>6.45</v>
      </c>
      <c r="H43" s="35">
        <f t="shared" si="4"/>
        <v>137.75</v>
      </c>
      <c r="I43" s="36">
        <f t="shared" si="3"/>
        <v>59375.305037922495</v>
      </c>
    </row>
    <row r="44" spans="1:9" ht="41.4" outlineLevel="4" x14ac:dyDescent="0.3">
      <c r="A44" s="32" t="s">
        <v>49</v>
      </c>
      <c r="B44" s="32" t="s">
        <v>43</v>
      </c>
      <c r="C44" s="108">
        <f>'03 31 00 Structural Concrete'!R7</f>
        <v>71.641754977601224</v>
      </c>
      <c r="D44" s="34" t="s">
        <v>41</v>
      </c>
      <c r="E44" s="35">
        <v>117</v>
      </c>
      <c r="F44" s="35">
        <v>25</v>
      </c>
      <c r="G44" s="35">
        <v>0.68</v>
      </c>
      <c r="H44" s="35">
        <f t="shared" si="4"/>
        <v>142.68</v>
      </c>
      <c r="I44" s="36">
        <f t="shared" si="3"/>
        <v>10221.845600204144</v>
      </c>
    </row>
    <row r="45" spans="1:9" ht="41.4" outlineLevel="4" x14ac:dyDescent="0.3">
      <c r="A45" s="32" t="s">
        <v>50</v>
      </c>
      <c r="B45" s="32" t="s">
        <v>40</v>
      </c>
      <c r="C45" s="108">
        <f>'03 31 00 Structural Concrete'!R8</f>
        <v>138.01540500000002</v>
      </c>
      <c r="D45" s="34" t="s">
        <v>41</v>
      </c>
      <c r="E45" s="35">
        <v>112</v>
      </c>
      <c r="F45" s="35">
        <v>18.7</v>
      </c>
      <c r="G45" s="35">
        <v>0.51</v>
      </c>
      <c r="H45" s="35">
        <f t="shared" si="4"/>
        <v>131.20999999999998</v>
      </c>
      <c r="I45" s="36">
        <f t="shared" si="3"/>
        <v>18109.001290050001</v>
      </c>
    </row>
    <row r="46" spans="1:9" ht="27.6" outlineLevel="4" x14ac:dyDescent="0.3">
      <c r="A46" s="32" t="s">
        <v>51</v>
      </c>
      <c r="B46" s="32" t="s">
        <v>52</v>
      </c>
      <c r="C46" s="108">
        <f>'03 31 00 Structural Concrete'!R9</f>
        <v>7.8219487499999998</v>
      </c>
      <c r="D46" s="34" t="s">
        <v>41</v>
      </c>
      <c r="E46" s="35">
        <v>112</v>
      </c>
      <c r="F46" s="35">
        <v>22</v>
      </c>
      <c r="G46" s="35">
        <v>7.35</v>
      </c>
      <c r="H46" s="35">
        <f t="shared" si="4"/>
        <v>141.35</v>
      </c>
      <c r="I46" s="36">
        <f t="shared" si="3"/>
        <v>1105.6324558125</v>
      </c>
    </row>
    <row r="47" spans="1:9" ht="27.6" outlineLevel="4" x14ac:dyDescent="0.3">
      <c r="A47" s="32" t="s">
        <v>53</v>
      </c>
      <c r="B47" s="32" t="s">
        <v>52</v>
      </c>
      <c r="C47" s="108">
        <f>'03 31 00 Structural Concrete'!R10</f>
        <v>2022.7557690476015</v>
      </c>
      <c r="D47" s="34" t="s">
        <v>41</v>
      </c>
      <c r="E47" s="35">
        <v>9</v>
      </c>
      <c r="F47" s="35">
        <v>0</v>
      </c>
      <c r="G47" s="35">
        <v>0</v>
      </c>
      <c r="H47" s="35">
        <f t="shared" si="4"/>
        <v>9</v>
      </c>
      <c r="I47" s="36">
        <f t="shared" si="3"/>
        <v>18204.801921428414</v>
      </c>
    </row>
    <row r="48" spans="1:9" ht="41.4" outlineLevel="4" x14ac:dyDescent="0.3">
      <c r="A48" s="32" t="s">
        <v>54</v>
      </c>
      <c r="B48" s="32" t="s">
        <v>55</v>
      </c>
      <c r="C48" s="109">
        <v>18529.560000000001</v>
      </c>
      <c r="D48" s="34" t="s">
        <v>30</v>
      </c>
      <c r="E48" s="35">
        <v>27.5</v>
      </c>
      <c r="F48" s="35">
        <v>0</v>
      </c>
      <c r="G48" s="35">
        <v>0</v>
      </c>
      <c r="H48" s="35">
        <f t="shared" si="4"/>
        <v>27.5</v>
      </c>
      <c r="I48" s="36">
        <f t="shared" si="3"/>
        <v>509562.9</v>
      </c>
    </row>
    <row r="49" spans="1:9" ht="41.4" outlineLevel="4" x14ac:dyDescent="0.3">
      <c r="A49" s="32" t="s">
        <v>56</v>
      </c>
      <c r="B49" s="32" t="s">
        <v>55</v>
      </c>
      <c r="C49" s="109">
        <v>1235.3</v>
      </c>
      <c r="D49" s="34" t="s">
        <v>41</v>
      </c>
      <c r="E49" s="35">
        <v>20</v>
      </c>
      <c r="F49" s="35">
        <v>0</v>
      </c>
      <c r="G49" s="35">
        <v>0</v>
      </c>
      <c r="H49" s="35">
        <f t="shared" si="4"/>
        <v>20</v>
      </c>
      <c r="I49" s="36">
        <f t="shared" si="3"/>
        <v>24706</v>
      </c>
    </row>
    <row r="50" spans="1:9" outlineLevel="4" x14ac:dyDescent="0.3">
      <c r="A50" s="32" t="s">
        <v>25</v>
      </c>
      <c r="B50" s="32"/>
      <c r="C50" s="33"/>
      <c r="D50" s="34"/>
      <c r="E50" s="35">
        <v>0</v>
      </c>
      <c r="F50" s="35">
        <v>0</v>
      </c>
      <c r="G50" s="35">
        <v>0</v>
      </c>
      <c r="H50" s="35">
        <v>0</v>
      </c>
      <c r="I50" s="36">
        <v>0</v>
      </c>
    </row>
    <row r="51" spans="1:9" outlineLevel="4" x14ac:dyDescent="0.3">
      <c r="A51" s="32" t="s">
        <v>25</v>
      </c>
      <c r="B51" s="32"/>
      <c r="C51" s="33"/>
      <c r="D51" s="34"/>
      <c r="E51" s="35">
        <v>0</v>
      </c>
      <c r="F51" s="35">
        <v>0</v>
      </c>
      <c r="G51" s="35">
        <v>0</v>
      </c>
      <c r="H51" s="35">
        <v>0</v>
      </c>
      <c r="I51" s="36">
        <v>0</v>
      </c>
    </row>
    <row r="52" spans="1:9" outlineLevel="4" x14ac:dyDescent="0.3">
      <c r="A52" s="32" t="s">
        <v>25</v>
      </c>
      <c r="B52" s="32"/>
      <c r="C52" s="33"/>
      <c r="D52" s="34"/>
      <c r="E52" s="35">
        <v>0</v>
      </c>
      <c r="F52" s="35">
        <v>0</v>
      </c>
      <c r="G52" s="35">
        <v>0</v>
      </c>
      <c r="H52" s="35">
        <v>0</v>
      </c>
      <c r="I52" s="36">
        <v>0</v>
      </c>
    </row>
    <row r="53" spans="1:9" ht="21" customHeight="1" outlineLevel="2" x14ac:dyDescent="0.3">
      <c r="A53" s="31" t="s">
        <v>57</v>
      </c>
      <c r="B53" s="27"/>
      <c r="C53" s="28"/>
      <c r="D53" s="28"/>
      <c r="E53" s="28"/>
      <c r="F53" s="28"/>
      <c r="G53" s="28"/>
      <c r="H53" s="28"/>
      <c r="I53" s="29">
        <f>I54</f>
        <v>146618.43649999998</v>
      </c>
    </row>
    <row r="54" spans="1:9" ht="21" customHeight="1" outlineLevel="3" x14ac:dyDescent="0.3">
      <c r="A54" s="27" t="s">
        <v>57</v>
      </c>
      <c r="B54" s="27"/>
      <c r="C54" s="28"/>
      <c r="D54" s="28"/>
      <c r="E54" s="28"/>
      <c r="F54" s="28"/>
      <c r="G54" s="28"/>
      <c r="H54" s="28"/>
      <c r="I54" s="29">
        <f>SUM(I55:I61)</f>
        <v>146618.43649999998</v>
      </c>
    </row>
    <row r="55" spans="1:9" ht="14.4" outlineLevel="4" x14ac:dyDescent="0.25">
      <c r="A55" s="32" t="s">
        <v>58</v>
      </c>
      <c r="B55" s="99" t="s">
        <v>21</v>
      </c>
      <c r="C55" s="82">
        <v>85321.83</v>
      </c>
      <c r="D55" s="34" t="s">
        <v>59</v>
      </c>
      <c r="E55" s="35">
        <v>0</v>
      </c>
      <c r="F55" s="35">
        <v>0</v>
      </c>
      <c r="G55" s="35">
        <v>0</v>
      </c>
      <c r="H55" s="35">
        <v>0.75</v>
      </c>
      <c r="I55" s="36">
        <f t="shared" ref="I55:I61" si="5">H55*C55</f>
        <v>63991.372499999998</v>
      </c>
    </row>
    <row r="56" spans="1:9" ht="14.4" outlineLevel="4" x14ac:dyDescent="0.25">
      <c r="A56" s="32" t="s">
        <v>60</v>
      </c>
      <c r="B56" s="99" t="s">
        <v>21</v>
      </c>
      <c r="C56" s="81">
        <v>85321.83</v>
      </c>
      <c r="D56" s="34" t="s">
        <v>59</v>
      </c>
      <c r="E56" s="35">
        <v>0</v>
      </c>
      <c r="F56" s="35">
        <v>0</v>
      </c>
      <c r="G56" s="35">
        <v>0</v>
      </c>
      <c r="H56" s="35">
        <v>0.7</v>
      </c>
      <c r="I56" s="36">
        <f t="shared" si="5"/>
        <v>59725.280999999995</v>
      </c>
    </row>
    <row r="57" spans="1:9" ht="14.4" outlineLevel="4" x14ac:dyDescent="0.25">
      <c r="A57" s="32" t="s">
        <v>61</v>
      </c>
      <c r="B57" s="99" t="s">
        <v>21</v>
      </c>
      <c r="C57" s="81">
        <v>17962</v>
      </c>
      <c r="D57" s="34" t="s">
        <v>62</v>
      </c>
      <c r="E57" s="35">
        <v>0</v>
      </c>
      <c r="F57" s="35">
        <v>0</v>
      </c>
      <c r="G57" s="35">
        <v>0</v>
      </c>
      <c r="H57" s="35">
        <v>0.8</v>
      </c>
      <c r="I57" s="36">
        <f t="shared" si="5"/>
        <v>14369.6</v>
      </c>
    </row>
    <row r="58" spans="1:9" ht="14.4" outlineLevel="4" x14ac:dyDescent="0.25">
      <c r="A58" s="32" t="s">
        <v>63</v>
      </c>
      <c r="B58" s="99" t="s">
        <v>21</v>
      </c>
      <c r="C58" s="81">
        <v>85321.83</v>
      </c>
      <c r="D58" s="34" t="s">
        <v>59</v>
      </c>
      <c r="E58" s="35">
        <v>0</v>
      </c>
      <c r="F58" s="35">
        <v>0</v>
      </c>
      <c r="G58" s="35">
        <v>0</v>
      </c>
      <c r="H58" s="35">
        <v>0.1</v>
      </c>
      <c r="I58" s="36">
        <f t="shared" si="5"/>
        <v>8532.1830000000009</v>
      </c>
    </row>
    <row r="59" spans="1:9" outlineLevel="4" x14ac:dyDescent="0.3">
      <c r="A59" s="32" t="s">
        <v>25</v>
      </c>
      <c r="B59" s="32"/>
      <c r="C59" s="33"/>
      <c r="D59" s="34"/>
      <c r="E59" s="35">
        <v>0</v>
      </c>
      <c r="F59" s="35">
        <v>0</v>
      </c>
      <c r="G59" s="35">
        <v>0</v>
      </c>
      <c r="H59" s="35">
        <v>0</v>
      </c>
      <c r="I59" s="36">
        <f t="shared" si="5"/>
        <v>0</v>
      </c>
    </row>
    <row r="60" spans="1:9" outlineLevel="4" x14ac:dyDescent="0.3">
      <c r="A60" s="32" t="s">
        <v>25</v>
      </c>
      <c r="B60" s="32"/>
      <c r="C60" s="33"/>
      <c r="D60" s="34"/>
      <c r="E60" s="35">
        <v>0</v>
      </c>
      <c r="F60" s="35">
        <v>0</v>
      </c>
      <c r="G60" s="35">
        <v>0</v>
      </c>
      <c r="H60" s="35">
        <v>0</v>
      </c>
      <c r="I60" s="36">
        <f t="shared" si="5"/>
        <v>0</v>
      </c>
    </row>
    <row r="61" spans="1:9" outlineLevel="4" x14ac:dyDescent="0.3">
      <c r="A61" s="32" t="s">
        <v>25</v>
      </c>
      <c r="B61" s="32"/>
      <c r="C61" s="33"/>
      <c r="D61" s="34"/>
      <c r="E61" s="35">
        <v>0</v>
      </c>
      <c r="F61" s="35">
        <v>0</v>
      </c>
      <c r="G61" s="35">
        <v>0</v>
      </c>
      <c r="H61" s="35">
        <v>0</v>
      </c>
      <c r="I61" s="36">
        <f t="shared" si="5"/>
        <v>0</v>
      </c>
    </row>
    <row r="62" spans="1:9" ht="21" customHeight="1" outlineLevel="1" x14ac:dyDescent="0.3">
      <c r="A62" s="30" t="s">
        <v>64</v>
      </c>
      <c r="B62" s="27"/>
      <c r="C62" s="28"/>
      <c r="D62" s="28"/>
      <c r="E62" s="28"/>
      <c r="F62" s="28"/>
      <c r="G62" s="28"/>
      <c r="H62" s="28"/>
      <c r="I62" s="29">
        <f>I63</f>
        <v>1550632.5</v>
      </c>
    </row>
    <row r="63" spans="1:9" ht="21" customHeight="1" outlineLevel="2" x14ac:dyDescent="0.3">
      <c r="A63" s="31" t="s">
        <v>65</v>
      </c>
      <c r="B63" s="27"/>
      <c r="C63" s="28"/>
      <c r="D63" s="28"/>
      <c r="E63" s="28"/>
      <c r="F63" s="28"/>
      <c r="G63" s="28"/>
      <c r="H63" s="28"/>
      <c r="I63" s="29">
        <f>I64</f>
        <v>1550632.5</v>
      </c>
    </row>
    <row r="64" spans="1:9" ht="21" customHeight="1" outlineLevel="3" x14ac:dyDescent="0.3">
      <c r="A64" s="27" t="s">
        <v>66</v>
      </c>
      <c r="B64" s="27"/>
      <c r="C64" s="28"/>
      <c r="D64" s="28"/>
      <c r="E64" s="28"/>
      <c r="F64" s="28"/>
      <c r="G64" s="28"/>
      <c r="H64" s="28"/>
      <c r="I64" s="29">
        <f>SUM(I65:I68)</f>
        <v>1550632.5</v>
      </c>
    </row>
    <row r="65" spans="1:9" ht="14.4" outlineLevel="4" x14ac:dyDescent="0.25">
      <c r="A65" s="32" t="s">
        <v>67</v>
      </c>
      <c r="B65" s="99" t="s">
        <v>21</v>
      </c>
      <c r="C65" s="82">
        <v>34458.5</v>
      </c>
      <c r="D65" s="34" t="s">
        <v>59</v>
      </c>
      <c r="E65" s="35">
        <v>0</v>
      </c>
      <c r="F65" s="35">
        <v>0</v>
      </c>
      <c r="G65" s="35">
        <v>0</v>
      </c>
      <c r="H65" s="35">
        <v>45</v>
      </c>
      <c r="I65" s="36">
        <f>H65*C65</f>
        <v>1550632.5</v>
      </c>
    </row>
    <row r="66" spans="1:9" outlineLevel="4" x14ac:dyDescent="0.3">
      <c r="A66" s="32" t="s">
        <v>25</v>
      </c>
      <c r="B66" s="32"/>
      <c r="C66" s="33"/>
      <c r="D66" s="34"/>
      <c r="E66" s="35">
        <v>0</v>
      </c>
      <c r="F66" s="35">
        <v>0</v>
      </c>
      <c r="G66" s="35">
        <v>0</v>
      </c>
      <c r="H66" s="35">
        <v>0</v>
      </c>
      <c r="I66" s="36">
        <f>H66*C66</f>
        <v>0</v>
      </c>
    </row>
    <row r="67" spans="1:9" outlineLevel="4" x14ac:dyDescent="0.3">
      <c r="A67" s="32" t="s">
        <v>25</v>
      </c>
      <c r="B67" s="32"/>
      <c r="C67" s="33"/>
      <c r="D67" s="34"/>
      <c r="E67" s="35">
        <v>0</v>
      </c>
      <c r="F67" s="35">
        <v>0</v>
      </c>
      <c r="G67" s="35">
        <v>0</v>
      </c>
      <c r="H67" s="35">
        <v>0</v>
      </c>
      <c r="I67" s="36">
        <f>H67*C67</f>
        <v>0</v>
      </c>
    </row>
    <row r="68" spans="1:9" outlineLevel="4" x14ac:dyDescent="0.3">
      <c r="A68" s="32" t="s">
        <v>25</v>
      </c>
      <c r="B68" s="32"/>
      <c r="C68" s="33"/>
      <c r="D68" s="34"/>
      <c r="E68" s="35">
        <v>0</v>
      </c>
      <c r="F68" s="35">
        <v>0</v>
      </c>
      <c r="G68" s="35">
        <v>0</v>
      </c>
      <c r="H68" s="35">
        <v>0</v>
      </c>
      <c r="I68" s="36">
        <f>H68*C68</f>
        <v>0</v>
      </c>
    </row>
    <row r="69" spans="1:9" ht="21" customHeight="1" x14ac:dyDescent="0.3">
      <c r="A69" s="26" t="s">
        <v>68</v>
      </c>
      <c r="B69" s="27"/>
      <c r="C69" s="28"/>
      <c r="D69" s="28"/>
      <c r="E69" s="28"/>
      <c r="F69" s="28"/>
      <c r="G69" s="28"/>
      <c r="H69" s="28"/>
      <c r="I69" s="29">
        <f>I70</f>
        <v>15276.932100000002</v>
      </c>
    </row>
    <row r="70" spans="1:9" ht="21" customHeight="1" outlineLevel="1" x14ac:dyDescent="0.3">
      <c r="A70" s="30" t="s">
        <v>69</v>
      </c>
      <c r="B70" s="27"/>
      <c r="C70" s="28"/>
      <c r="D70" s="28"/>
      <c r="E70" s="28"/>
      <c r="F70" s="28"/>
      <c r="G70" s="28"/>
      <c r="H70" s="28"/>
      <c r="I70" s="29">
        <f>I71</f>
        <v>15276.932100000002</v>
      </c>
    </row>
    <row r="71" spans="1:9" ht="21" customHeight="1" outlineLevel="2" x14ac:dyDescent="0.3">
      <c r="A71" s="31" t="s">
        <v>70</v>
      </c>
      <c r="B71" s="27"/>
      <c r="C71" s="28"/>
      <c r="D71" s="28"/>
      <c r="E71" s="28"/>
      <c r="F71" s="28"/>
      <c r="G71" s="28"/>
      <c r="H71" s="28"/>
      <c r="I71" s="29">
        <f>I72</f>
        <v>15276.932100000002</v>
      </c>
    </row>
    <row r="72" spans="1:9" ht="21" customHeight="1" outlineLevel="3" x14ac:dyDescent="0.3">
      <c r="A72" s="27" t="s">
        <v>71</v>
      </c>
      <c r="B72" s="27"/>
      <c r="C72" s="28"/>
      <c r="D72" s="28"/>
      <c r="E72" s="28"/>
      <c r="F72" s="28"/>
      <c r="G72" s="28"/>
      <c r="H72" s="28"/>
      <c r="I72" s="29">
        <f>SUM(I73:I76)</f>
        <v>15276.932100000002</v>
      </c>
    </row>
    <row r="73" spans="1:9" outlineLevel="4" x14ac:dyDescent="0.3">
      <c r="A73" s="32" t="s">
        <v>72</v>
      </c>
      <c r="B73" s="32" t="s">
        <v>73</v>
      </c>
      <c r="C73" s="108">
        <v>1081.17</v>
      </c>
      <c r="D73" s="34" t="s">
        <v>59</v>
      </c>
      <c r="E73" s="35">
        <v>6.98</v>
      </c>
      <c r="F73" s="35">
        <v>7.15</v>
      </c>
      <c r="G73" s="35">
        <v>0</v>
      </c>
      <c r="H73" s="35">
        <v>14.13</v>
      </c>
      <c r="I73" s="36">
        <f>H73*C73</f>
        <v>15276.932100000002</v>
      </c>
    </row>
    <row r="74" spans="1:9" outlineLevel="4" x14ac:dyDescent="0.3">
      <c r="A74" s="32" t="s">
        <v>25</v>
      </c>
      <c r="B74" s="32"/>
      <c r="C74" s="33"/>
      <c r="D74" s="34"/>
      <c r="E74" s="35">
        <v>0</v>
      </c>
      <c r="F74" s="35">
        <v>0</v>
      </c>
      <c r="G74" s="35">
        <v>0</v>
      </c>
      <c r="H74" s="35">
        <v>0</v>
      </c>
      <c r="I74" s="36">
        <v>0</v>
      </c>
    </row>
    <row r="75" spans="1:9" outlineLevel="4" x14ac:dyDescent="0.3">
      <c r="A75" s="32" t="s">
        <v>25</v>
      </c>
      <c r="B75" s="32"/>
      <c r="C75" s="33"/>
      <c r="D75" s="34"/>
      <c r="E75" s="35">
        <v>0</v>
      </c>
      <c r="F75" s="35">
        <v>0</v>
      </c>
      <c r="G75" s="35">
        <v>0</v>
      </c>
      <c r="H75" s="35">
        <v>0</v>
      </c>
      <c r="I75" s="36">
        <v>0</v>
      </c>
    </row>
    <row r="76" spans="1:9" outlineLevel="4" x14ac:dyDescent="0.3">
      <c r="A76" s="32" t="s">
        <v>25</v>
      </c>
      <c r="B76" s="32"/>
      <c r="C76" s="33"/>
      <c r="D76" s="34"/>
      <c r="E76" s="35">
        <v>0</v>
      </c>
      <c r="F76" s="35">
        <v>0</v>
      </c>
      <c r="G76" s="35">
        <v>0</v>
      </c>
      <c r="H76" s="35">
        <v>0</v>
      </c>
      <c r="I76" s="36">
        <v>0</v>
      </c>
    </row>
    <row r="77" spans="1:9" ht="21" customHeight="1" x14ac:dyDescent="0.3">
      <c r="A77" s="26" t="s">
        <v>74</v>
      </c>
      <c r="B77" s="27"/>
      <c r="C77" s="28"/>
      <c r="D77" s="28"/>
      <c r="E77" s="28"/>
      <c r="F77" s="28"/>
      <c r="G77" s="28"/>
      <c r="H77" s="28"/>
      <c r="I77" s="29">
        <f>I78+I108</f>
        <v>1115572.1154857285</v>
      </c>
    </row>
    <row r="78" spans="1:9" ht="21" customHeight="1" outlineLevel="1" x14ac:dyDescent="0.3">
      <c r="A78" s="30" t="s">
        <v>75</v>
      </c>
      <c r="B78" s="27"/>
      <c r="C78" s="28"/>
      <c r="D78" s="28"/>
      <c r="E78" s="28"/>
      <c r="F78" s="28"/>
      <c r="G78" s="28"/>
      <c r="H78" s="28"/>
      <c r="I78" s="29">
        <f>I79</f>
        <v>886645.89788572851</v>
      </c>
    </row>
    <row r="79" spans="1:9" ht="21" customHeight="1" outlineLevel="2" x14ac:dyDescent="0.3">
      <c r="A79" s="31" t="s">
        <v>76</v>
      </c>
      <c r="B79" s="27"/>
      <c r="C79" s="28"/>
      <c r="D79" s="28"/>
      <c r="E79" s="28"/>
      <c r="F79" s="28"/>
      <c r="G79" s="28"/>
      <c r="H79" s="28"/>
      <c r="I79" s="29">
        <f>I80</f>
        <v>886645.89788572851</v>
      </c>
    </row>
    <row r="80" spans="1:9" ht="21" customHeight="1" outlineLevel="3" x14ac:dyDescent="0.3">
      <c r="A80" s="27" t="s">
        <v>77</v>
      </c>
      <c r="B80" s="27"/>
      <c r="C80" s="28"/>
      <c r="D80" s="28"/>
      <c r="E80" s="28"/>
      <c r="F80" s="28"/>
      <c r="G80" s="28"/>
      <c r="H80" s="28"/>
      <c r="I80" s="29">
        <f>SUM(I81:I107)</f>
        <v>886645.89788572851</v>
      </c>
    </row>
    <row r="81" spans="1:9" outlineLevel="4" x14ac:dyDescent="0.25">
      <c r="A81" s="32" t="s">
        <v>78</v>
      </c>
      <c r="B81" s="32" t="s">
        <v>79</v>
      </c>
      <c r="C81" s="82">
        <f>'05 12 00 Structural Steel Frami'!Q2</f>
        <v>15912.204000000002</v>
      </c>
      <c r="D81" s="34" t="s">
        <v>30</v>
      </c>
      <c r="E81" s="35">
        <f>'05 12 00 Structural Steel Frami'!Y2</f>
        <v>4.6369899311075784</v>
      </c>
      <c r="F81" s="35">
        <f>'05 12 00 Structural Steel Frami'!Z2</f>
        <v>0.21008403361344538</v>
      </c>
      <c r="G81" s="35">
        <f>'05 12 00 Structural Steel Frami'!AA2</f>
        <v>0.1287001287001287</v>
      </c>
      <c r="H81" s="35">
        <f>SUM(E81:G81)</f>
        <v>4.975774093421153</v>
      </c>
      <c r="I81" s="36">
        <f t="shared" ref="I81:I104" si="6">H81*C81</f>
        <v>79175.532432432447</v>
      </c>
    </row>
    <row r="82" spans="1:9" outlineLevel="4" x14ac:dyDescent="0.25">
      <c r="A82" s="32" t="s">
        <v>80</v>
      </c>
      <c r="B82" s="32" t="s">
        <v>79</v>
      </c>
      <c r="C82" s="82">
        <f>'05 12 00 Structural Steel Frami'!Q3</f>
        <v>5623.1809789229237</v>
      </c>
      <c r="D82" s="34" t="s">
        <v>30</v>
      </c>
      <c r="E82" s="35">
        <f>'05 12 00 Structural Steel Frami'!Y3</f>
        <v>3.5753896445041153</v>
      </c>
      <c r="F82" s="35">
        <f>'05 12 00 Structural Steel Frami'!Z3</f>
        <v>0.16198704103671707</v>
      </c>
      <c r="G82" s="35">
        <f>'05 12 00 Structural Steel Frami'!AA3</f>
        <v>9.9235304418889725E-2</v>
      </c>
      <c r="H82" s="35">
        <f>SUM(E82:G82)</f>
        <v>3.8366119899597222</v>
      </c>
      <c r="I82" s="36">
        <f t="shared" si="6"/>
        <v>21573.963565449136</v>
      </c>
    </row>
    <row r="83" spans="1:9" outlineLevel="4" x14ac:dyDescent="0.25">
      <c r="A83" s="32" t="s">
        <v>81</v>
      </c>
      <c r="B83" s="32" t="s">
        <v>79</v>
      </c>
      <c r="C83" s="82">
        <f>'05 12 00 Structural Steel Frami'!Q4</f>
        <v>51026.025600000081</v>
      </c>
      <c r="D83" s="34" t="s">
        <v>30</v>
      </c>
      <c r="E83" s="35">
        <f>'05 12 00 Structural Steel Frami'!Y4</f>
        <v>3.8319569569569563</v>
      </c>
      <c r="F83" s="35">
        <f>'05 12 00 Structural Steel Frami'!Z4</f>
        <v>0.17361111111111108</v>
      </c>
      <c r="G83" s="35">
        <f>'05 12 00 Structural Steel Frami'!AA4</f>
        <v>0.10635635635635633</v>
      </c>
      <c r="H83" s="35">
        <f>SUM(E83:G83)</f>
        <v>4.1119244244244237</v>
      </c>
      <c r="I83" s="36">
        <f t="shared" si="6"/>
        <v>209815.16094594623</v>
      </c>
    </row>
    <row r="84" spans="1:9" outlineLevel="4" x14ac:dyDescent="0.25">
      <c r="A84" s="32" t="s">
        <v>82</v>
      </c>
      <c r="B84" s="32" t="s">
        <v>79</v>
      </c>
      <c r="C84" s="82">
        <f>'05 12 00 Structural Steel Frami'!Q5</f>
        <v>6022.1689999999999</v>
      </c>
      <c r="D84" s="34" t="s">
        <v>30</v>
      </c>
      <c r="E84" s="35">
        <f>'05 12 00 Structural Steel Frami'!Y5</f>
        <v>1.43</v>
      </c>
      <c r="F84" s="35">
        <f>'05 12 00 Structural Steel Frami'!Z5</f>
        <v>5.9</v>
      </c>
      <c r="G84" s="35">
        <f>'05 12 00 Structural Steel Frami'!AA5</f>
        <v>0.54</v>
      </c>
      <c r="H84" s="35">
        <f t="shared" ref="H84:H104" si="7">SUM(E84:G84)</f>
        <v>7.87</v>
      </c>
      <c r="I84" s="36">
        <f t="shared" si="6"/>
        <v>47394.470029999997</v>
      </c>
    </row>
    <row r="85" spans="1:9" outlineLevel="4" x14ac:dyDescent="0.25">
      <c r="A85" s="32" t="s">
        <v>83</v>
      </c>
      <c r="B85" s="32" t="s">
        <v>79</v>
      </c>
      <c r="C85" s="82">
        <f>'05 12 00 Structural Steel Frami'!Q6</f>
        <v>1498.9814149785236</v>
      </c>
      <c r="D85" s="34" t="s">
        <v>30</v>
      </c>
      <c r="E85" s="35">
        <f>'05 12 00 Structural Steel Frami'!Y6</f>
        <v>5.5534987041836355E-2</v>
      </c>
      <c r="F85" s="35">
        <f>'05 12 00 Structural Steel Frami'!Z6</f>
        <v>0.36467974824139204</v>
      </c>
      <c r="G85" s="35">
        <f>'05 12 00 Structural Steel Frami'!AA6</f>
        <v>3.3691225472047392E-2</v>
      </c>
      <c r="H85" s="35">
        <f t="shared" si="7"/>
        <v>0.45390596075527578</v>
      </c>
      <c r="I85" s="36">
        <f t="shared" si="6"/>
        <v>680.39659932012955</v>
      </c>
    </row>
    <row r="86" spans="1:9" outlineLevel="4" x14ac:dyDescent="0.25">
      <c r="A86" s="32" t="s">
        <v>84</v>
      </c>
      <c r="B86" s="32" t="s">
        <v>79</v>
      </c>
      <c r="C86" s="82">
        <f>'05 12 00 Structural Steel Frami'!Q7</f>
        <v>4878.9509999999991</v>
      </c>
      <c r="D86" s="34" t="s">
        <v>30</v>
      </c>
      <c r="E86" s="35">
        <f>'05 12 00 Structural Steel Frami'!Y7</f>
        <v>4.6332046332046328</v>
      </c>
      <c r="F86" s="35">
        <f>'05 12 00 Structural Steel Frami'!Z7</f>
        <v>0.37206037206037201</v>
      </c>
      <c r="G86" s="35">
        <f>'05 12 00 Structural Steel Frami'!AA7</f>
        <v>0.22815022815022812</v>
      </c>
      <c r="H86" s="35">
        <f t="shared" si="7"/>
        <v>5.2334152334152328</v>
      </c>
      <c r="I86" s="36">
        <f t="shared" si="6"/>
        <v>25533.57648648648</v>
      </c>
    </row>
    <row r="87" spans="1:9" outlineLevel="4" x14ac:dyDescent="0.25">
      <c r="A87" s="32" t="s">
        <v>85</v>
      </c>
      <c r="B87" s="32" t="s">
        <v>79</v>
      </c>
      <c r="C87" s="82">
        <f>'05 12 00 Structural Steel Frami'!Q8</f>
        <v>2639.9538000000002</v>
      </c>
      <c r="D87" s="34" t="s">
        <v>30</v>
      </c>
      <c r="E87" s="35">
        <f>'05 12 00 Structural Steel Frami'!Y8</f>
        <v>3.1796502384737675</v>
      </c>
      <c r="F87" s="35">
        <f>'05 12 00 Structural Steel Frami'!Z8</f>
        <v>0.25533554945319648</v>
      </c>
      <c r="G87" s="35">
        <f>'05 12 00 Structural Steel Frami'!AA8</f>
        <v>0.15657368598545068</v>
      </c>
      <c r="H87" s="35">
        <f t="shared" si="7"/>
        <v>3.5915594739124144</v>
      </c>
      <c r="I87" s="36">
        <f t="shared" si="6"/>
        <v>9481.5510810810792</v>
      </c>
    </row>
    <row r="88" spans="1:9" outlineLevel="4" x14ac:dyDescent="0.25">
      <c r="A88" s="32" t="s">
        <v>86</v>
      </c>
      <c r="B88" s="32" t="s">
        <v>79</v>
      </c>
      <c r="C88" s="82">
        <f>'05 12 00 Structural Steel Frami'!Q9</f>
        <v>1143.4256</v>
      </c>
      <c r="D88" s="34" t="s">
        <v>30</v>
      </c>
      <c r="E88" s="35">
        <f>'05 12 00 Structural Steel Frami'!Y9</f>
        <v>2.4536228112569241</v>
      </c>
      <c r="F88" s="35">
        <f>'05 12 00 Structural Steel Frami'!Z9</f>
        <v>0.19703334696457117</v>
      </c>
      <c r="G88" s="35">
        <f>'05 12 00 Structural Steel Frami'!AA9</f>
        <v>0.12082233540280307</v>
      </c>
      <c r="H88" s="35">
        <f t="shared" si="7"/>
        <v>2.771478493624298</v>
      </c>
      <c r="I88" s="36">
        <f t="shared" si="6"/>
        <v>3168.9794594594591</v>
      </c>
    </row>
    <row r="89" spans="1:9" outlineLevel="4" x14ac:dyDescent="0.25">
      <c r="A89" s="32" t="s">
        <v>87</v>
      </c>
      <c r="B89" s="32" t="s">
        <v>79</v>
      </c>
      <c r="C89" s="82">
        <f>'05 12 00 Structural Steel Frami'!Q10</f>
        <v>1579.7922000000001</v>
      </c>
      <c r="D89" s="34" t="s">
        <v>30</v>
      </c>
      <c r="E89" s="35">
        <f>'05 12 00 Structural Steel Frami'!Y10</f>
        <v>2.7203647416413377</v>
      </c>
      <c r="F89" s="35">
        <f>'05 12 00 Structural Steel Frami'!Z10</f>
        <v>0.44072948328267481</v>
      </c>
      <c r="G89" s="35">
        <f>'05 12 00 Structural Steel Frami'!AA10</f>
        <v>0.26899696048632221</v>
      </c>
      <c r="H89" s="35">
        <f t="shared" si="7"/>
        <v>3.4300911854103346</v>
      </c>
      <c r="I89" s="36">
        <f t="shared" si="6"/>
        <v>5418.8313000000007</v>
      </c>
    </row>
    <row r="90" spans="1:9" outlineLevel="4" x14ac:dyDescent="0.25">
      <c r="A90" s="32" t="s">
        <v>88</v>
      </c>
      <c r="B90" s="32" t="s">
        <v>79</v>
      </c>
      <c r="C90" s="82">
        <f>'05 12 00 Structural Steel Frami'!Q11</f>
        <v>5050.0069865524056</v>
      </c>
      <c r="D90" s="34" t="s">
        <v>30</v>
      </c>
      <c r="E90" s="35">
        <f>'05 12 00 Structural Steel Frami'!Y11</f>
        <v>4.6332046332046328</v>
      </c>
      <c r="F90" s="35">
        <f>'05 12 00 Structural Steel Frami'!Z11</f>
        <v>0.37206037206037201</v>
      </c>
      <c r="G90" s="35">
        <f>'05 12 00 Structural Steel Frami'!AA11</f>
        <v>0.22815022815022812</v>
      </c>
      <c r="H90" s="35">
        <f t="shared" si="7"/>
        <v>5.2334152334152328</v>
      </c>
      <c r="I90" s="36">
        <f t="shared" si="6"/>
        <v>26428.783492276714</v>
      </c>
    </row>
    <row r="91" spans="1:9" outlineLevel="4" x14ac:dyDescent="0.25">
      <c r="A91" s="32" t="s">
        <v>89</v>
      </c>
      <c r="B91" s="32" t="s">
        <v>79</v>
      </c>
      <c r="C91" s="82">
        <f>'05 12 00 Structural Steel Frami'!Q12</f>
        <v>1932.2658645103977</v>
      </c>
      <c r="D91" s="34" t="s">
        <v>30</v>
      </c>
      <c r="E91" s="35">
        <f>'05 12 00 Structural Steel Frami'!Y12</f>
        <v>4.5540726421056545</v>
      </c>
      <c r="F91" s="35">
        <f>'05 12 00 Structural Steel Frami'!Z12</f>
        <v>0.2063273727647868</v>
      </c>
      <c r="G91" s="35">
        <f>'05 12 00 Structural Steel Frami'!AA12</f>
        <v>0.12639875088293245</v>
      </c>
      <c r="H91" s="35">
        <f t="shared" si="7"/>
        <v>4.8867987657533742</v>
      </c>
      <c r="I91" s="36">
        <f t="shared" si="6"/>
        <v>9442.5944417967876</v>
      </c>
    </row>
    <row r="92" spans="1:9" outlineLevel="4" x14ac:dyDescent="0.25">
      <c r="A92" s="32" t="s">
        <v>90</v>
      </c>
      <c r="B92" s="32" t="s">
        <v>79</v>
      </c>
      <c r="C92" s="82">
        <f>'05 12 00 Structural Steel Frami'!Q13</f>
        <v>3623.7579000000005</v>
      </c>
      <c r="D92" s="34" t="s">
        <v>30</v>
      </c>
      <c r="E92" s="35">
        <f>'05 12 00 Structural Steel Frami'!Y13</f>
        <v>3.214285714285714</v>
      </c>
      <c r="F92" s="35">
        <f>'05 12 00 Structural Steel Frami'!Z13</f>
        <v>0.54511278195488722</v>
      </c>
      <c r="G92" s="35">
        <f>'05 12 00 Structural Steel Frami'!AA13</f>
        <v>0.33270676691729323</v>
      </c>
      <c r="H92" s="35">
        <f t="shared" si="7"/>
        <v>4.0921052631578947</v>
      </c>
      <c r="I92" s="36">
        <f t="shared" si="6"/>
        <v>14828.798775000001</v>
      </c>
    </row>
    <row r="93" spans="1:9" outlineLevel="4" x14ac:dyDescent="0.25">
      <c r="A93" s="32" t="s">
        <v>91</v>
      </c>
      <c r="B93" s="32" t="s">
        <v>79</v>
      </c>
      <c r="C93" s="82">
        <f>'05 12 00 Structural Steel Frami'!Q14</f>
        <v>4807.4960499999997</v>
      </c>
      <c r="D93" s="34" t="s">
        <v>30</v>
      </c>
      <c r="E93" s="35">
        <f>'05 12 00 Structural Steel Frami'!Y14</f>
        <v>2.7203647416413377</v>
      </c>
      <c r="F93" s="35">
        <f>'05 12 00 Structural Steel Frami'!Z14</f>
        <v>0.44072948328267481</v>
      </c>
      <c r="G93" s="35">
        <f>'05 12 00 Structural Steel Frami'!AA14</f>
        <v>0.26899696048632221</v>
      </c>
      <c r="H93" s="35">
        <f t="shared" si="7"/>
        <v>3.4300911854103346</v>
      </c>
      <c r="I93" s="36">
        <f t="shared" si="6"/>
        <v>16490.149825</v>
      </c>
    </row>
    <row r="94" spans="1:9" outlineLevel="4" x14ac:dyDescent="0.25">
      <c r="A94" s="32" t="s">
        <v>92</v>
      </c>
      <c r="B94" s="32" t="s">
        <v>79</v>
      </c>
      <c r="C94" s="82">
        <f>'05 12 00 Structural Steel Frami'!Q15</f>
        <v>4522.4998000000005</v>
      </c>
      <c r="D94" s="34" t="s">
        <v>30</v>
      </c>
      <c r="E94" s="35">
        <f>'05 12 00 Structural Steel Frami'!Y15</f>
        <v>2.7203647416413377</v>
      </c>
      <c r="F94" s="35">
        <f>'05 12 00 Structural Steel Frami'!Z15</f>
        <v>0.44072948328267481</v>
      </c>
      <c r="G94" s="35">
        <f>'05 12 00 Structural Steel Frami'!AA15</f>
        <v>0.26899696048632221</v>
      </c>
      <c r="H94" s="35">
        <f t="shared" si="7"/>
        <v>3.4300911854103346</v>
      </c>
      <c r="I94" s="36">
        <f t="shared" si="6"/>
        <v>15512.586700000003</v>
      </c>
    </row>
    <row r="95" spans="1:9" outlineLevel="4" x14ac:dyDescent="0.25">
      <c r="A95" s="32" t="s">
        <v>93</v>
      </c>
      <c r="B95" s="32" t="s">
        <v>79</v>
      </c>
      <c r="C95" s="82">
        <f>'05 12 00 Structural Steel Frami'!Q16</f>
        <v>1364.7675999999999</v>
      </c>
      <c r="D95" s="34" t="s">
        <v>30</v>
      </c>
      <c r="E95" s="35">
        <f>'05 12 00 Structural Steel Frami'!Y16</f>
        <v>2.7249357326478152</v>
      </c>
      <c r="F95" s="35">
        <f>'05 12 00 Structural Steel Frami'!Z16</f>
        <v>0.2236503856041131</v>
      </c>
      <c r="G95" s="35">
        <f>'05 12 00 Structural Steel Frami'!AA16</f>
        <v>0.13624678663239076</v>
      </c>
      <c r="H95" s="35">
        <f t="shared" si="7"/>
        <v>3.084832904884319</v>
      </c>
      <c r="I95" s="36">
        <f t="shared" si="6"/>
        <v>4210.08</v>
      </c>
    </row>
    <row r="96" spans="1:9" outlineLevel="4" x14ac:dyDescent="0.25">
      <c r="A96" s="32" t="s">
        <v>94</v>
      </c>
      <c r="B96" s="32" t="s">
        <v>79</v>
      </c>
      <c r="C96" s="82">
        <f>'05 12 00 Structural Steel Frami'!Q17</f>
        <v>337.49099999999999</v>
      </c>
      <c r="D96" s="34" t="s">
        <v>30</v>
      </c>
      <c r="E96" s="35">
        <f>'05 12 00 Structural Steel Frami'!Y17</f>
        <v>2.7272727272727271</v>
      </c>
      <c r="F96" s="35">
        <f>'05 12 00 Structural Steel Frami'!Z17</f>
        <v>0.20995670995670992</v>
      </c>
      <c r="G96" s="35">
        <f>'05 12 00 Structural Steel Frami'!AA17</f>
        <v>0.12770562770562771</v>
      </c>
      <c r="H96" s="35">
        <f t="shared" si="7"/>
        <v>3.0649350649350646</v>
      </c>
      <c r="I96" s="36">
        <f t="shared" si="6"/>
        <v>1034.3879999999999</v>
      </c>
    </row>
    <row r="97" spans="1:9" outlineLevel="4" x14ac:dyDescent="0.25">
      <c r="A97" s="32" t="s">
        <v>95</v>
      </c>
      <c r="B97" s="32" t="s">
        <v>79</v>
      </c>
      <c r="C97" s="82">
        <f>'05 12 00 Structural Steel Frami'!Q18</f>
        <v>1638.7668000000001</v>
      </c>
      <c r="D97" s="34" t="s">
        <v>30</v>
      </c>
      <c r="E97" s="35">
        <f>'05 12 00 Structural Steel Frami'!Y18</f>
        <v>2.7203065134099615</v>
      </c>
      <c r="F97" s="35">
        <f>'05 12 00 Structural Steel Frami'!Z18</f>
        <v>0.25095785440613022</v>
      </c>
      <c r="G97" s="35">
        <f>'05 12 00 Structural Steel Frami'!AA18</f>
        <v>0.11302681992337164</v>
      </c>
      <c r="H97" s="35">
        <f t="shared" si="7"/>
        <v>3.0842911877394634</v>
      </c>
      <c r="I97" s="36">
        <f t="shared" si="6"/>
        <v>5054.4340000000002</v>
      </c>
    </row>
    <row r="98" spans="1:9" ht="14.4" customHeight="1" outlineLevel="4" x14ac:dyDescent="0.25">
      <c r="A98" s="32" t="s">
        <v>96</v>
      </c>
      <c r="B98" s="32" t="s">
        <v>79</v>
      </c>
      <c r="C98" s="82">
        <f>'05 12 00 Structural Steel Frami'!Q19</f>
        <v>508.82310000000001</v>
      </c>
      <c r="D98" s="34" t="s">
        <v>30</v>
      </c>
      <c r="E98" s="35">
        <f>'05 12 00 Structural Steel Frami'!Y19</f>
        <v>2.7135678391959797</v>
      </c>
      <c r="F98" s="35">
        <f>'05 12 00 Structural Steel Frami'!Z19</f>
        <v>0.21943048576214405</v>
      </c>
      <c r="G98" s="35">
        <f>'05 12 00 Structural Steel Frami'!AA19</f>
        <v>9.8827470686767172E-2</v>
      </c>
      <c r="H98" s="35">
        <f t="shared" si="7"/>
        <v>3.0318257956448909</v>
      </c>
      <c r="I98" s="36">
        <f t="shared" si="6"/>
        <v>1542.6629999999998</v>
      </c>
    </row>
    <row r="99" spans="1:9" outlineLevel="4" x14ac:dyDescent="0.25">
      <c r="A99" s="32" t="s">
        <v>97</v>
      </c>
      <c r="B99" s="32" t="s">
        <v>79</v>
      </c>
      <c r="C99" s="82">
        <f>'05 12 00 Structural Steel Frami'!Q20</f>
        <v>7505.2174000000005</v>
      </c>
      <c r="D99" s="34" t="s">
        <v>30</v>
      </c>
      <c r="E99" s="35">
        <f>'05 12 00 Structural Steel Frami'!Y20</f>
        <v>2.9985007496251872</v>
      </c>
      <c r="F99" s="35">
        <f>'05 12 00 Structural Steel Frami'!Z20</f>
        <v>7.8335832083958015E-2</v>
      </c>
      <c r="G99" s="35">
        <f>'05 12 00 Structural Steel Frami'!AA20</f>
        <v>3.5457271364317845E-2</v>
      </c>
      <c r="H99" s="35">
        <f t="shared" si="7"/>
        <v>3.1122938530734632</v>
      </c>
      <c r="I99" s="36">
        <f t="shared" si="6"/>
        <v>23358.44198</v>
      </c>
    </row>
    <row r="100" spans="1:9" outlineLevel="4" x14ac:dyDescent="0.25">
      <c r="A100" s="32" t="s">
        <v>98</v>
      </c>
      <c r="B100" s="32" t="s">
        <v>79</v>
      </c>
      <c r="C100" s="82">
        <f>'05 12 00 Structural Steel Frami'!Q21</f>
        <v>37251.932100000005</v>
      </c>
      <c r="D100" s="34" t="s">
        <v>30</v>
      </c>
      <c r="E100" s="35">
        <f>'05 12 00 Structural Steel Frami'!Y21</f>
        <v>2.7303754266211602</v>
      </c>
      <c r="F100" s="35">
        <f>'05 12 00 Structural Steel Frami'!Z21</f>
        <v>6.0864618885096693E-2</v>
      </c>
      <c r="G100" s="35">
        <f>'05 12 00 Structural Steel Frami'!AA21</f>
        <v>2.7531285551763363E-2</v>
      </c>
      <c r="H100" s="35">
        <f t="shared" si="7"/>
        <v>2.81877133105802</v>
      </c>
      <c r="I100" s="36">
        <f t="shared" si="6"/>
        <v>105004.67823</v>
      </c>
    </row>
    <row r="101" spans="1:9" outlineLevel="4" x14ac:dyDescent="0.25">
      <c r="A101" s="32" t="s">
        <v>99</v>
      </c>
      <c r="B101" s="32" t="s">
        <v>79</v>
      </c>
      <c r="C101" s="82">
        <f>'05 12 00 Structural Steel Frami'!Q22</f>
        <v>25203.590999999997</v>
      </c>
      <c r="D101" s="34" t="s">
        <v>30</v>
      </c>
      <c r="E101" s="35">
        <f>'05 12 00 Structural Steel Frami'!Y22</f>
        <v>2.7363184079601992</v>
      </c>
      <c r="F101" s="35">
        <f>'05 12 00 Structural Steel Frami'!Z22</f>
        <v>5.3482587064676616E-2</v>
      </c>
      <c r="G101" s="35">
        <f>'05 12 00 Structural Steel Frami'!AA22</f>
        <v>2.4129353233830843E-2</v>
      </c>
      <c r="H101" s="35">
        <f t="shared" si="7"/>
        <v>2.8139303482587068</v>
      </c>
      <c r="I101" s="36">
        <f t="shared" si="6"/>
        <v>70921.149600000004</v>
      </c>
    </row>
    <row r="102" spans="1:9" outlineLevel="4" x14ac:dyDescent="0.25">
      <c r="A102" s="32" t="s">
        <v>100</v>
      </c>
      <c r="B102" s="32" t="s">
        <v>79</v>
      </c>
      <c r="C102" s="82">
        <f>'05 12 00 Structural Steel Frami'!Q23</f>
        <v>4274.9440500000001</v>
      </c>
      <c r="D102" s="34" t="s">
        <v>30</v>
      </c>
      <c r="E102" s="35">
        <f>'05 12 00 Structural Steel Frami'!Y23</f>
        <v>2.9003783102143759</v>
      </c>
      <c r="F102" s="35">
        <f>'05 12 00 Structural Steel Frami'!Z23</f>
        <v>4.5817570407734341E-2</v>
      </c>
      <c r="G102" s="35">
        <f>'05 12 00 Structural Steel Frami'!AA23</f>
        <v>2.0722992854140393E-2</v>
      </c>
      <c r="H102" s="35">
        <f t="shared" si="7"/>
        <v>2.9669188734762506</v>
      </c>
      <c r="I102" s="36">
        <f t="shared" si="6"/>
        <v>12683.412185000001</v>
      </c>
    </row>
    <row r="103" spans="1:9" outlineLevel="4" x14ac:dyDescent="0.25">
      <c r="A103" s="32" t="s">
        <v>101</v>
      </c>
      <c r="B103" s="32" t="s">
        <v>79</v>
      </c>
      <c r="C103" s="82">
        <f>'05 12 00 Structural Steel Frami'!Q24</f>
        <v>94436.637159999998</v>
      </c>
      <c r="D103" s="34" t="s">
        <v>30</v>
      </c>
      <c r="E103" s="35">
        <f>'05 12 00 Structural Steel Frami'!Y24</f>
        <v>1.3770992366412214</v>
      </c>
      <c r="F103" s="35">
        <f>'05 12 00 Structural Steel Frami'!Z24</f>
        <v>0.20030534351145041</v>
      </c>
      <c r="G103" s="35">
        <f>'05 12 00 Structural Steel Frami'!AA24</f>
        <v>9.6396946564885497E-2</v>
      </c>
      <c r="H103" s="35">
        <f t="shared" si="7"/>
        <v>1.6738015267175572</v>
      </c>
      <c r="I103" s="36">
        <f t="shared" si="6"/>
        <v>158068.18745647999</v>
      </c>
    </row>
    <row r="104" spans="1:9" ht="41.4" outlineLevel="4" x14ac:dyDescent="0.25">
      <c r="A104" s="32" t="s">
        <v>102</v>
      </c>
      <c r="B104" s="32" t="s">
        <v>103</v>
      </c>
      <c r="C104" s="81">
        <v>5655.66</v>
      </c>
      <c r="D104" s="34" t="s">
        <v>30</v>
      </c>
      <c r="E104" s="35">
        <v>2.9249999999999998</v>
      </c>
      <c r="F104" s="35">
        <v>0.4</v>
      </c>
      <c r="G104" s="35">
        <v>0.18</v>
      </c>
      <c r="H104" s="35">
        <f t="shared" si="7"/>
        <v>3.5049999999999999</v>
      </c>
      <c r="I104" s="36">
        <f t="shared" si="6"/>
        <v>19823.088299999999</v>
      </c>
    </row>
    <row r="105" spans="1:9" outlineLevel="4" x14ac:dyDescent="0.3">
      <c r="A105" s="32" t="s">
        <v>25</v>
      </c>
      <c r="B105" s="32"/>
      <c r="C105" s="33"/>
      <c r="D105" s="34"/>
      <c r="E105" s="35">
        <v>0</v>
      </c>
      <c r="F105" s="35">
        <v>0</v>
      </c>
      <c r="G105" s="35">
        <v>0</v>
      </c>
      <c r="H105" s="35">
        <v>0</v>
      </c>
      <c r="I105" s="36">
        <v>0</v>
      </c>
    </row>
    <row r="106" spans="1:9" outlineLevel="4" x14ac:dyDescent="0.3">
      <c r="A106" s="32" t="s">
        <v>25</v>
      </c>
      <c r="B106" s="32"/>
      <c r="C106" s="33"/>
      <c r="D106" s="34"/>
      <c r="E106" s="35">
        <v>0</v>
      </c>
      <c r="F106" s="35">
        <v>0</v>
      </c>
      <c r="G106" s="35">
        <v>0</v>
      </c>
      <c r="H106" s="35">
        <v>0</v>
      </c>
      <c r="I106" s="36">
        <v>0</v>
      </c>
    </row>
    <row r="107" spans="1:9" outlineLevel="4" x14ac:dyDescent="0.3">
      <c r="A107" s="32" t="s">
        <v>25</v>
      </c>
      <c r="B107" s="32"/>
      <c r="C107" s="33"/>
      <c r="D107" s="34"/>
      <c r="E107" s="35">
        <v>0</v>
      </c>
      <c r="F107" s="35">
        <v>0</v>
      </c>
      <c r="G107" s="35">
        <v>0</v>
      </c>
      <c r="H107" s="35">
        <v>0</v>
      </c>
      <c r="I107" s="36">
        <v>0</v>
      </c>
    </row>
    <row r="108" spans="1:9" ht="21" customHeight="1" outlineLevel="1" x14ac:dyDescent="0.3">
      <c r="A108" s="30" t="s">
        <v>104</v>
      </c>
      <c r="B108" s="27"/>
      <c r="C108" s="28"/>
      <c r="D108" s="28"/>
      <c r="E108" s="28"/>
      <c r="F108" s="28"/>
      <c r="G108" s="28"/>
      <c r="H108" s="28"/>
      <c r="I108" s="29">
        <f>I109</f>
        <v>228926.2176</v>
      </c>
    </row>
    <row r="109" spans="1:9" ht="21" customHeight="1" outlineLevel="2" x14ac:dyDescent="0.3">
      <c r="A109" s="31" t="s">
        <v>105</v>
      </c>
      <c r="B109" s="27"/>
      <c r="C109" s="28"/>
      <c r="D109" s="28"/>
      <c r="E109" s="28"/>
      <c r="F109" s="28"/>
      <c r="G109" s="28"/>
      <c r="H109" s="28"/>
      <c r="I109" s="29">
        <f>I110</f>
        <v>228926.2176</v>
      </c>
    </row>
    <row r="110" spans="1:9" ht="21" customHeight="1" outlineLevel="3" x14ac:dyDescent="0.3">
      <c r="A110" s="27" t="s">
        <v>106</v>
      </c>
      <c r="B110" s="27"/>
      <c r="C110" s="28"/>
      <c r="D110" s="28"/>
      <c r="E110" s="28"/>
      <c r="F110" s="28"/>
      <c r="G110" s="28"/>
      <c r="H110" s="28"/>
      <c r="I110" s="29">
        <f>SUM(I111:I115)</f>
        <v>228926.2176</v>
      </c>
    </row>
    <row r="111" spans="1:9" ht="27.6" outlineLevel="4" x14ac:dyDescent="0.3">
      <c r="A111" s="32" t="s">
        <v>107</v>
      </c>
      <c r="B111" s="32" t="s">
        <v>108</v>
      </c>
      <c r="C111" s="108">
        <v>91119.47</v>
      </c>
      <c r="D111" s="34" t="s">
        <v>59</v>
      </c>
      <c r="E111" s="35">
        <v>2.09</v>
      </c>
      <c r="F111" s="35">
        <v>0.37</v>
      </c>
      <c r="G111" s="35">
        <v>0.03</v>
      </c>
      <c r="H111" s="35">
        <f>SUM(E111:G111)</f>
        <v>2.4899999999999998</v>
      </c>
      <c r="I111" s="36">
        <f>H111*C111</f>
        <v>226887.4803</v>
      </c>
    </row>
    <row r="112" spans="1:9" ht="27.6" outlineLevel="4" x14ac:dyDescent="0.3">
      <c r="A112" s="32" t="s">
        <v>109</v>
      </c>
      <c r="B112" s="32" t="s">
        <v>108</v>
      </c>
      <c r="C112" s="110">
        <v>818.77</v>
      </c>
      <c r="D112" s="34" t="s">
        <v>59</v>
      </c>
      <c r="E112" s="35">
        <v>2.09</v>
      </c>
      <c r="F112" s="35">
        <v>0.37</v>
      </c>
      <c r="G112" s="35">
        <v>0.03</v>
      </c>
      <c r="H112" s="35">
        <f>SUM(E112:G112)</f>
        <v>2.4899999999999998</v>
      </c>
      <c r="I112" s="36">
        <f>H112*C112</f>
        <v>2038.7372999999998</v>
      </c>
    </row>
    <row r="113" spans="1:9" outlineLevel="4" x14ac:dyDescent="0.3">
      <c r="A113" s="32" t="s">
        <v>25</v>
      </c>
      <c r="B113" s="32"/>
      <c r="C113" s="33"/>
      <c r="D113" s="34"/>
      <c r="E113" s="35">
        <v>0</v>
      </c>
      <c r="F113" s="35">
        <v>0</v>
      </c>
      <c r="G113" s="35">
        <v>0</v>
      </c>
      <c r="H113" s="35">
        <v>0</v>
      </c>
      <c r="I113" s="36">
        <v>0</v>
      </c>
    </row>
    <row r="114" spans="1:9" outlineLevel="4" x14ac:dyDescent="0.3">
      <c r="A114" s="32" t="s">
        <v>25</v>
      </c>
      <c r="B114" s="32"/>
      <c r="C114" s="33"/>
      <c r="D114" s="34"/>
      <c r="E114" s="35">
        <v>0</v>
      </c>
      <c r="F114" s="35">
        <v>0</v>
      </c>
      <c r="G114" s="35">
        <v>0</v>
      </c>
      <c r="H114" s="35">
        <v>0</v>
      </c>
      <c r="I114" s="36">
        <v>0</v>
      </c>
    </row>
    <row r="115" spans="1:9" outlineLevel="4" x14ac:dyDescent="0.3">
      <c r="A115" s="32" t="s">
        <v>25</v>
      </c>
      <c r="B115" s="32"/>
      <c r="C115" s="33"/>
      <c r="D115" s="34"/>
      <c r="E115" s="35">
        <v>0</v>
      </c>
      <c r="F115" s="35">
        <v>0</v>
      </c>
      <c r="G115" s="35">
        <v>0</v>
      </c>
      <c r="H115" s="35">
        <v>0</v>
      </c>
      <c r="I115" s="36">
        <v>0</v>
      </c>
    </row>
    <row r="116" spans="1:9" ht="21" customHeight="1" x14ac:dyDescent="0.3">
      <c r="A116" s="26" t="s">
        <v>110</v>
      </c>
      <c r="B116" s="27"/>
      <c r="C116" s="28"/>
      <c r="D116" s="28"/>
      <c r="E116" s="28"/>
      <c r="F116" s="28"/>
      <c r="G116" s="28"/>
      <c r="H116" s="28"/>
      <c r="I116" s="29">
        <f>I117</f>
        <v>4632.9555999999993</v>
      </c>
    </row>
    <row r="117" spans="1:9" ht="21" customHeight="1" outlineLevel="1" x14ac:dyDescent="0.3">
      <c r="A117" s="30" t="s">
        <v>111</v>
      </c>
      <c r="B117" s="27"/>
      <c r="C117" s="28"/>
      <c r="D117" s="28"/>
      <c r="E117" s="28"/>
      <c r="F117" s="28"/>
      <c r="G117" s="28"/>
      <c r="H117" s="28"/>
      <c r="I117" s="29">
        <f>I118</f>
        <v>4632.9555999999993</v>
      </c>
    </row>
    <row r="118" spans="1:9" ht="21" customHeight="1" outlineLevel="2" x14ac:dyDescent="0.3">
      <c r="A118" s="31" t="s">
        <v>112</v>
      </c>
      <c r="B118" s="27"/>
      <c r="C118" s="28"/>
      <c r="D118" s="28"/>
      <c r="E118" s="28"/>
      <c r="F118" s="28"/>
      <c r="G118" s="28"/>
      <c r="H118" s="28"/>
      <c r="I118" s="29">
        <f>I119</f>
        <v>4632.9555999999993</v>
      </c>
    </row>
    <row r="119" spans="1:9" ht="21" customHeight="1" outlineLevel="3" x14ac:dyDescent="0.3">
      <c r="A119" s="27" t="s">
        <v>113</v>
      </c>
      <c r="B119" s="27"/>
      <c r="C119" s="28"/>
      <c r="D119" s="28"/>
      <c r="E119" s="28"/>
      <c r="F119" s="28"/>
      <c r="G119" s="28"/>
      <c r="H119" s="28"/>
      <c r="I119" s="29">
        <f>SUM(I120:I123)</f>
        <v>4632.9555999999993</v>
      </c>
    </row>
    <row r="120" spans="1:9" outlineLevel="4" x14ac:dyDescent="0.25">
      <c r="A120" s="32" t="s">
        <v>114</v>
      </c>
      <c r="B120" s="32" t="s">
        <v>115</v>
      </c>
      <c r="C120" s="82">
        <v>1272.79</v>
      </c>
      <c r="D120" s="34" t="s">
        <v>62</v>
      </c>
      <c r="E120" s="35">
        <v>1.1100000000000001</v>
      </c>
      <c r="F120" s="35">
        <v>2.5299999999999998</v>
      </c>
      <c r="G120" s="35">
        <v>0</v>
      </c>
      <c r="H120" s="35">
        <f>SUM(E120:G120)</f>
        <v>3.6399999999999997</v>
      </c>
      <c r="I120" s="36">
        <f>H120*C120</f>
        <v>4632.9555999999993</v>
      </c>
    </row>
    <row r="121" spans="1:9" outlineLevel="4" x14ac:dyDescent="0.3">
      <c r="A121" s="32" t="s">
        <v>25</v>
      </c>
      <c r="B121" s="32"/>
      <c r="C121" s="33"/>
      <c r="D121" s="34"/>
      <c r="E121" s="35">
        <v>0</v>
      </c>
      <c r="F121" s="35">
        <v>0</v>
      </c>
      <c r="G121" s="35">
        <v>0</v>
      </c>
      <c r="H121" s="35">
        <v>0</v>
      </c>
      <c r="I121" s="36">
        <v>0</v>
      </c>
    </row>
    <row r="122" spans="1:9" outlineLevel="4" x14ac:dyDescent="0.3">
      <c r="A122" s="32" t="s">
        <v>25</v>
      </c>
      <c r="B122" s="32"/>
      <c r="C122" s="33"/>
      <c r="D122" s="34"/>
      <c r="E122" s="35">
        <v>0</v>
      </c>
      <c r="F122" s="35">
        <v>0</v>
      </c>
      <c r="G122" s="35">
        <v>0</v>
      </c>
      <c r="H122" s="35">
        <v>0</v>
      </c>
      <c r="I122" s="36">
        <v>0</v>
      </c>
    </row>
    <row r="123" spans="1:9" outlineLevel="4" x14ac:dyDescent="0.3">
      <c r="A123" s="32" t="s">
        <v>25</v>
      </c>
      <c r="B123" s="32"/>
      <c r="C123" s="33"/>
      <c r="D123" s="34"/>
      <c r="E123" s="35">
        <v>0</v>
      </c>
      <c r="F123" s="35">
        <v>0</v>
      </c>
      <c r="G123" s="35">
        <v>0</v>
      </c>
      <c r="H123" s="35">
        <v>0</v>
      </c>
      <c r="I123" s="36">
        <v>0</v>
      </c>
    </row>
    <row r="124" spans="1:9" ht="21" customHeight="1" x14ac:dyDescent="0.3">
      <c r="A124" s="26" t="s">
        <v>116</v>
      </c>
      <c r="B124" s="27"/>
      <c r="C124" s="28"/>
      <c r="D124" s="28"/>
      <c r="E124" s="28"/>
      <c r="F124" s="28"/>
      <c r="G124" s="28"/>
      <c r="H124" s="28"/>
      <c r="I124" s="29">
        <f>I125+I139+I147</f>
        <v>323964.36960000003</v>
      </c>
    </row>
    <row r="125" spans="1:9" ht="21" customHeight="1" outlineLevel="1" x14ac:dyDescent="0.3">
      <c r="A125" s="30" t="s">
        <v>117</v>
      </c>
      <c r="B125" s="27"/>
      <c r="C125" s="28"/>
      <c r="D125" s="28"/>
      <c r="E125" s="28"/>
      <c r="F125" s="28"/>
      <c r="G125" s="28"/>
      <c r="H125" s="28"/>
      <c r="I125" s="29">
        <f>I126</f>
        <v>119521.81719999999</v>
      </c>
    </row>
    <row r="126" spans="1:9" ht="21" customHeight="1" outlineLevel="2" x14ac:dyDescent="0.3">
      <c r="A126" s="31" t="s">
        <v>118</v>
      </c>
      <c r="B126" s="27"/>
      <c r="C126" s="28"/>
      <c r="D126" s="28"/>
      <c r="E126" s="28"/>
      <c r="F126" s="28"/>
      <c r="G126" s="28"/>
      <c r="H126" s="28"/>
      <c r="I126" s="29">
        <f>I127+I133</f>
        <v>119521.81719999999</v>
      </c>
    </row>
    <row r="127" spans="1:9" ht="21" customHeight="1" outlineLevel="3" x14ac:dyDescent="0.3">
      <c r="A127" s="27" t="s">
        <v>119</v>
      </c>
      <c r="B127" s="27"/>
      <c r="C127" s="28"/>
      <c r="D127" s="28"/>
      <c r="E127" s="28"/>
      <c r="F127" s="28"/>
      <c r="G127" s="28"/>
      <c r="H127" s="28"/>
      <c r="I127" s="29">
        <f>SUM(I128:I132)</f>
        <v>8621.2188000000006</v>
      </c>
    </row>
    <row r="128" spans="1:9" ht="27.6" outlineLevel="4" x14ac:dyDescent="0.25">
      <c r="A128" s="32" t="s">
        <v>120</v>
      </c>
      <c r="B128" s="32" t="s">
        <v>121</v>
      </c>
      <c r="C128" s="79">
        <v>694.14</v>
      </c>
      <c r="D128" s="34" t="s">
        <v>59</v>
      </c>
      <c r="E128" s="35">
        <v>6.33</v>
      </c>
      <c r="F128" s="35">
        <v>2.88</v>
      </c>
      <c r="G128" s="35">
        <v>0</v>
      </c>
      <c r="H128" s="35">
        <v>6.21</v>
      </c>
      <c r="I128" s="36">
        <f>C128*H128</f>
        <v>4310.6094000000003</v>
      </c>
    </row>
    <row r="129" spans="1:9" ht="27.6" outlineLevel="4" x14ac:dyDescent="0.25">
      <c r="A129" s="32" t="s">
        <v>122</v>
      </c>
      <c r="B129" s="32" t="s">
        <v>121</v>
      </c>
      <c r="C129" s="80">
        <v>694.14</v>
      </c>
      <c r="D129" s="34" t="s">
        <v>59</v>
      </c>
      <c r="E129" s="35">
        <v>6.33</v>
      </c>
      <c r="F129" s="35">
        <v>2.88</v>
      </c>
      <c r="G129" s="35">
        <v>0</v>
      </c>
      <c r="H129" s="35">
        <v>6.21</v>
      </c>
      <c r="I129" s="36">
        <f>C129*H129</f>
        <v>4310.6094000000003</v>
      </c>
    </row>
    <row r="130" spans="1:9" outlineLevel="4" x14ac:dyDescent="0.3">
      <c r="A130" s="32" t="s">
        <v>25</v>
      </c>
      <c r="B130" s="32"/>
      <c r="C130" s="33"/>
      <c r="D130" s="34"/>
      <c r="E130" s="35">
        <v>0</v>
      </c>
      <c r="F130" s="35">
        <v>0</v>
      </c>
      <c r="G130" s="35">
        <v>0</v>
      </c>
      <c r="H130" s="35">
        <v>0</v>
      </c>
      <c r="I130" s="36">
        <v>0</v>
      </c>
    </row>
    <row r="131" spans="1:9" outlineLevel="4" x14ac:dyDescent="0.3">
      <c r="A131" s="32" t="s">
        <v>25</v>
      </c>
      <c r="B131" s="32"/>
      <c r="C131" s="33"/>
      <c r="D131" s="34"/>
      <c r="E131" s="35">
        <v>0</v>
      </c>
      <c r="F131" s="35">
        <v>0</v>
      </c>
      <c r="G131" s="35">
        <v>0</v>
      </c>
      <c r="H131" s="35">
        <v>0</v>
      </c>
      <c r="I131" s="36">
        <v>0</v>
      </c>
    </row>
    <row r="132" spans="1:9" outlineLevel="4" x14ac:dyDescent="0.3">
      <c r="A132" s="32" t="s">
        <v>25</v>
      </c>
      <c r="B132" s="32"/>
      <c r="C132" s="33"/>
      <c r="D132" s="34"/>
      <c r="E132" s="35">
        <v>0</v>
      </c>
      <c r="F132" s="35">
        <v>0</v>
      </c>
      <c r="G132" s="35">
        <v>0</v>
      </c>
      <c r="H132" s="35">
        <v>0</v>
      </c>
      <c r="I132" s="36">
        <v>0</v>
      </c>
    </row>
    <row r="133" spans="1:9" ht="21" customHeight="1" outlineLevel="3" x14ac:dyDescent="0.3">
      <c r="A133" s="27" t="s">
        <v>123</v>
      </c>
      <c r="B133" s="27"/>
      <c r="C133" s="28"/>
      <c r="D133" s="28"/>
      <c r="E133" s="28"/>
      <c r="F133" s="28"/>
      <c r="G133" s="28"/>
      <c r="H133" s="28"/>
      <c r="I133" s="29">
        <f>SUM(I134:I138)</f>
        <v>110900.59839999999</v>
      </c>
    </row>
    <row r="134" spans="1:9" ht="27.6" outlineLevel="4" x14ac:dyDescent="0.25">
      <c r="A134" s="32" t="s">
        <v>124</v>
      </c>
      <c r="B134" s="32" t="s">
        <v>125</v>
      </c>
      <c r="C134" s="82">
        <v>5282.72</v>
      </c>
      <c r="D134" s="34" t="s">
        <v>59</v>
      </c>
      <c r="E134" s="35">
        <v>12</v>
      </c>
      <c r="F134" s="35">
        <v>5.86</v>
      </c>
      <c r="G134" s="35">
        <v>0</v>
      </c>
      <c r="H134" s="35">
        <v>17.86</v>
      </c>
      <c r="I134" s="36">
        <f>H134*C134</f>
        <v>94349.379199999996</v>
      </c>
    </row>
    <row r="135" spans="1:9" ht="27.6" outlineLevel="4" x14ac:dyDescent="0.25">
      <c r="A135" s="32" t="s">
        <v>126</v>
      </c>
      <c r="B135" s="32" t="s">
        <v>125</v>
      </c>
      <c r="C135" s="80">
        <v>926.72</v>
      </c>
      <c r="D135" s="34" t="s">
        <v>59</v>
      </c>
      <c r="E135" s="35">
        <v>12</v>
      </c>
      <c r="F135" s="35">
        <v>5.86</v>
      </c>
      <c r="G135" s="35">
        <v>0</v>
      </c>
      <c r="H135" s="35">
        <v>17.86</v>
      </c>
      <c r="I135" s="36">
        <f>H135*C135</f>
        <v>16551.2192</v>
      </c>
    </row>
    <row r="136" spans="1:9" outlineLevel="4" x14ac:dyDescent="0.3">
      <c r="A136" s="32" t="s">
        <v>25</v>
      </c>
      <c r="B136" s="32"/>
      <c r="C136" s="33"/>
      <c r="D136" s="34"/>
      <c r="E136" s="35">
        <v>0</v>
      </c>
      <c r="F136" s="35">
        <v>0</v>
      </c>
      <c r="G136" s="35">
        <v>0</v>
      </c>
      <c r="H136" s="35">
        <v>0</v>
      </c>
      <c r="I136" s="36">
        <v>0</v>
      </c>
    </row>
    <row r="137" spans="1:9" outlineLevel="4" x14ac:dyDescent="0.3">
      <c r="A137" s="32" t="s">
        <v>25</v>
      </c>
      <c r="B137" s="32"/>
      <c r="C137" s="33"/>
      <c r="D137" s="34"/>
      <c r="E137" s="35">
        <v>0</v>
      </c>
      <c r="F137" s="35">
        <v>0</v>
      </c>
      <c r="G137" s="35">
        <v>0</v>
      </c>
      <c r="H137" s="35">
        <v>0</v>
      </c>
      <c r="I137" s="36">
        <v>0</v>
      </c>
    </row>
    <row r="138" spans="1:9" outlineLevel="4" x14ac:dyDescent="0.3">
      <c r="A138" s="32" t="s">
        <v>25</v>
      </c>
      <c r="B138" s="32"/>
      <c r="C138" s="33"/>
      <c r="D138" s="34"/>
      <c r="E138" s="35">
        <v>0</v>
      </c>
      <c r="F138" s="35">
        <v>0</v>
      </c>
      <c r="G138" s="35">
        <v>0</v>
      </c>
      <c r="H138" s="35">
        <v>0</v>
      </c>
      <c r="I138" s="36">
        <v>0</v>
      </c>
    </row>
    <row r="139" spans="1:9" ht="21" customHeight="1" outlineLevel="1" x14ac:dyDescent="0.3">
      <c r="A139" s="30" t="s">
        <v>127</v>
      </c>
      <c r="B139" s="27"/>
      <c r="C139" s="28"/>
      <c r="D139" s="28"/>
      <c r="E139" s="28"/>
      <c r="F139" s="28"/>
      <c r="G139" s="28"/>
      <c r="H139" s="28"/>
      <c r="I139" s="29">
        <f>I140</f>
        <v>198984.78600000002</v>
      </c>
    </row>
    <row r="140" spans="1:9" ht="21" customHeight="1" outlineLevel="2" x14ac:dyDescent="0.3">
      <c r="A140" s="31" t="s">
        <v>128</v>
      </c>
      <c r="B140" s="27"/>
      <c r="C140" s="28"/>
      <c r="D140" s="28"/>
      <c r="E140" s="28"/>
      <c r="F140" s="28"/>
      <c r="G140" s="28"/>
      <c r="H140" s="28"/>
      <c r="I140" s="29">
        <f>I141</f>
        <v>198984.78600000002</v>
      </c>
    </row>
    <row r="141" spans="1:9" ht="21" customHeight="1" outlineLevel="3" x14ac:dyDescent="0.3">
      <c r="A141" s="27" t="s">
        <v>129</v>
      </c>
      <c r="B141" s="27"/>
      <c r="C141" s="28"/>
      <c r="D141" s="28"/>
      <c r="E141" s="28"/>
      <c r="F141" s="28"/>
      <c r="G141" s="28"/>
      <c r="H141" s="28"/>
      <c r="I141" s="29">
        <f>SUM(I142:I146)</f>
        <v>198984.78600000002</v>
      </c>
    </row>
    <row r="142" spans="1:9" ht="41.4" outlineLevel="4" x14ac:dyDescent="0.25">
      <c r="A142" s="32" t="s">
        <v>130</v>
      </c>
      <c r="B142" s="32" t="s">
        <v>131</v>
      </c>
      <c r="C142" s="82">
        <v>85321.83</v>
      </c>
      <c r="D142" s="34" t="s">
        <v>59</v>
      </c>
      <c r="E142" s="35">
        <f>115/100</f>
        <v>1.1499999999999999</v>
      </c>
      <c r="F142" s="35">
        <f>95.5/100</f>
        <v>0.95499999999999996</v>
      </c>
      <c r="G142" s="35">
        <f>20.5/100</f>
        <v>0.20499999999999999</v>
      </c>
      <c r="H142" s="83">
        <f>SUM(E142:G142)</f>
        <v>2.31</v>
      </c>
      <c r="I142" s="36">
        <f>H142*C142</f>
        <v>197093.42730000001</v>
      </c>
    </row>
    <row r="143" spans="1:9" ht="27.6" outlineLevel="4" x14ac:dyDescent="0.25">
      <c r="A143" s="32" t="s">
        <v>132</v>
      </c>
      <c r="B143" s="32" t="s">
        <v>133</v>
      </c>
      <c r="C143" s="80">
        <v>818.77</v>
      </c>
      <c r="D143" s="34" t="s">
        <v>59</v>
      </c>
      <c r="E143" s="35">
        <f>115/100</f>
        <v>1.1499999999999999</v>
      </c>
      <c r="F143" s="35">
        <f>95.5/100</f>
        <v>0.95499999999999996</v>
      </c>
      <c r="G143" s="35">
        <f>20.5/100</f>
        <v>0.20499999999999999</v>
      </c>
      <c r="H143" s="83">
        <f>SUM(E143:G143)</f>
        <v>2.31</v>
      </c>
      <c r="I143" s="36">
        <f>H143*C143</f>
        <v>1891.3587</v>
      </c>
    </row>
    <row r="144" spans="1:9" outlineLevel="4" x14ac:dyDescent="0.3">
      <c r="A144" s="32" t="s">
        <v>25</v>
      </c>
      <c r="B144" s="32"/>
      <c r="C144" s="33"/>
      <c r="D144" s="34"/>
      <c r="E144" s="35">
        <v>0</v>
      </c>
      <c r="F144" s="35">
        <v>0</v>
      </c>
      <c r="G144" s="35">
        <v>0</v>
      </c>
      <c r="H144" s="35">
        <v>0</v>
      </c>
      <c r="I144" s="36">
        <v>0</v>
      </c>
    </row>
    <row r="145" spans="1:9" outlineLevel="4" x14ac:dyDescent="0.3">
      <c r="A145" s="32" t="s">
        <v>25</v>
      </c>
      <c r="B145" s="32"/>
      <c r="C145" s="33"/>
      <c r="D145" s="34"/>
      <c r="E145" s="35">
        <v>0</v>
      </c>
      <c r="F145" s="35">
        <v>0</v>
      </c>
      <c r="G145" s="35">
        <v>0</v>
      </c>
      <c r="H145" s="35">
        <v>0</v>
      </c>
      <c r="I145" s="36">
        <v>0</v>
      </c>
    </row>
    <row r="146" spans="1:9" outlineLevel="4" x14ac:dyDescent="0.3">
      <c r="A146" s="32" t="s">
        <v>25</v>
      </c>
      <c r="B146" s="32"/>
      <c r="C146" s="33"/>
      <c r="D146" s="34"/>
      <c r="E146" s="35">
        <v>0</v>
      </c>
      <c r="F146" s="35">
        <v>0</v>
      </c>
      <c r="G146" s="35">
        <v>0</v>
      </c>
      <c r="H146" s="35">
        <v>0</v>
      </c>
      <c r="I146" s="36">
        <v>0</v>
      </c>
    </row>
    <row r="147" spans="1:9" ht="21" customHeight="1" outlineLevel="1" x14ac:dyDescent="0.3">
      <c r="A147" s="30" t="s">
        <v>134</v>
      </c>
      <c r="B147" s="27"/>
      <c r="C147" s="28"/>
      <c r="D147" s="28"/>
      <c r="E147" s="28"/>
      <c r="F147" s="28"/>
      <c r="G147" s="28"/>
      <c r="H147" s="28"/>
      <c r="I147" s="29">
        <f>I148</f>
        <v>5457.7664000000004</v>
      </c>
    </row>
    <row r="148" spans="1:9" ht="21" customHeight="1" outlineLevel="2" x14ac:dyDescent="0.3">
      <c r="A148" s="31" t="s">
        <v>135</v>
      </c>
      <c r="B148" s="27"/>
      <c r="C148" s="28"/>
      <c r="D148" s="28"/>
      <c r="E148" s="28"/>
      <c r="F148" s="28"/>
      <c r="G148" s="28"/>
      <c r="H148" s="28"/>
      <c r="I148" s="29">
        <f>I149</f>
        <v>5457.7664000000004</v>
      </c>
    </row>
    <row r="149" spans="1:9" ht="21" customHeight="1" outlineLevel="3" x14ac:dyDescent="0.3">
      <c r="A149" s="27" t="s">
        <v>135</v>
      </c>
      <c r="B149" s="27"/>
      <c r="C149" s="28"/>
      <c r="D149" s="28"/>
      <c r="E149" s="28"/>
      <c r="F149" s="28"/>
      <c r="G149" s="28"/>
      <c r="H149" s="28"/>
      <c r="I149" s="29">
        <f>SUM(I150:I154)</f>
        <v>5457.7664000000004</v>
      </c>
    </row>
    <row r="150" spans="1:9" ht="27.6" outlineLevel="4" x14ac:dyDescent="0.25">
      <c r="A150" s="32" t="s">
        <v>136</v>
      </c>
      <c r="B150" s="32" t="s">
        <v>137</v>
      </c>
      <c r="C150" s="79">
        <v>509.12</v>
      </c>
      <c r="D150" s="34" t="s">
        <v>59</v>
      </c>
      <c r="E150" s="35">
        <v>2.16</v>
      </c>
      <c r="F150" s="35">
        <v>3.2</v>
      </c>
      <c r="G150" s="35">
        <v>0</v>
      </c>
      <c r="H150" s="35">
        <v>5.36</v>
      </c>
      <c r="I150" s="36">
        <f>H150*C150</f>
        <v>2728.8832000000002</v>
      </c>
    </row>
    <row r="151" spans="1:9" ht="27.6" outlineLevel="4" x14ac:dyDescent="0.25">
      <c r="A151" s="32" t="s">
        <v>138</v>
      </c>
      <c r="B151" s="32" t="s">
        <v>137</v>
      </c>
      <c r="C151" s="80">
        <v>509.12</v>
      </c>
      <c r="D151" s="34" t="s">
        <v>59</v>
      </c>
      <c r="E151" s="35">
        <v>2.16</v>
      </c>
      <c r="F151" s="35">
        <v>3.2</v>
      </c>
      <c r="G151" s="35">
        <v>0</v>
      </c>
      <c r="H151" s="35">
        <v>5.36</v>
      </c>
      <c r="I151" s="36">
        <f>H151*C151</f>
        <v>2728.8832000000002</v>
      </c>
    </row>
    <row r="152" spans="1:9" outlineLevel="4" x14ac:dyDescent="0.3">
      <c r="A152" s="32" t="s">
        <v>25</v>
      </c>
      <c r="B152" s="32"/>
      <c r="C152" s="33"/>
      <c r="D152" s="34"/>
      <c r="E152" s="35">
        <v>0</v>
      </c>
      <c r="F152" s="35">
        <v>0</v>
      </c>
      <c r="G152" s="35">
        <v>0</v>
      </c>
      <c r="H152" s="35">
        <v>0</v>
      </c>
      <c r="I152" s="36">
        <v>0</v>
      </c>
    </row>
    <row r="153" spans="1:9" outlineLevel="4" x14ac:dyDescent="0.3">
      <c r="A153" s="32" t="s">
        <v>25</v>
      </c>
      <c r="B153" s="32"/>
      <c r="C153" s="33"/>
      <c r="D153" s="34"/>
      <c r="E153" s="35">
        <v>0</v>
      </c>
      <c r="F153" s="35">
        <v>0</v>
      </c>
      <c r="G153" s="35">
        <v>0</v>
      </c>
      <c r="H153" s="35">
        <v>0</v>
      </c>
      <c r="I153" s="36">
        <v>0</v>
      </c>
    </row>
    <row r="154" spans="1:9" outlineLevel="4" x14ac:dyDescent="0.3">
      <c r="A154" s="32" t="s">
        <v>25</v>
      </c>
      <c r="B154" s="32"/>
      <c r="C154" s="33"/>
      <c r="D154" s="34"/>
      <c r="E154" s="35">
        <v>0</v>
      </c>
      <c r="F154" s="35">
        <v>0</v>
      </c>
      <c r="G154" s="35">
        <v>0</v>
      </c>
      <c r="H154" s="35">
        <v>0</v>
      </c>
      <c r="I154" s="36">
        <v>0</v>
      </c>
    </row>
    <row r="155" spans="1:9" ht="21" customHeight="1" x14ac:dyDescent="0.3">
      <c r="A155" s="26" t="s">
        <v>139</v>
      </c>
      <c r="B155" s="27"/>
      <c r="C155" s="28"/>
      <c r="D155" s="28"/>
      <c r="E155" s="28"/>
      <c r="F155" s="28"/>
      <c r="G155" s="28"/>
      <c r="H155" s="28"/>
      <c r="I155" s="29">
        <f>I156+I164+I172+I179+I185</f>
        <v>1064245.4579999999</v>
      </c>
    </row>
    <row r="156" spans="1:9" ht="21" customHeight="1" outlineLevel="1" x14ac:dyDescent="0.3">
      <c r="A156" s="30" t="s">
        <v>140</v>
      </c>
      <c r="B156" s="27"/>
      <c r="C156" s="28"/>
      <c r="D156" s="28"/>
      <c r="E156" s="28"/>
      <c r="F156" s="28"/>
      <c r="G156" s="28"/>
      <c r="H156" s="28"/>
      <c r="I156" s="29">
        <f>I157</f>
        <v>5487.57</v>
      </c>
    </row>
    <row r="157" spans="1:9" ht="21" customHeight="1" outlineLevel="2" x14ac:dyDescent="0.3">
      <c r="A157" s="31" t="s">
        <v>141</v>
      </c>
      <c r="B157" s="27"/>
      <c r="C157" s="28"/>
      <c r="D157" s="28"/>
      <c r="E157" s="28"/>
      <c r="F157" s="28"/>
      <c r="G157" s="28"/>
      <c r="H157" s="28"/>
      <c r="I157" s="29">
        <f>I158</f>
        <v>5487.57</v>
      </c>
    </row>
    <row r="158" spans="1:9" ht="21" customHeight="1" outlineLevel="3" x14ac:dyDescent="0.3">
      <c r="A158" s="27" t="s">
        <v>142</v>
      </c>
      <c r="B158" s="27"/>
      <c r="C158" s="28"/>
      <c r="D158" s="28"/>
      <c r="E158" s="28"/>
      <c r="F158" s="28"/>
      <c r="G158" s="28"/>
      <c r="H158" s="28"/>
      <c r="I158" s="29">
        <f>SUM(I159:I163)</f>
        <v>5487.57</v>
      </c>
    </row>
    <row r="159" spans="1:9" ht="27.6" outlineLevel="4" x14ac:dyDescent="0.25">
      <c r="A159" s="32" t="s">
        <v>143</v>
      </c>
      <c r="B159" s="32" t="s">
        <v>144</v>
      </c>
      <c r="C159" s="79">
        <v>9</v>
      </c>
      <c r="D159" s="34" t="s">
        <v>145</v>
      </c>
      <c r="E159" s="35">
        <v>347.32</v>
      </c>
      <c r="F159" s="35">
        <v>57.6</v>
      </c>
      <c r="G159" s="35">
        <v>0</v>
      </c>
      <c r="H159" s="35">
        <v>404.92</v>
      </c>
      <c r="I159" s="36">
        <f>H159*C159</f>
        <v>3644.28</v>
      </c>
    </row>
    <row r="160" spans="1:9" outlineLevel="4" x14ac:dyDescent="0.25">
      <c r="A160" s="32" t="s">
        <v>146</v>
      </c>
      <c r="B160" s="32" t="s">
        <v>147</v>
      </c>
      <c r="C160" s="80">
        <v>9</v>
      </c>
      <c r="D160" s="34" t="s">
        <v>145</v>
      </c>
      <c r="E160" s="35">
        <v>143.5</v>
      </c>
      <c r="F160" s="35">
        <v>61.31</v>
      </c>
      <c r="G160" s="35">
        <v>0</v>
      </c>
      <c r="H160" s="35">
        <v>204.81</v>
      </c>
      <c r="I160" s="36">
        <f>H160*C160</f>
        <v>1843.29</v>
      </c>
    </row>
    <row r="161" spans="1:9" outlineLevel="4" x14ac:dyDescent="0.3">
      <c r="A161" s="32" t="s">
        <v>25</v>
      </c>
      <c r="B161" s="32"/>
      <c r="C161" s="33"/>
      <c r="D161" s="34"/>
      <c r="E161" s="35">
        <v>0</v>
      </c>
      <c r="F161" s="35">
        <v>0</v>
      </c>
      <c r="G161" s="35">
        <v>0</v>
      </c>
      <c r="H161" s="35">
        <v>0</v>
      </c>
      <c r="I161" s="36">
        <v>0</v>
      </c>
    </row>
    <row r="162" spans="1:9" outlineLevel="4" x14ac:dyDescent="0.3">
      <c r="A162" s="32" t="s">
        <v>25</v>
      </c>
      <c r="B162" s="32"/>
      <c r="C162" s="33"/>
      <c r="D162" s="34"/>
      <c r="E162" s="35">
        <v>0</v>
      </c>
      <c r="F162" s="35">
        <v>0</v>
      </c>
      <c r="G162" s="35">
        <v>0</v>
      </c>
      <c r="H162" s="35">
        <v>0</v>
      </c>
      <c r="I162" s="36">
        <v>0</v>
      </c>
    </row>
    <row r="163" spans="1:9" outlineLevel="4" x14ac:dyDescent="0.3">
      <c r="A163" s="32" t="s">
        <v>25</v>
      </c>
      <c r="B163" s="32"/>
      <c r="C163" s="33"/>
      <c r="D163" s="34"/>
      <c r="E163" s="35">
        <v>0</v>
      </c>
      <c r="F163" s="35">
        <v>0</v>
      </c>
      <c r="G163" s="35">
        <v>0</v>
      </c>
      <c r="H163" s="35">
        <v>0</v>
      </c>
      <c r="I163" s="36">
        <v>0</v>
      </c>
    </row>
    <row r="164" spans="1:9" ht="21" customHeight="1" outlineLevel="1" x14ac:dyDescent="0.3">
      <c r="A164" s="30" t="s">
        <v>148</v>
      </c>
      <c r="B164" s="27"/>
      <c r="C164" s="28"/>
      <c r="D164" s="28"/>
      <c r="E164" s="28"/>
      <c r="F164" s="28"/>
      <c r="G164" s="28"/>
      <c r="H164" s="28"/>
      <c r="I164" s="29">
        <f>I165</f>
        <v>41413</v>
      </c>
    </row>
    <row r="165" spans="1:9" ht="21" customHeight="1" outlineLevel="2" x14ac:dyDescent="0.3">
      <c r="A165" s="31" t="s">
        <v>149</v>
      </c>
      <c r="B165" s="27"/>
      <c r="C165" s="28"/>
      <c r="D165" s="28"/>
      <c r="E165" s="28"/>
      <c r="F165" s="28"/>
      <c r="G165" s="28"/>
      <c r="H165" s="28"/>
      <c r="I165" s="29">
        <f>I166</f>
        <v>41413</v>
      </c>
    </row>
    <row r="166" spans="1:9" ht="21" customHeight="1" outlineLevel="3" x14ac:dyDescent="0.3">
      <c r="A166" s="27" t="s">
        <v>150</v>
      </c>
      <c r="B166" s="27"/>
      <c r="C166" s="28"/>
      <c r="D166" s="28"/>
      <c r="E166" s="28"/>
      <c r="F166" s="28"/>
      <c r="G166" s="28"/>
      <c r="H166" s="28"/>
      <c r="I166" s="29">
        <f>SUM(I167:I171)</f>
        <v>41413</v>
      </c>
    </row>
    <row r="167" spans="1:9" outlineLevel="4" x14ac:dyDescent="0.25">
      <c r="A167" s="32" t="s">
        <v>151</v>
      </c>
      <c r="B167" s="32" t="s">
        <v>152</v>
      </c>
      <c r="C167" s="79">
        <v>2</v>
      </c>
      <c r="D167" s="34" t="s">
        <v>145</v>
      </c>
      <c r="E167" s="35">
        <v>2947.65</v>
      </c>
      <c r="F167" s="35">
        <v>1602.53</v>
      </c>
      <c r="G167" s="35">
        <v>0</v>
      </c>
      <c r="H167" s="35">
        <v>4550.18</v>
      </c>
      <c r="I167" s="36">
        <f>H167*C167</f>
        <v>9100.36</v>
      </c>
    </row>
    <row r="168" spans="1:9" outlineLevel="4" x14ac:dyDescent="0.25">
      <c r="A168" s="32" t="s">
        <v>153</v>
      </c>
      <c r="B168" s="32" t="s">
        <v>154</v>
      </c>
      <c r="C168" s="80">
        <v>12</v>
      </c>
      <c r="D168" s="34" t="s">
        <v>145</v>
      </c>
      <c r="E168" s="35">
        <v>1782.3</v>
      </c>
      <c r="F168" s="35">
        <v>910.42</v>
      </c>
      <c r="G168" s="35">
        <v>0</v>
      </c>
      <c r="H168" s="35">
        <v>2692.72</v>
      </c>
      <c r="I168" s="36">
        <f>H168*C168</f>
        <v>32312.639999999999</v>
      </c>
    </row>
    <row r="169" spans="1:9" outlineLevel="4" x14ac:dyDescent="0.3">
      <c r="A169" s="32" t="s">
        <v>25</v>
      </c>
      <c r="B169" s="32"/>
      <c r="C169" s="33"/>
      <c r="D169" s="34"/>
      <c r="E169" s="35">
        <v>0</v>
      </c>
      <c r="F169" s="35">
        <v>0</v>
      </c>
      <c r="G169" s="35">
        <v>0</v>
      </c>
      <c r="H169" s="35">
        <v>0</v>
      </c>
      <c r="I169" s="36">
        <v>0</v>
      </c>
    </row>
    <row r="170" spans="1:9" outlineLevel="4" x14ac:dyDescent="0.3">
      <c r="A170" s="32" t="s">
        <v>25</v>
      </c>
      <c r="B170" s="32"/>
      <c r="C170" s="33"/>
      <c r="D170" s="34"/>
      <c r="E170" s="35">
        <v>0</v>
      </c>
      <c r="F170" s="35">
        <v>0</v>
      </c>
      <c r="G170" s="35">
        <v>0</v>
      </c>
      <c r="H170" s="35">
        <v>0</v>
      </c>
      <c r="I170" s="36">
        <v>0</v>
      </c>
    </row>
    <row r="171" spans="1:9" ht="14.4" customHeight="1" outlineLevel="4" x14ac:dyDescent="0.3">
      <c r="A171" s="32" t="s">
        <v>25</v>
      </c>
      <c r="B171" s="32"/>
      <c r="C171" s="33"/>
      <c r="D171" s="34"/>
      <c r="E171" s="35">
        <v>0</v>
      </c>
      <c r="F171" s="35">
        <v>0</v>
      </c>
      <c r="G171" s="35">
        <v>0</v>
      </c>
      <c r="H171" s="35">
        <v>0</v>
      </c>
      <c r="I171" s="36">
        <v>0</v>
      </c>
    </row>
    <row r="172" spans="1:9" ht="21" customHeight="1" outlineLevel="1" x14ac:dyDescent="0.3">
      <c r="A172" s="30" t="s">
        <v>155</v>
      </c>
      <c r="B172" s="27"/>
      <c r="C172" s="28"/>
      <c r="D172" s="28"/>
      <c r="E172" s="28"/>
      <c r="F172" s="28"/>
      <c r="G172" s="28"/>
      <c r="H172" s="28"/>
      <c r="I172" s="29">
        <f>I173+I179</f>
        <v>509645.82399999996</v>
      </c>
    </row>
    <row r="173" spans="1:9" ht="21" customHeight="1" outlineLevel="2" x14ac:dyDescent="0.3">
      <c r="A173" s="31" t="s">
        <v>156</v>
      </c>
      <c r="B173" s="27"/>
      <c r="C173" s="28"/>
      <c r="D173" s="28"/>
      <c r="E173" s="28"/>
      <c r="F173" s="28"/>
      <c r="G173" s="28"/>
      <c r="H173" s="28"/>
      <c r="I173" s="29">
        <f>I174</f>
        <v>10347.76</v>
      </c>
    </row>
    <row r="174" spans="1:9" ht="21" customHeight="1" outlineLevel="3" x14ac:dyDescent="0.3">
      <c r="A174" s="27" t="s">
        <v>157</v>
      </c>
      <c r="B174" s="27"/>
      <c r="C174" s="28"/>
      <c r="D174" s="28"/>
      <c r="E174" s="28"/>
      <c r="F174" s="28"/>
      <c r="G174" s="28"/>
      <c r="H174" s="28"/>
      <c r="I174" s="29">
        <f>SUM(I175:I178)</f>
        <v>10347.76</v>
      </c>
    </row>
    <row r="175" spans="1:9" ht="27.6" outlineLevel="4" x14ac:dyDescent="0.25">
      <c r="A175" s="32" t="s">
        <v>158</v>
      </c>
      <c r="B175" s="32" t="s">
        <v>159</v>
      </c>
      <c r="C175" s="79">
        <v>4</v>
      </c>
      <c r="D175" s="34" t="s">
        <v>145</v>
      </c>
      <c r="E175" s="35">
        <v>2015.78</v>
      </c>
      <c r="F175" s="35">
        <v>571.16</v>
      </c>
      <c r="G175" s="35">
        <v>0</v>
      </c>
      <c r="H175" s="35">
        <v>2586.94</v>
      </c>
      <c r="I175" s="36">
        <f>H175*C175</f>
        <v>10347.76</v>
      </c>
    </row>
    <row r="176" spans="1:9" outlineLevel="4" x14ac:dyDescent="0.3">
      <c r="A176" s="32" t="s">
        <v>25</v>
      </c>
      <c r="B176" s="32"/>
      <c r="C176" s="33"/>
      <c r="D176" s="34"/>
      <c r="E176" s="35">
        <v>0</v>
      </c>
      <c r="F176" s="35">
        <v>0</v>
      </c>
      <c r="G176" s="35">
        <v>0</v>
      </c>
      <c r="H176" s="35">
        <v>0</v>
      </c>
      <c r="I176" s="36">
        <v>0</v>
      </c>
    </row>
    <row r="177" spans="1:9" outlineLevel="4" x14ac:dyDescent="0.3">
      <c r="A177" s="32" t="s">
        <v>25</v>
      </c>
      <c r="B177" s="32"/>
      <c r="C177" s="33"/>
      <c r="D177" s="34"/>
      <c r="E177" s="35">
        <v>0</v>
      </c>
      <c r="F177" s="35">
        <v>0</v>
      </c>
      <c r="G177" s="35">
        <v>0</v>
      </c>
      <c r="H177" s="35">
        <v>0</v>
      </c>
      <c r="I177" s="36">
        <v>0</v>
      </c>
    </row>
    <row r="178" spans="1:9" outlineLevel="4" x14ac:dyDescent="0.3">
      <c r="A178" s="32" t="s">
        <v>25</v>
      </c>
      <c r="B178" s="32"/>
      <c r="C178" s="33"/>
      <c r="D178" s="34"/>
      <c r="E178" s="35">
        <v>0</v>
      </c>
      <c r="F178" s="35">
        <v>0</v>
      </c>
      <c r="G178" s="35">
        <v>0</v>
      </c>
      <c r="H178" s="35">
        <v>0</v>
      </c>
      <c r="I178" s="36">
        <v>0</v>
      </c>
    </row>
    <row r="179" spans="1:9" ht="21" customHeight="1" outlineLevel="2" x14ac:dyDescent="0.3">
      <c r="A179" s="31" t="s">
        <v>160</v>
      </c>
      <c r="B179" s="27"/>
      <c r="C179" s="28"/>
      <c r="D179" s="28"/>
      <c r="E179" s="28"/>
      <c r="F179" s="28"/>
      <c r="G179" s="28"/>
      <c r="H179" s="28"/>
      <c r="I179" s="29">
        <f>I180</f>
        <v>499298.06399999995</v>
      </c>
    </row>
    <row r="180" spans="1:9" ht="21" customHeight="1" outlineLevel="3" x14ac:dyDescent="0.3">
      <c r="A180" s="27" t="s">
        <v>161</v>
      </c>
      <c r="B180" s="27"/>
      <c r="C180" s="28"/>
      <c r="D180" s="28"/>
      <c r="E180" s="28"/>
      <c r="F180" s="28"/>
      <c r="G180" s="28"/>
      <c r="H180" s="28"/>
      <c r="I180" s="29">
        <f>SUM(I181:I184)</f>
        <v>499298.06399999995</v>
      </c>
    </row>
    <row r="181" spans="1:9" ht="27.6" outlineLevel="4" x14ac:dyDescent="0.25">
      <c r="A181" s="32" t="s">
        <v>162</v>
      </c>
      <c r="B181" s="32" t="s">
        <v>163</v>
      </c>
      <c r="C181" s="82">
        <v>6712.8</v>
      </c>
      <c r="D181" s="34" t="s">
        <v>59</v>
      </c>
      <c r="E181" s="35">
        <v>59.39</v>
      </c>
      <c r="F181" s="35">
        <v>14.99</v>
      </c>
      <c r="G181" s="35">
        <v>0</v>
      </c>
      <c r="H181" s="35">
        <v>74.38</v>
      </c>
      <c r="I181" s="36">
        <f>H181*C181</f>
        <v>499298.06399999995</v>
      </c>
    </row>
    <row r="182" spans="1:9" outlineLevel="4" x14ac:dyDescent="0.3">
      <c r="A182" s="32" t="s">
        <v>25</v>
      </c>
      <c r="B182" s="32"/>
      <c r="C182" s="33"/>
      <c r="D182" s="34"/>
      <c r="E182" s="35">
        <v>0</v>
      </c>
      <c r="F182" s="35">
        <v>0</v>
      </c>
      <c r="G182" s="35">
        <v>0</v>
      </c>
      <c r="H182" s="35">
        <v>0</v>
      </c>
      <c r="I182" s="36">
        <v>0</v>
      </c>
    </row>
    <row r="183" spans="1:9" outlineLevel="4" x14ac:dyDescent="0.3">
      <c r="A183" s="32" t="s">
        <v>25</v>
      </c>
      <c r="B183" s="32"/>
      <c r="C183" s="33"/>
      <c r="D183" s="34"/>
      <c r="E183" s="35">
        <v>0</v>
      </c>
      <c r="F183" s="35">
        <v>0</v>
      </c>
      <c r="G183" s="35">
        <v>0</v>
      </c>
      <c r="H183" s="35">
        <v>0</v>
      </c>
      <c r="I183" s="36">
        <v>0</v>
      </c>
    </row>
    <row r="184" spans="1:9" outlineLevel="4" x14ac:dyDescent="0.3">
      <c r="A184" s="32" t="s">
        <v>25</v>
      </c>
      <c r="B184" s="32"/>
      <c r="C184" s="33"/>
      <c r="D184" s="34"/>
      <c r="E184" s="35">
        <v>0</v>
      </c>
      <c r="F184" s="35">
        <v>0</v>
      </c>
      <c r="G184" s="35">
        <v>0</v>
      </c>
      <c r="H184" s="35">
        <v>0</v>
      </c>
      <c r="I184" s="36">
        <v>0</v>
      </c>
    </row>
    <row r="185" spans="1:9" ht="21" customHeight="1" outlineLevel="1" x14ac:dyDescent="0.3">
      <c r="A185" s="30" t="s">
        <v>164</v>
      </c>
      <c r="B185" s="27"/>
      <c r="C185" s="28"/>
      <c r="D185" s="28"/>
      <c r="E185" s="28"/>
      <c r="F185" s="28"/>
      <c r="G185" s="28"/>
      <c r="H185" s="28"/>
      <c r="I185" s="29">
        <f>I186</f>
        <v>8401</v>
      </c>
    </row>
    <row r="186" spans="1:9" ht="21" customHeight="1" outlineLevel="2" x14ac:dyDescent="0.3">
      <c r="A186" s="31" t="s">
        <v>165</v>
      </c>
      <c r="B186" s="27"/>
      <c r="C186" s="28"/>
      <c r="D186" s="28"/>
      <c r="E186" s="28"/>
      <c r="F186" s="28"/>
      <c r="G186" s="28"/>
      <c r="H186" s="28"/>
      <c r="I186" s="29">
        <f>I187</f>
        <v>8401</v>
      </c>
    </row>
    <row r="187" spans="1:9" ht="21" customHeight="1" outlineLevel="3" x14ac:dyDescent="0.3">
      <c r="A187" s="27" t="s">
        <v>166</v>
      </c>
      <c r="B187" s="27"/>
      <c r="C187" s="28"/>
      <c r="D187" s="28"/>
      <c r="E187" s="28"/>
      <c r="F187" s="28"/>
      <c r="G187" s="28"/>
      <c r="H187" s="28"/>
      <c r="I187" s="29">
        <f>SUM(I188:I197)</f>
        <v>8401</v>
      </c>
    </row>
    <row r="188" spans="1:9" ht="27.6" outlineLevel="4" x14ac:dyDescent="0.25">
      <c r="A188" s="32" t="s">
        <v>167</v>
      </c>
      <c r="B188" s="32" t="s">
        <v>168</v>
      </c>
      <c r="C188" s="79">
        <v>27</v>
      </c>
      <c r="D188" s="34" t="s">
        <v>145</v>
      </c>
      <c r="E188" s="35">
        <v>43.56</v>
      </c>
      <c r="F188" s="35">
        <v>0</v>
      </c>
      <c r="G188" s="35">
        <v>0</v>
      </c>
      <c r="H188" s="35">
        <v>43.56</v>
      </c>
      <c r="I188" s="36">
        <f>H188*C188</f>
        <v>1176.1200000000001</v>
      </c>
    </row>
    <row r="189" spans="1:9" outlineLevel="4" x14ac:dyDescent="0.25">
      <c r="A189" s="32" t="s">
        <v>169</v>
      </c>
      <c r="B189" s="32" t="s">
        <v>170</v>
      </c>
      <c r="C189" s="80">
        <v>9</v>
      </c>
      <c r="D189" s="34" t="s">
        <v>145</v>
      </c>
      <c r="E189" s="35">
        <v>35.76</v>
      </c>
      <c r="F189" s="35">
        <v>16.239999999999998</v>
      </c>
      <c r="G189" s="35">
        <v>0</v>
      </c>
      <c r="H189" s="35">
        <v>52</v>
      </c>
      <c r="I189" s="36">
        <f>H189*C189</f>
        <v>468</v>
      </c>
    </row>
    <row r="190" spans="1:9" outlineLevel="4" x14ac:dyDescent="0.25">
      <c r="A190" s="32" t="s">
        <v>171</v>
      </c>
      <c r="B190" s="32" t="s">
        <v>172</v>
      </c>
      <c r="C190" s="80">
        <v>13</v>
      </c>
      <c r="D190" s="34" t="s">
        <v>145</v>
      </c>
      <c r="E190" s="35">
        <v>40.35</v>
      </c>
      <c r="F190" s="35">
        <v>26.08</v>
      </c>
      <c r="G190" s="35">
        <v>0</v>
      </c>
      <c r="H190" s="35">
        <v>66.430000000000007</v>
      </c>
      <c r="I190" s="36">
        <f>H190*C190</f>
        <v>863.59000000000015</v>
      </c>
    </row>
    <row r="191" spans="1:9" ht="27.6" outlineLevel="4" x14ac:dyDescent="0.25">
      <c r="A191" s="32" t="s">
        <v>173</v>
      </c>
      <c r="B191" s="32" t="s">
        <v>174</v>
      </c>
      <c r="C191" s="80">
        <v>9</v>
      </c>
      <c r="D191" s="34" t="s">
        <v>145</v>
      </c>
      <c r="E191" s="35">
        <v>201.74</v>
      </c>
      <c r="F191" s="35">
        <v>86.59</v>
      </c>
      <c r="G191" s="35">
        <v>0</v>
      </c>
      <c r="H191" s="35">
        <v>288.33</v>
      </c>
      <c r="I191" s="36">
        <f>H191*C191</f>
        <v>2594.9699999999998</v>
      </c>
    </row>
    <row r="192" spans="1:9" outlineLevel="4" x14ac:dyDescent="0.25">
      <c r="A192" s="32" t="s">
        <v>175</v>
      </c>
      <c r="B192" s="32" t="s">
        <v>176</v>
      </c>
      <c r="C192" s="80">
        <v>9</v>
      </c>
      <c r="D192" s="34" t="s">
        <v>145</v>
      </c>
      <c r="E192" s="35">
        <v>25.22</v>
      </c>
      <c r="F192" s="35">
        <v>173.18</v>
      </c>
      <c r="G192" s="35">
        <v>0</v>
      </c>
      <c r="H192" s="35">
        <v>198.4</v>
      </c>
      <c r="I192" s="36">
        <f>H192*C192</f>
        <v>1785.6000000000001</v>
      </c>
    </row>
    <row r="193" spans="1:9" ht="27.6" outlineLevel="4" x14ac:dyDescent="0.25">
      <c r="A193" s="32" t="s">
        <v>177</v>
      </c>
      <c r="B193" s="32" t="s">
        <v>178</v>
      </c>
      <c r="C193" s="80">
        <v>9</v>
      </c>
      <c r="D193" s="34" t="s">
        <v>145</v>
      </c>
      <c r="E193" s="35">
        <v>13.66</v>
      </c>
      <c r="F193" s="35">
        <v>20.66</v>
      </c>
      <c r="G193" s="35">
        <v>0</v>
      </c>
      <c r="H193" s="35">
        <v>34.32</v>
      </c>
      <c r="I193" s="36">
        <f t="shared" ref="I193:I194" si="8">H193*C193</f>
        <v>308.88</v>
      </c>
    </row>
    <row r="194" spans="1:9" outlineLevel="4" x14ac:dyDescent="0.25">
      <c r="A194" s="32" t="s">
        <v>179</v>
      </c>
      <c r="B194" s="32" t="s">
        <v>180</v>
      </c>
      <c r="C194" s="80">
        <v>9</v>
      </c>
      <c r="D194" s="34" t="s">
        <v>145</v>
      </c>
      <c r="E194" s="35">
        <v>81.61</v>
      </c>
      <c r="F194" s="35">
        <v>52.15</v>
      </c>
      <c r="G194" s="35">
        <v>0</v>
      </c>
      <c r="H194" s="35">
        <v>133.76</v>
      </c>
      <c r="I194" s="36">
        <f t="shared" si="8"/>
        <v>1203.8399999999999</v>
      </c>
    </row>
    <row r="195" spans="1:9" outlineLevel="4" x14ac:dyDescent="0.3">
      <c r="A195" s="32" t="s">
        <v>25</v>
      </c>
      <c r="B195" s="32"/>
      <c r="C195" s="33"/>
      <c r="D195" s="34"/>
      <c r="E195" s="35">
        <v>0</v>
      </c>
      <c r="F195" s="35">
        <v>0</v>
      </c>
      <c r="G195" s="35">
        <v>0</v>
      </c>
      <c r="H195" s="35">
        <v>0</v>
      </c>
      <c r="I195" s="36">
        <v>0</v>
      </c>
    </row>
    <row r="196" spans="1:9" outlineLevel="4" x14ac:dyDescent="0.3">
      <c r="A196" s="32" t="s">
        <v>25</v>
      </c>
      <c r="B196" s="32"/>
      <c r="C196" s="33"/>
      <c r="D196" s="34"/>
      <c r="E196" s="35">
        <v>0</v>
      </c>
      <c r="F196" s="35">
        <v>0</v>
      </c>
      <c r="G196" s="35">
        <v>0</v>
      </c>
      <c r="H196" s="35">
        <v>0</v>
      </c>
      <c r="I196" s="36">
        <v>0</v>
      </c>
    </row>
    <row r="197" spans="1:9" outlineLevel="4" x14ac:dyDescent="0.3">
      <c r="A197" s="32" t="s">
        <v>25</v>
      </c>
      <c r="B197" s="32"/>
      <c r="C197" s="33"/>
      <c r="D197" s="34"/>
      <c r="E197" s="35">
        <v>0</v>
      </c>
      <c r="F197" s="35">
        <v>0</v>
      </c>
      <c r="G197" s="35">
        <v>0</v>
      </c>
      <c r="H197" s="35">
        <v>0</v>
      </c>
      <c r="I197" s="36">
        <v>0</v>
      </c>
    </row>
    <row r="198" spans="1:9" ht="21" customHeight="1" x14ac:dyDescent="0.3">
      <c r="A198" s="26" t="s">
        <v>181</v>
      </c>
      <c r="B198" s="27"/>
      <c r="C198" s="28"/>
      <c r="D198" s="28"/>
      <c r="E198" s="28"/>
      <c r="F198" s="28"/>
      <c r="G198" s="28"/>
      <c r="H198" s="28"/>
      <c r="I198" s="29">
        <f>I199+I206</f>
        <v>7403.8680000000004</v>
      </c>
    </row>
    <row r="199" spans="1:9" ht="21" customHeight="1" outlineLevel="1" x14ac:dyDescent="0.3">
      <c r="A199" s="30" t="s">
        <v>182</v>
      </c>
      <c r="B199" s="27"/>
      <c r="C199" s="28"/>
      <c r="D199" s="28"/>
      <c r="E199" s="28"/>
      <c r="F199" s="28"/>
      <c r="G199" s="28"/>
      <c r="H199" s="28"/>
      <c r="I199" s="29">
        <f>I200</f>
        <v>5390.6760000000004</v>
      </c>
    </row>
    <row r="200" spans="1:9" ht="21" customHeight="1" outlineLevel="2" x14ac:dyDescent="0.3">
      <c r="A200" s="31" t="s">
        <v>183</v>
      </c>
      <c r="B200" s="27"/>
      <c r="C200" s="28"/>
      <c r="D200" s="28"/>
      <c r="E200" s="28"/>
      <c r="F200" s="28"/>
      <c r="G200" s="28"/>
      <c r="H200" s="28"/>
      <c r="I200" s="29">
        <f>I201</f>
        <v>5390.6760000000004</v>
      </c>
    </row>
    <row r="201" spans="1:9" ht="21" customHeight="1" outlineLevel="3" x14ac:dyDescent="0.3">
      <c r="A201" s="27" t="s">
        <v>184</v>
      </c>
      <c r="B201" s="27"/>
      <c r="C201" s="28"/>
      <c r="D201" s="28"/>
      <c r="E201" s="28"/>
      <c r="F201" s="28"/>
      <c r="G201" s="28"/>
      <c r="H201" s="28"/>
      <c r="I201" s="29">
        <f>SUM(I202:I205)</f>
        <v>5390.6760000000004</v>
      </c>
    </row>
    <row r="202" spans="1:9" ht="27.6" outlineLevel="4" x14ac:dyDescent="0.25">
      <c r="A202" s="32" t="s">
        <v>185</v>
      </c>
      <c r="B202" s="32" t="s">
        <v>186</v>
      </c>
      <c r="C202" s="79">
        <v>786.96</v>
      </c>
      <c r="D202" s="34" t="s">
        <v>59</v>
      </c>
      <c r="E202" s="35">
        <v>2.85</v>
      </c>
      <c r="F202" s="35">
        <v>4</v>
      </c>
      <c r="G202" s="35">
        <v>0</v>
      </c>
      <c r="H202" s="35">
        <v>6.85</v>
      </c>
      <c r="I202" s="36">
        <f>H202*C202</f>
        <v>5390.6760000000004</v>
      </c>
    </row>
    <row r="203" spans="1:9" outlineLevel="4" x14ac:dyDescent="0.3">
      <c r="A203" s="32" t="s">
        <v>25</v>
      </c>
      <c r="B203" s="32"/>
      <c r="C203" s="33"/>
      <c r="D203" s="34"/>
      <c r="E203" s="35">
        <v>0</v>
      </c>
      <c r="F203" s="35">
        <v>0</v>
      </c>
      <c r="G203" s="35">
        <v>0</v>
      </c>
      <c r="H203" s="35">
        <v>0</v>
      </c>
      <c r="I203" s="36">
        <v>0</v>
      </c>
    </row>
    <row r="204" spans="1:9" outlineLevel="4" x14ac:dyDescent="0.3">
      <c r="A204" s="32" t="s">
        <v>25</v>
      </c>
      <c r="B204" s="32"/>
      <c r="C204" s="33"/>
      <c r="D204" s="34"/>
      <c r="E204" s="35">
        <v>0</v>
      </c>
      <c r="F204" s="35">
        <v>0</v>
      </c>
      <c r="G204" s="35">
        <v>0</v>
      </c>
      <c r="H204" s="35">
        <v>0</v>
      </c>
      <c r="I204" s="36">
        <v>0</v>
      </c>
    </row>
    <row r="205" spans="1:9" outlineLevel="4" x14ac:dyDescent="0.3">
      <c r="A205" s="32" t="s">
        <v>25</v>
      </c>
      <c r="B205" s="32"/>
      <c r="C205" s="33"/>
      <c r="D205" s="34"/>
      <c r="E205" s="35">
        <v>0</v>
      </c>
      <c r="F205" s="35">
        <v>0</v>
      </c>
      <c r="G205" s="35">
        <v>0</v>
      </c>
      <c r="H205" s="35">
        <v>0</v>
      </c>
      <c r="I205" s="36">
        <v>0</v>
      </c>
    </row>
    <row r="206" spans="1:9" ht="21" customHeight="1" outlineLevel="1" x14ac:dyDescent="0.3">
      <c r="A206" s="30" t="s">
        <v>187</v>
      </c>
      <c r="B206" s="27"/>
      <c r="C206" s="28"/>
      <c r="D206" s="28"/>
      <c r="E206" s="28"/>
      <c r="F206" s="28"/>
      <c r="G206" s="28"/>
      <c r="H206" s="28"/>
      <c r="I206" s="29">
        <f>I207</f>
        <v>2013.192</v>
      </c>
    </row>
    <row r="207" spans="1:9" ht="21" customHeight="1" outlineLevel="2" x14ac:dyDescent="0.3">
      <c r="A207" s="31" t="s">
        <v>188</v>
      </c>
      <c r="B207" s="27"/>
      <c r="C207" s="28"/>
      <c r="D207" s="28"/>
      <c r="E207" s="28"/>
      <c r="F207" s="28"/>
      <c r="G207" s="28"/>
      <c r="H207" s="28"/>
      <c r="I207" s="29">
        <f>I208</f>
        <v>2013.192</v>
      </c>
    </row>
    <row r="208" spans="1:9" ht="21" customHeight="1" outlineLevel="3" x14ac:dyDescent="0.3">
      <c r="A208" s="27" t="s">
        <v>189</v>
      </c>
      <c r="B208" s="27"/>
      <c r="C208" s="28"/>
      <c r="D208" s="28"/>
      <c r="E208" s="28"/>
      <c r="F208" s="28"/>
      <c r="G208" s="28"/>
      <c r="H208" s="28"/>
      <c r="I208" s="29">
        <f>SUM(I209:I213)</f>
        <v>2013.192</v>
      </c>
    </row>
    <row r="209" spans="1:9" outlineLevel="4" x14ac:dyDescent="0.25">
      <c r="A209" s="32" t="s">
        <v>190</v>
      </c>
      <c r="B209" s="32" t="s">
        <v>191</v>
      </c>
      <c r="C209" s="79">
        <v>9</v>
      </c>
      <c r="D209" s="34" t="s">
        <v>145</v>
      </c>
      <c r="E209" s="35">
        <v>15.54</v>
      </c>
      <c r="F209" s="35">
        <v>59.5</v>
      </c>
      <c r="G209" s="35">
        <v>0</v>
      </c>
      <c r="H209" s="35">
        <v>75.040000000000006</v>
      </c>
      <c r="I209" s="36">
        <f>H209*C209</f>
        <v>675.36</v>
      </c>
    </row>
    <row r="210" spans="1:9" ht="27.6" outlineLevel="4" x14ac:dyDescent="0.25">
      <c r="A210" s="32" t="s">
        <v>192</v>
      </c>
      <c r="B210" s="32" t="s">
        <v>193</v>
      </c>
      <c r="C210" s="81">
        <v>1573.92</v>
      </c>
      <c r="D210" s="34" t="s">
        <v>59</v>
      </c>
      <c r="E210" s="35">
        <v>14</v>
      </c>
      <c r="F210" s="35">
        <v>0.71</v>
      </c>
      <c r="G210" s="35">
        <v>0</v>
      </c>
      <c r="H210" s="35">
        <v>0.85</v>
      </c>
      <c r="I210" s="36">
        <f>H210*C210</f>
        <v>1337.8320000000001</v>
      </c>
    </row>
    <row r="211" spans="1:9" outlineLevel="4" x14ac:dyDescent="0.3">
      <c r="A211" s="32" t="s">
        <v>25</v>
      </c>
      <c r="B211" s="32"/>
      <c r="C211" s="33"/>
      <c r="D211" s="34"/>
      <c r="E211" s="35">
        <v>0</v>
      </c>
      <c r="F211" s="35">
        <v>0</v>
      </c>
      <c r="G211" s="35">
        <v>0</v>
      </c>
      <c r="H211" s="35">
        <v>0</v>
      </c>
      <c r="I211" s="36">
        <v>0</v>
      </c>
    </row>
    <row r="212" spans="1:9" outlineLevel="4" x14ac:dyDescent="0.3">
      <c r="A212" s="32" t="s">
        <v>25</v>
      </c>
      <c r="B212" s="32"/>
      <c r="C212" s="33"/>
      <c r="D212" s="34"/>
      <c r="E212" s="35">
        <v>0</v>
      </c>
      <c r="F212" s="35">
        <v>0</v>
      </c>
      <c r="G212" s="35">
        <v>0</v>
      </c>
      <c r="H212" s="35">
        <v>0</v>
      </c>
      <c r="I212" s="36">
        <v>0</v>
      </c>
    </row>
    <row r="213" spans="1:9" outlineLevel="4" x14ac:dyDescent="0.3">
      <c r="A213" s="32" t="s">
        <v>25</v>
      </c>
      <c r="B213" s="32"/>
      <c r="C213" s="33"/>
      <c r="D213" s="34"/>
      <c r="E213" s="35">
        <v>0</v>
      </c>
      <c r="F213" s="35">
        <v>0</v>
      </c>
      <c r="G213" s="35">
        <v>0</v>
      </c>
      <c r="H213" s="35">
        <v>0</v>
      </c>
      <c r="I213" s="36">
        <v>0</v>
      </c>
    </row>
    <row r="214" spans="1:9" ht="21" customHeight="1" x14ac:dyDescent="0.3">
      <c r="A214" s="26" t="s">
        <v>194</v>
      </c>
      <c r="B214" s="27"/>
      <c r="C214" s="28"/>
      <c r="D214" s="28"/>
      <c r="E214" s="28"/>
      <c r="F214" s="28"/>
      <c r="G214" s="28"/>
      <c r="H214" s="28"/>
      <c r="I214" s="29">
        <f>I215</f>
        <v>121932</v>
      </c>
    </row>
    <row r="215" spans="1:9" ht="21" customHeight="1" outlineLevel="1" x14ac:dyDescent="0.3">
      <c r="A215" s="30" t="s">
        <v>195</v>
      </c>
      <c r="B215" s="27"/>
      <c r="C215" s="28"/>
      <c r="D215" s="28"/>
      <c r="E215" s="28"/>
      <c r="F215" s="28"/>
      <c r="G215" s="28"/>
      <c r="H215" s="28"/>
      <c r="I215" s="29">
        <f>I216</f>
        <v>121932</v>
      </c>
    </row>
    <row r="216" spans="1:9" ht="21" customHeight="1" outlineLevel="2" x14ac:dyDescent="0.3">
      <c r="A216" s="31" t="s">
        <v>196</v>
      </c>
      <c r="B216" s="27"/>
      <c r="C216" s="28"/>
      <c r="D216" s="28"/>
      <c r="E216" s="28"/>
      <c r="F216" s="28"/>
      <c r="G216" s="28"/>
      <c r="H216" s="28"/>
      <c r="I216" s="29">
        <f>I217</f>
        <v>121932</v>
      </c>
    </row>
    <row r="217" spans="1:9" ht="21" customHeight="1" outlineLevel="3" x14ac:dyDescent="0.3">
      <c r="A217" s="27" t="s">
        <v>197</v>
      </c>
      <c r="B217" s="27"/>
      <c r="C217" s="28"/>
      <c r="D217" s="28"/>
      <c r="E217" s="28"/>
      <c r="F217" s="28"/>
      <c r="G217" s="28"/>
      <c r="H217" s="28"/>
      <c r="I217" s="29">
        <f>SUM(I218:I221)</f>
        <v>121932</v>
      </c>
    </row>
    <row r="218" spans="1:9" ht="27.6" outlineLevel="4" x14ac:dyDescent="0.3">
      <c r="A218" s="32" t="s">
        <v>198</v>
      </c>
      <c r="B218" s="32" t="s">
        <v>199</v>
      </c>
      <c r="C218" s="33">
        <v>12</v>
      </c>
      <c r="D218" s="34" t="s">
        <v>145</v>
      </c>
      <c r="E218" s="35">
        <v>9325</v>
      </c>
      <c r="F218" s="35">
        <v>735</v>
      </c>
      <c r="G218" s="35">
        <v>101</v>
      </c>
      <c r="H218" s="35">
        <f>SUM(E218:G218)</f>
        <v>10161</v>
      </c>
      <c r="I218" s="36">
        <f>C218*H218</f>
        <v>121932</v>
      </c>
    </row>
    <row r="219" spans="1:9" outlineLevel="4" x14ac:dyDescent="0.3">
      <c r="A219" s="32" t="s">
        <v>25</v>
      </c>
      <c r="B219" s="32"/>
      <c r="C219" s="33"/>
      <c r="D219" s="34"/>
      <c r="E219" s="35">
        <v>0</v>
      </c>
      <c r="F219" s="35">
        <v>0</v>
      </c>
      <c r="G219" s="35">
        <v>0</v>
      </c>
      <c r="H219" s="35">
        <v>0</v>
      </c>
      <c r="I219" s="36">
        <v>0</v>
      </c>
    </row>
    <row r="220" spans="1:9" outlineLevel="4" x14ac:dyDescent="0.3">
      <c r="A220" s="32" t="s">
        <v>25</v>
      </c>
      <c r="B220" s="32"/>
      <c r="C220" s="33"/>
      <c r="D220" s="34"/>
      <c r="E220" s="35">
        <v>0</v>
      </c>
      <c r="F220" s="35">
        <v>0</v>
      </c>
      <c r="G220" s="35">
        <v>0</v>
      </c>
      <c r="H220" s="35">
        <v>0</v>
      </c>
      <c r="I220" s="36">
        <v>0</v>
      </c>
    </row>
    <row r="221" spans="1:9" outlineLevel="4" x14ac:dyDescent="0.3">
      <c r="A221" s="32" t="s">
        <v>25</v>
      </c>
      <c r="B221" s="32"/>
      <c r="C221" s="33"/>
      <c r="D221" s="34"/>
      <c r="E221" s="35">
        <v>0</v>
      </c>
      <c r="F221" s="35">
        <v>0</v>
      </c>
      <c r="G221" s="35">
        <v>0</v>
      </c>
      <c r="H221" s="35">
        <v>0</v>
      </c>
      <c r="I221" s="36">
        <v>0</v>
      </c>
    </row>
    <row r="222" spans="1:9" ht="17.399999999999999" customHeight="1" x14ac:dyDescent="0.3">
      <c r="A222" s="111" t="s">
        <v>200</v>
      </c>
      <c r="B222" s="111"/>
      <c r="C222" s="111"/>
      <c r="D222" s="111"/>
      <c r="E222" s="111"/>
      <c r="F222" s="111"/>
      <c r="G222" s="111"/>
      <c r="H222" s="111"/>
      <c r="I222" s="37">
        <f>I14+I69+I77+I116+I124+I155+I198</f>
        <v>5117209.6184612028</v>
      </c>
    </row>
    <row r="223" spans="1:9" ht="17.399999999999999" customHeight="1" x14ac:dyDescent="0.3">
      <c r="A223" s="111" t="s">
        <v>201</v>
      </c>
      <c r="B223" s="111"/>
      <c r="C223" s="111"/>
      <c r="D223" s="111"/>
      <c r="E223" s="111"/>
      <c r="F223" s="111"/>
      <c r="G223" s="111"/>
      <c r="H223" s="111"/>
      <c r="I223" s="37">
        <f>I222*0.045</f>
        <v>230274.43283075411</v>
      </c>
    </row>
    <row r="224" spans="1:9" ht="17.399999999999999" customHeight="1" x14ac:dyDescent="0.3">
      <c r="A224" s="111" t="s">
        <v>202</v>
      </c>
      <c r="B224" s="111"/>
      <c r="C224" s="111"/>
      <c r="D224" s="111"/>
      <c r="E224" s="111"/>
      <c r="F224" s="111"/>
      <c r="G224" s="111"/>
      <c r="H224" s="111"/>
      <c r="I224" s="37">
        <f>I222+I223</f>
        <v>5347484.0512919566</v>
      </c>
    </row>
    <row r="225" spans="1:9" ht="17.399999999999999" customHeight="1" x14ac:dyDescent="0.3">
      <c r="A225" s="111" t="s">
        <v>203</v>
      </c>
      <c r="B225" s="111"/>
      <c r="C225" s="111"/>
      <c r="D225" s="111"/>
      <c r="E225" s="111"/>
      <c r="F225" s="111"/>
      <c r="G225" s="111"/>
      <c r="H225" s="111"/>
      <c r="I225" s="37">
        <f>I224*0.03</f>
        <v>160424.52153875868</v>
      </c>
    </row>
    <row r="226" spans="1:9" ht="17.399999999999999" customHeight="1" x14ac:dyDescent="0.3">
      <c r="A226" s="111" t="s">
        <v>204</v>
      </c>
      <c r="B226" s="111"/>
      <c r="C226" s="111"/>
      <c r="D226" s="111"/>
      <c r="E226" s="111"/>
      <c r="F226" s="111"/>
      <c r="G226" s="111"/>
      <c r="H226" s="111"/>
      <c r="I226" s="37">
        <f>I224+I225</f>
        <v>5507908.5728307152</v>
      </c>
    </row>
    <row r="227" spans="1:9" ht="17.399999999999999" customHeight="1" x14ac:dyDescent="0.3">
      <c r="A227" s="111" t="s">
        <v>205</v>
      </c>
      <c r="B227" s="111"/>
      <c r="C227" s="111"/>
      <c r="D227" s="111"/>
      <c r="E227" s="111"/>
      <c r="F227" s="111"/>
      <c r="G227" s="111"/>
      <c r="H227" s="111"/>
      <c r="I227" s="37">
        <f>I226*0.05</f>
        <v>275395.42864153575</v>
      </c>
    </row>
    <row r="228" spans="1:9" ht="17.399999999999999" customHeight="1" x14ac:dyDescent="0.3">
      <c r="A228" s="111" t="s">
        <v>206</v>
      </c>
      <c r="B228" s="111"/>
      <c r="C228" s="111"/>
      <c r="D228" s="111"/>
      <c r="E228" s="111"/>
      <c r="F228" s="111"/>
      <c r="G228" s="111"/>
      <c r="H228" s="111"/>
      <c r="I228" s="37">
        <f>I227+I226</f>
        <v>5783304.0014722506</v>
      </c>
    </row>
    <row r="229" spans="1:9" x14ac:dyDescent="0.3">
      <c r="A229" s="11"/>
      <c r="B229" s="11"/>
      <c r="C229" s="12"/>
      <c r="D229" s="13"/>
      <c r="E229" s="14"/>
      <c r="F229" s="14"/>
      <c r="G229" s="14"/>
      <c r="H229" s="14"/>
      <c r="I229" s="15"/>
    </row>
    <row r="230" spans="1:9" x14ac:dyDescent="0.3">
      <c r="A230" s="11"/>
      <c r="B230" s="11"/>
      <c r="C230" s="12"/>
      <c r="D230" s="13"/>
      <c r="E230" s="14"/>
      <c r="F230" s="14"/>
      <c r="G230" s="14"/>
      <c r="H230" s="14"/>
      <c r="I230" s="15"/>
    </row>
    <row r="231" spans="1:9" x14ac:dyDescent="0.3">
      <c r="A231" s="11"/>
      <c r="B231" s="11"/>
      <c r="C231" s="12"/>
      <c r="D231" s="13"/>
      <c r="E231" s="14"/>
      <c r="F231" s="14"/>
      <c r="G231" s="14"/>
      <c r="H231" s="14"/>
      <c r="I231" s="15"/>
    </row>
    <row r="232" spans="1:9" x14ac:dyDescent="0.3">
      <c r="A232" s="11"/>
      <c r="B232" s="11"/>
      <c r="C232" s="12"/>
      <c r="D232" s="13"/>
      <c r="E232" s="14"/>
      <c r="F232" s="14"/>
      <c r="G232" s="14"/>
      <c r="H232" s="14"/>
      <c r="I232" s="15"/>
    </row>
    <row r="233" spans="1:9" x14ac:dyDescent="0.3">
      <c r="A233" s="11"/>
      <c r="B233" s="11"/>
      <c r="C233" s="12"/>
      <c r="D233" s="13"/>
      <c r="E233" s="14"/>
      <c r="F233" s="14"/>
      <c r="G233" s="14"/>
      <c r="H233" s="14"/>
      <c r="I233" s="15"/>
    </row>
    <row r="234" spans="1:9" x14ac:dyDescent="0.3">
      <c r="A234" s="11"/>
      <c r="B234" s="11"/>
      <c r="C234" s="12"/>
      <c r="D234" s="13"/>
      <c r="E234" s="14"/>
      <c r="F234" s="14"/>
      <c r="G234" s="14"/>
      <c r="H234" s="14"/>
      <c r="I234" s="15"/>
    </row>
    <row r="235" spans="1:9" x14ac:dyDescent="0.3">
      <c r="A235" s="11"/>
      <c r="B235" s="11"/>
      <c r="C235" s="12"/>
      <c r="D235" s="13"/>
      <c r="E235" s="14"/>
      <c r="F235" s="14"/>
      <c r="G235" s="14"/>
      <c r="H235" s="14"/>
      <c r="I235" s="15"/>
    </row>
    <row r="236" spans="1:9" x14ac:dyDescent="0.3">
      <c r="A236" s="11"/>
      <c r="B236" s="11"/>
      <c r="C236" s="12"/>
      <c r="D236" s="13"/>
      <c r="E236" s="14"/>
      <c r="F236" s="14"/>
      <c r="G236" s="14"/>
      <c r="H236" s="14"/>
      <c r="I236" s="15"/>
    </row>
    <row r="237" spans="1:9" x14ac:dyDescent="0.3">
      <c r="A237" s="11"/>
      <c r="B237" s="11"/>
      <c r="C237" s="12"/>
      <c r="D237" s="13"/>
      <c r="E237" s="14"/>
      <c r="F237" s="14"/>
      <c r="G237" s="14"/>
      <c r="H237" s="14"/>
      <c r="I237" s="15"/>
    </row>
    <row r="238" spans="1:9" x14ac:dyDescent="0.3">
      <c r="A238" s="11"/>
      <c r="B238" s="11"/>
      <c r="C238" s="12"/>
      <c r="D238" s="13"/>
      <c r="E238" s="14"/>
      <c r="F238" s="14"/>
      <c r="G238" s="14"/>
      <c r="H238" s="14"/>
      <c r="I238" s="15"/>
    </row>
    <row r="239" spans="1:9" x14ac:dyDescent="0.3">
      <c r="A239" s="11"/>
      <c r="B239" s="11"/>
      <c r="C239" s="12"/>
      <c r="D239" s="13"/>
      <c r="E239" s="14"/>
      <c r="F239" s="14"/>
      <c r="G239" s="14"/>
      <c r="H239" s="14"/>
      <c r="I239" s="15"/>
    </row>
    <row r="240" spans="1:9" x14ac:dyDescent="0.3">
      <c r="A240" s="11"/>
      <c r="B240" s="11"/>
      <c r="C240" s="12"/>
      <c r="D240" s="13"/>
      <c r="E240" s="14"/>
      <c r="F240" s="14"/>
      <c r="G240" s="14"/>
      <c r="H240" s="14"/>
      <c r="I240" s="15"/>
    </row>
    <row r="241" spans="1:9" x14ac:dyDescent="0.3">
      <c r="A241" s="11"/>
      <c r="B241" s="11"/>
      <c r="C241" s="12"/>
      <c r="D241" s="13"/>
      <c r="E241" s="14"/>
      <c r="F241" s="14"/>
      <c r="G241" s="14"/>
      <c r="H241" s="14"/>
      <c r="I241" s="15"/>
    </row>
    <row r="242" spans="1:9" x14ac:dyDescent="0.3">
      <c r="A242" s="11"/>
      <c r="B242" s="11"/>
      <c r="C242" s="12"/>
      <c r="D242" s="13"/>
      <c r="E242" s="14"/>
      <c r="F242" s="14"/>
      <c r="G242" s="14"/>
      <c r="H242" s="14"/>
      <c r="I242" s="15"/>
    </row>
    <row r="243" spans="1:9" x14ac:dyDescent="0.3">
      <c r="A243" s="11"/>
      <c r="B243" s="11"/>
      <c r="C243" s="12"/>
      <c r="D243" s="13"/>
      <c r="E243" s="14"/>
      <c r="F243" s="14"/>
      <c r="G243" s="14"/>
      <c r="H243" s="14"/>
      <c r="I243" s="15"/>
    </row>
    <row r="244" spans="1:9" x14ac:dyDescent="0.3">
      <c r="A244" s="11"/>
      <c r="B244" s="11"/>
      <c r="C244" s="12"/>
      <c r="D244" s="13"/>
      <c r="E244" s="14"/>
      <c r="F244" s="14"/>
      <c r="G244" s="14"/>
      <c r="H244" s="14"/>
      <c r="I244" s="15"/>
    </row>
    <row r="245" spans="1:9" x14ac:dyDescent="0.3">
      <c r="A245" s="11"/>
      <c r="B245" s="11"/>
      <c r="C245" s="12"/>
      <c r="D245" s="13"/>
      <c r="E245" s="14"/>
      <c r="F245" s="14"/>
      <c r="G245" s="14"/>
      <c r="H245" s="14"/>
      <c r="I245" s="15"/>
    </row>
    <row r="246" spans="1:9" x14ac:dyDescent="0.3">
      <c r="A246" s="11"/>
      <c r="B246" s="11"/>
      <c r="C246" s="12"/>
      <c r="D246" s="13"/>
      <c r="E246" s="14"/>
      <c r="F246" s="14"/>
      <c r="G246" s="14"/>
      <c r="H246" s="14"/>
      <c r="I246" s="15"/>
    </row>
    <row r="247" spans="1:9" x14ac:dyDescent="0.3">
      <c r="A247" s="11"/>
      <c r="B247" s="11"/>
      <c r="C247" s="12"/>
      <c r="D247" s="13"/>
      <c r="E247" s="14"/>
      <c r="F247" s="14"/>
      <c r="G247" s="14"/>
      <c r="H247" s="14"/>
      <c r="I247" s="15"/>
    </row>
    <row r="248" spans="1:9" x14ac:dyDescent="0.3">
      <c r="A248" s="11"/>
      <c r="B248" s="11"/>
      <c r="C248" s="12"/>
      <c r="D248" s="13"/>
      <c r="E248" s="14"/>
      <c r="F248" s="14"/>
      <c r="G248" s="14"/>
      <c r="H248" s="14"/>
      <c r="I248" s="15"/>
    </row>
    <row r="249" spans="1:9" x14ac:dyDescent="0.3">
      <c r="A249" s="11"/>
      <c r="B249" s="11"/>
      <c r="C249" s="12"/>
      <c r="D249" s="13"/>
      <c r="E249" s="14"/>
      <c r="F249" s="14"/>
      <c r="G249" s="14"/>
      <c r="H249" s="14"/>
      <c r="I249" s="15"/>
    </row>
    <row r="250" spans="1:9" x14ac:dyDescent="0.3">
      <c r="A250" s="11"/>
      <c r="B250" s="11"/>
      <c r="C250" s="12"/>
      <c r="D250" s="13"/>
      <c r="E250" s="14"/>
      <c r="F250" s="14"/>
      <c r="G250" s="14"/>
      <c r="H250" s="14"/>
      <c r="I250" s="15"/>
    </row>
    <row r="251" spans="1:9" x14ac:dyDescent="0.3">
      <c r="A251" s="11"/>
      <c r="B251" s="11"/>
      <c r="C251" s="12"/>
      <c r="D251" s="13"/>
      <c r="E251" s="14"/>
      <c r="F251" s="14"/>
      <c r="G251" s="14"/>
      <c r="H251" s="14"/>
      <c r="I251" s="15"/>
    </row>
    <row r="252" spans="1:9" x14ac:dyDescent="0.3">
      <c r="A252" s="11"/>
      <c r="B252" s="11"/>
      <c r="C252" s="12"/>
      <c r="D252" s="13"/>
      <c r="E252" s="14"/>
      <c r="F252" s="14"/>
      <c r="G252" s="14"/>
      <c r="H252" s="14"/>
      <c r="I252" s="15"/>
    </row>
    <row r="253" spans="1:9" x14ac:dyDescent="0.3">
      <c r="A253" s="11"/>
      <c r="B253" s="11"/>
      <c r="C253" s="12"/>
      <c r="D253" s="13"/>
      <c r="E253" s="14"/>
      <c r="F253" s="14"/>
      <c r="G253" s="14"/>
      <c r="H253" s="14"/>
      <c r="I253" s="15"/>
    </row>
    <row r="254" spans="1:9" x14ac:dyDescent="0.3">
      <c r="A254" s="11"/>
      <c r="B254" s="11"/>
      <c r="C254" s="12"/>
      <c r="D254" s="13"/>
      <c r="E254" s="14"/>
      <c r="F254" s="14"/>
      <c r="G254" s="14"/>
      <c r="H254" s="14"/>
      <c r="I254" s="15"/>
    </row>
  </sheetData>
  <autoFilter ref="A13:I228" xr:uid="{00000000-0009-0000-0000-000000000000}"/>
  <mergeCells count="11">
    <mergeCell ref="A228:H228"/>
    <mergeCell ref="A2:I2"/>
    <mergeCell ref="A3:I3"/>
    <mergeCell ref="A1:I1"/>
    <mergeCell ref="A5:I5"/>
    <mergeCell ref="A222:H222"/>
    <mergeCell ref="A223:H223"/>
    <mergeCell ref="A224:H224"/>
    <mergeCell ref="A225:H225"/>
    <mergeCell ref="A226:H226"/>
    <mergeCell ref="A227:H227"/>
  </mergeCells>
  <phoneticPr fontId="1" type="noConversion"/>
  <pageMargins left="0.7" right="0.7" top="0.75" bottom="0.75" header="0.3" footer="0.3"/>
  <pageSetup scale="51" fitToHeight="0" orientation="landscape" errors="blank" r:id="rId1"/>
  <ignoredErrors>
    <ignoredError sqref="B14:C16 A13 A18:A20 A39:A40 A128:A129 A202 A189:A194 A55:A58 B17 B24:B26 B36:B38 B53:B54 B62:B64 B69:B72 B77:B80 C13 A87:A91 B116:B119 B108:B110 H13 B124:B127 B133 B139:B141 A143 B155:B158 B164:B166 B172:B174 B179:B180 B185:B187 B198:B201 B206:B207 B214:B217 A27:A30 A42 A47:A49 A99:A102 E13:F1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8155-B818-401F-A033-C8F187BB4BFB}">
  <dimension ref="A1:AA307"/>
  <sheetViews>
    <sheetView zoomScaleNormal="100" workbookViewId="0">
      <selection activeCell="P14" sqref="P14"/>
    </sheetView>
  </sheetViews>
  <sheetFormatPr defaultColWidth="9.109375" defaultRowHeight="14.4" x14ac:dyDescent="0.3"/>
  <cols>
    <col min="1" max="1" width="10" style="40" bestFit="1" customWidth="1"/>
    <col min="2" max="2" width="17.5546875" style="40" customWidth="1"/>
    <col min="3" max="3" width="8.109375" style="40" customWidth="1"/>
    <col min="4" max="4" width="9.109375" style="40"/>
    <col min="5" max="5" width="0" style="40" hidden="1" customWidth="1"/>
    <col min="6" max="6" width="8.109375" style="40" customWidth="1"/>
    <col min="7" max="7" width="8.5546875" style="40" customWidth="1"/>
    <col min="8" max="8" width="7.44140625" style="40" customWidth="1"/>
    <col min="9" max="9" width="5.6640625" style="40" customWidth="1"/>
    <col min="10" max="10" width="9.6640625" style="62" customWidth="1"/>
    <col min="11" max="11" width="29" style="40" customWidth="1"/>
    <col min="12" max="13" width="9.109375" style="40"/>
    <col min="14" max="14" width="47" style="40" customWidth="1"/>
    <col min="15" max="15" width="12.88671875" style="62" bestFit="1" customWidth="1"/>
    <col min="16" max="16" width="11.88671875" style="40" customWidth="1"/>
    <col min="17" max="17" width="13.109375" style="62" customWidth="1"/>
    <col min="18" max="18" width="26.109375" style="40" bestFit="1" customWidth="1"/>
    <col min="19" max="19" width="14.109375" style="40" bestFit="1" customWidth="1"/>
    <col min="20" max="20" width="11.44140625" style="40" bestFit="1" customWidth="1"/>
    <col min="21" max="21" width="4.88671875" style="40" bestFit="1" customWidth="1"/>
    <col min="22" max="22" width="12.88671875" style="40" bestFit="1" customWidth="1"/>
    <col min="23" max="24" width="10.44140625" style="40" bestFit="1" customWidth="1"/>
    <col min="25" max="25" width="11.44140625" style="62" customWidth="1"/>
    <col min="26" max="26" width="17.88671875" style="62" customWidth="1"/>
    <col min="27" max="27" width="19.44140625" style="62" customWidth="1"/>
    <col min="28" max="16384" width="9.109375" style="40"/>
  </cols>
  <sheetData>
    <row r="1" spans="1:27" ht="34.5" customHeight="1" x14ac:dyDescent="0.3">
      <c r="A1" s="40" t="s">
        <v>230</v>
      </c>
      <c r="B1" s="40" t="s">
        <v>231</v>
      </c>
      <c r="C1" s="40" t="s">
        <v>232</v>
      </c>
      <c r="D1" s="40" t="s">
        <v>233</v>
      </c>
      <c r="E1" s="40" t="s">
        <v>234</v>
      </c>
      <c r="F1" s="40" t="s">
        <v>235</v>
      </c>
      <c r="G1" s="40" t="s">
        <v>236</v>
      </c>
      <c r="H1" s="40" t="s">
        <v>210</v>
      </c>
      <c r="I1" s="40" t="s">
        <v>237</v>
      </c>
      <c r="J1" s="62" t="s">
        <v>210</v>
      </c>
      <c r="K1" s="40" t="s">
        <v>238</v>
      </c>
      <c r="N1" s="38" t="s">
        <v>239</v>
      </c>
      <c r="O1" s="64" t="s">
        <v>240</v>
      </c>
      <c r="P1" s="38" t="s">
        <v>241</v>
      </c>
      <c r="Q1" s="106" t="s">
        <v>242</v>
      </c>
      <c r="R1" s="42" t="s">
        <v>243</v>
      </c>
      <c r="S1" s="42" t="s">
        <v>244</v>
      </c>
      <c r="T1" s="42" t="s">
        <v>237</v>
      </c>
      <c r="U1" s="42" t="s">
        <v>208</v>
      </c>
      <c r="V1" s="42" t="s">
        <v>11</v>
      </c>
      <c r="W1" s="42" t="s">
        <v>12</v>
      </c>
      <c r="X1" s="42" t="s">
        <v>245</v>
      </c>
      <c r="Y1" s="58" t="s">
        <v>246</v>
      </c>
      <c r="Z1" s="58" t="s">
        <v>247</v>
      </c>
      <c r="AA1" s="58" t="s">
        <v>248</v>
      </c>
    </row>
    <row r="2" spans="1:27" x14ac:dyDescent="0.3">
      <c r="A2" s="40" t="s">
        <v>249</v>
      </c>
      <c r="B2" s="40" t="s">
        <v>81</v>
      </c>
      <c r="C2" s="40" t="s">
        <v>250</v>
      </c>
      <c r="D2" s="40">
        <v>10820</v>
      </c>
      <c r="H2" s="40">
        <f>D2+450-127</f>
        <v>11143</v>
      </c>
      <c r="I2" s="40">
        <v>1</v>
      </c>
      <c r="J2" s="62">
        <f>H2*I2/1000</f>
        <v>11.143000000000001</v>
      </c>
      <c r="K2" s="40" t="s">
        <v>251</v>
      </c>
      <c r="N2" s="69" t="s">
        <v>78</v>
      </c>
      <c r="O2" s="64">
        <f>SUMIF(B:B,"Column HSS 254x254x10",J:J)</f>
        <v>222.86</v>
      </c>
      <c r="P2" s="38">
        <v>71.400000000000006</v>
      </c>
      <c r="Q2" s="106">
        <f>O2*P2</f>
        <v>15912.204000000002</v>
      </c>
      <c r="R2" s="42" t="s">
        <v>252</v>
      </c>
      <c r="S2" s="43" t="s">
        <v>253</v>
      </c>
      <c r="T2" s="42">
        <f>ROUND(O2/3.7,0)</f>
        <v>60</v>
      </c>
      <c r="U2" s="43" t="s">
        <v>145</v>
      </c>
      <c r="V2" s="42">
        <v>1225</v>
      </c>
      <c r="W2" s="42">
        <v>55.5</v>
      </c>
      <c r="X2" s="42">
        <v>34</v>
      </c>
      <c r="Y2" s="58">
        <f>V2/(3.7*P2)</f>
        <v>4.6369899311075784</v>
      </c>
      <c r="Z2" s="58">
        <f>W2/(3.7*P2)</f>
        <v>0.21008403361344538</v>
      </c>
      <c r="AA2" s="58">
        <f>X2/(3.7*P2)</f>
        <v>0.1287001287001287</v>
      </c>
    </row>
    <row r="3" spans="1:27" x14ac:dyDescent="0.3">
      <c r="A3" s="40" t="s">
        <v>254</v>
      </c>
      <c r="B3" s="40" t="s">
        <v>81</v>
      </c>
      <c r="C3" s="40" t="s">
        <v>250</v>
      </c>
      <c r="D3" s="40">
        <v>10820</v>
      </c>
      <c r="H3" s="40">
        <f t="shared" ref="H3:H66" si="0">D3+450-127</f>
        <v>11143</v>
      </c>
      <c r="I3" s="40">
        <v>1</v>
      </c>
      <c r="J3" s="62">
        <f t="shared" ref="J3:J66" si="1">H3*I3/1000</f>
        <v>11.143000000000001</v>
      </c>
      <c r="K3" s="40" t="s">
        <v>251</v>
      </c>
      <c r="N3" s="69" t="s">
        <v>80</v>
      </c>
      <c r="O3" s="64">
        <f>SUMIF(B:B,"Column HSS 254x254x13",J:J)</f>
        <v>60.725496532644968</v>
      </c>
      <c r="P3" s="38">
        <v>92.6</v>
      </c>
      <c r="Q3" s="106">
        <f t="shared" ref="Q3:Q24" si="2">O3*P3</f>
        <v>5623.1809789229237</v>
      </c>
      <c r="R3" s="42" t="s">
        <v>252</v>
      </c>
      <c r="S3" s="43" t="s">
        <v>253</v>
      </c>
      <c r="T3" s="42">
        <f>ROUND(O3/3.7,0)</f>
        <v>16</v>
      </c>
      <c r="U3" s="43" t="s">
        <v>145</v>
      </c>
      <c r="V3" s="42">
        <v>1225</v>
      </c>
      <c r="W3" s="42">
        <v>55.5</v>
      </c>
      <c r="X3" s="42">
        <v>34</v>
      </c>
      <c r="Y3" s="58">
        <f t="shared" ref="Y3:Y12" si="3">V3/(3.7*P3)</f>
        <v>3.5753896445041153</v>
      </c>
      <c r="Z3" s="58">
        <f t="shared" ref="Z3:Z12" si="4">W3/(3.7*P3)</f>
        <v>0.16198704103671707</v>
      </c>
      <c r="AA3" s="58">
        <f t="shared" ref="AA3:AA12" si="5">X3/(3.7*P3)</f>
        <v>9.9235304418889725E-2</v>
      </c>
    </row>
    <row r="4" spans="1:27" x14ac:dyDescent="0.3">
      <c r="A4" s="40" t="s">
        <v>255</v>
      </c>
      <c r="B4" s="40" t="s">
        <v>81</v>
      </c>
      <c r="C4" s="40" t="s">
        <v>250</v>
      </c>
      <c r="D4" s="40">
        <v>10820</v>
      </c>
      <c r="H4" s="40">
        <f t="shared" si="0"/>
        <v>11143</v>
      </c>
      <c r="I4" s="40">
        <v>1</v>
      </c>
      <c r="J4" s="62">
        <f t="shared" si="1"/>
        <v>11.143000000000001</v>
      </c>
      <c r="K4" s="40" t="s">
        <v>251</v>
      </c>
      <c r="N4" s="69" t="s">
        <v>81</v>
      </c>
      <c r="O4" s="64">
        <f>SUMIF(B:B,"Column HSS 305x305x10",J:J)</f>
        <v>590.57900000000086</v>
      </c>
      <c r="P4" s="38">
        <v>86.4</v>
      </c>
      <c r="Q4" s="106">
        <f t="shared" si="2"/>
        <v>51026.025600000081</v>
      </c>
      <c r="R4" s="42" t="s">
        <v>252</v>
      </c>
      <c r="S4" s="43" t="s">
        <v>253</v>
      </c>
      <c r="T4" s="42">
        <f>ROUND(O4/3.7,0)</f>
        <v>160</v>
      </c>
      <c r="U4" s="43" t="s">
        <v>145</v>
      </c>
      <c r="V4" s="42">
        <v>1225</v>
      </c>
      <c r="W4" s="42">
        <v>55.5</v>
      </c>
      <c r="X4" s="42">
        <v>34</v>
      </c>
      <c r="Y4" s="58">
        <f t="shared" si="3"/>
        <v>3.8319569569569563</v>
      </c>
      <c r="Z4" s="58">
        <f t="shared" si="4"/>
        <v>0.17361111111111108</v>
      </c>
      <c r="AA4" s="58">
        <f t="shared" si="5"/>
        <v>0.10635635635635633</v>
      </c>
    </row>
    <row r="5" spans="1:27" x14ac:dyDescent="0.3">
      <c r="A5" s="40" t="s">
        <v>256</v>
      </c>
      <c r="B5" s="40" t="s">
        <v>81</v>
      </c>
      <c r="C5" s="40" t="s">
        <v>250</v>
      </c>
      <c r="D5" s="40">
        <v>10820</v>
      </c>
      <c r="H5" s="40">
        <f t="shared" si="0"/>
        <v>11143</v>
      </c>
      <c r="I5" s="40">
        <v>1</v>
      </c>
      <c r="J5" s="62">
        <f t="shared" si="1"/>
        <v>11.143000000000001</v>
      </c>
      <c r="K5" s="40" t="s">
        <v>251</v>
      </c>
      <c r="N5" s="69" t="s">
        <v>82</v>
      </c>
      <c r="O5" s="64">
        <f>SUMIF(B:B,"Continuous Angle L127x76x10",J:J)</f>
        <v>415.322</v>
      </c>
      <c r="P5" s="38">
        <v>14.5</v>
      </c>
      <c r="Q5" s="106">
        <f t="shared" si="2"/>
        <v>6022.1689999999999</v>
      </c>
      <c r="R5" s="42" t="s">
        <v>257</v>
      </c>
      <c r="S5" s="42"/>
      <c r="T5" s="58">
        <f>Q5</f>
        <v>6022.1689999999999</v>
      </c>
      <c r="U5" s="42" t="s">
        <v>30</v>
      </c>
      <c r="V5" s="42">
        <v>1.43</v>
      </c>
      <c r="W5" s="42">
        <v>5.9</v>
      </c>
      <c r="X5" s="42">
        <v>0.54</v>
      </c>
      <c r="Y5" s="58">
        <f>V5</f>
        <v>1.43</v>
      </c>
      <c r="Z5" s="58">
        <f>W5</f>
        <v>5.9</v>
      </c>
      <c r="AA5" s="58">
        <f>X5</f>
        <v>0.54</v>
      </c>
    </row>
    <row r="6" spans="1:27" x14ac:dyDescent="0.3">
      <c r="A6" s="40" t="s">
        <v>258</v>
      </c>
      <c r="B6" s="40" t="s">
        <v>81</v>
      </c>
      <c r="C6" s="40" t="s">
        <v>250</v>
      </c>
      <c r="D6" s="40">
        <v>10820</v>
      </c>
      <c r="H6" s="40">
        <f t="shared" si="0"/>
        <v>11143</v>
      </c>
      <c r="I6" s="40">
        <v>1</v>
      </c>
      <c r="J6" s="62">
        <f t="shared" si="1"/>
        <v>11.143000000000001</v>
      </c>
      <c r="K6" s="40" t="s">
        <v>251</v>
      </c>
      <c r="N6" s="69" t="s">
        <v>83</v>
      </c>
      <c r="O6" s="64">
        <f>SUMIF(B:B,"Bracing Angles L76x76x6",J:J)</f>
        <v>205.33991986007175</v>
      </c>
      <c r="P6" s="38">
        <v>7.3</v>
      </c>
      <c r="Q6" s="106">
        <f t="shared" si="2"/>
        <v>1498.9814149785236</v>
      </c>
      <c r="R6" s="42" t="s">
        <v>259</v>
      </c>
      <c r="S6" s="42"/>
      <c r="T6" s="58">
        <f>Q6</f>
        <v>1498.9814149785236</v>
      </c>
      <c r="U6" s="42" t="s">
        <v>30</v>
      </c>
      <c r="V6" s="42">
        <v>1.5</v>
      </c>
      <c r="W6" s="42">
        <v>9.85</v>
      </c>
      <c r="X6" s="42">
        <v>0.91</v>
      </c>
      <c r="Y6" s="58">
        <f t="shared" si="3"/>
        <v>5.5534987041836355E-2</v>
      </c>
      <c r="Z6" s="58">
        <f t="shared" si="4"/>
        <v>0.36467974824139204</v>
      </c>
      <c r="AA6" s="58">
        <f t="shared" si="5"/>
        <v>3.3691225472047392E-2</v>
      </c>
    </row>
    <row r="7" spans="1:27" x14ac:dyDescent="0.3">
      <c r="A7" s="40" t="s">
        <v>260</v>
      </c>
      <c r="B7" s="40" t="s">
        <v>81</v>
      </c>
      <c r="C7" s="40" t="s">
        <v>250</v>
      </c>
      <c r="D7" s="40">
        <v>10820</v>
      </c>
      <c r="H7" s="40">
        <f t="shared" si="0"/>
        <v>11143</v>
      </c>
      <c r="I7" s="40">
        <v>1</v>
      </c>
      <c r="J7" s="62">
        <f t="shared" si="1"/>
        <v>11.143000000000001</v>
      </c>
      <c r="K7" s="40" t="s">
        <v>251</v>
      </c>
      <c r="N7" s="69" t="s">
        <v>84</v>
      </c>
      <c r="O7" s="64">
        <f>SUMIF(B:B,"Girts HSS 203x203x6",J:J)</f>
        <v>126.72599999999998</v>
      </c>
      <c r="P7" s="38">
        <v>38.5</v>
      </c>
      <c r="Q7" s="106">
        <f t="shared" si="2"/>
        <v>4878.9509999999991</v>
      </c>
      <c r="R7" s="42" t="s">
        <v>261</v>
      </c>
      <c r="S7" s="43" t="s">
        <v>253</v>
      </c>
      <c r="T7" s="42">
        <f>ROUND(O7/3.7,0)</f>
        <v>34</v>
      </c>
      <c r="U7" s="43" t="s">
        <v>145</v>
      </c>
      <c r="V7" s="42">
        <v>660</v>
      </c>
      <c r="W7" s="42">
        <v>53</v>
      </c>
      <c r="X7" s="42">
        <v>32.5</v>
      </c>
      <c r="Y7" s="58">
        <f t="shared" si="3"/>
        <v>4.6332046332046328</v>
      </c>
      <c r="Z7" s="58">
        <f t="shared" si="4"/>
        <v>0.37206037206037201</v>
      </c>
      <c r="AA7" s="58">
        <f t="shared" si="5"/>
        <v>0.22815022815022812</v>
      </c>
    </row>
    <row r="8" spans="1:27" x14ac:dyDescent="0.3">
      <c r="A8" s="40" t="s">
        <v>262</v>
      </c>
      <c r="B8" s="40" t="s">
        <v>81</v>
      </c>
      <c r="C8" s="40" t="s">
        <v>250</v>
      </c>
      <c r="D8" s="40">
        <v>10820</v>
      </c>
      <c r="H8" s="40">
        <f t="shared" si="0"/>
        <v>11143</v>
      </c>
      <c r="I8" s="40">
        <v>1</v>
      </c>
      <c r="J8" s="62">
        <f t="shared" si="1"/>
        <v>11.143000000000001</v>
      </c>
      <c r="K8" s="40" t="s">
        <v>251</v>
      </c>
      <c r="N8" s="69" t="s">
        <v>85</v>
      </c>
      <c r="O8" s="64">
        <f>SUMIF(B:B,"Girts HSS 203x203x10",J:J)</f>
        <v>47.058</v>
      </c>
      <c r="P8" s="38">
        <v>56.1</v>
      </c>
      <c r="Q8" s="106">
        <f t="shared" si="2"/>
        <v>2639.9538000000002</v>
      </c>
      <c r="R8" s="42" t="s">
        <v>261</v>
      </c>
      <c r="S8" s="43" t="s">
        <v>253</v>
      </c>
      <c r="T8" s="42">
        <f>ROUND(O8/3.7,0)</f>
        <v>13</v>
      </c>
      <c r="U8" s="43" t="s">
        <v>145</v>
      </c>
      <c r="V8" s="42">
        <v>660</v>
      </c>
      <c r="W8" s="42">
        <v>53</v>
      </c>
      <c r="X8" s="42">
        <v>32.5</v>
      </c>
      <c r="Y8" s="58">
        <f t="shared" si="3"/>
        <v>3.1796502384737675</v>
      </c>
      <c r="Z8" s="58">
        <f t="shared" si="4"/>
        <v>0.25533554945319648</v>
      </c>
      <c r="AA8" s="58">
        <f t="shared" si="5"/>
        <v>0.15657368598545068</v>
      </c>
    </row>
    <row r="9" spans="1:27" x14ac:dyDescent="0.3">
      <c r="A9" s="40" t="s">
        <v>263</v>
      </c>
      <c r="B9" s="40" t="s">
        <v>81</v>
      </c>
      <c r="C9" s="40" t="s">
        <v>250</v>
      </c>
      <c r="D9" s="40">
        <v>10820</v>
      </c>
      <c r="H9" s="40">
        <f t="shared" si="0"/>
        <v>11143</v>
      </c>
      <c r="I9" s="40">
        <v>1</v>
      </c>
      <c r="J9" s="62">
        <f t="shared" si="1"/>
        <v>11.143000000000001</v>
      </c>
      <c r="K9" s="40" t="s">
        <v>251</v>
      </c>
      <c r="N9" s="69" t="s">
        <v>86</v>
      </c>
      <c r="O9" s="64">
        <f>SUMIF(B:B,"Girts HSS 203x203x13",J:J)</f>
        <v>15.728</v>
      </c>
      <c r="P9" s="38">
        <v>72.7</v>
      </c>
      <c r="Q9" s="106">
        <f t="shared" si="2"/>
        <v>1143.4256</v>
      </c>
      <c r="R9" s="42" t="s">
        <v>261</v>
      </c>
      <c r="S9" s="43" t="s">
        <v>253</v>
      </c>
      <c r="T9" s="42">
        <f>ROUND(O9/3.7,0)</f>
        <v>4</v>
      </c>
      <c r="U9" s="43" t="s">
        <v>145</v>
      </c>
      <c r="V9" s="42">
        <v>660</v>
      </c>
      <c r="W9" s="42">
        <v>53</v>
      </c>
      <c r="X9" s="42">
        <v>32.5</v>
      </c>
      <c r="Y9" s="58">
        <f t="shared" si="3"/>
        <v>2.4536228112569241</v>
      </c>
      <c r="Z9" s="58">
        <f t="shared" si="4"/>
        <v>0.19703334696457117</v>
      </c>
      <c r="AA9" s="58">
        <f t="shared" si="5"/>
        <v>0.12082233540280307</v>
      </c>
    </row>
    <row r="10" spans="1:27" x14ac:dyDescent="0.3">
      <c r="A10" s="40" t="s">
        <v>264</v>
      </c>
      <c r="B10" s="40" t="s">
        <v>81</v>
      </c>
      <c r="C10" s="40" t="s">
        <v>250</v>
      </c>
      <c r="D10" s="40">
        <v>10820</v>
      </c>
      <c r="H10" s="40">
        <f t="shared" si="0"/>
        <v>11143</v>
      </c>
      <c r="I10" s="40">
        <v>1</v>
      </c>
      <c r="J10" s="62">
        <f t="shared" si="1"/>
        <v>11.143000000000001</v>
      </c>
      <c r="K10" s="40" t="s">
        <v>251</v>
      </c>
      <c r="N10" s="69" t="s">
        <v>87</v>
      </c>
      <c r="O10" s="64">
        <f>SUMIF(B:B,"Girts W360x33",J:J)</f>
        <v>48.018000000000008</v>
      </c>
      <c r="P10" s="38">
        <v>32.9</v>
      </c>
      <c r="Q10" s="106">
        <f t="shared" si="2"/>
        <v>1579.7922000000001</v>
      </c>
      <c r="R10" s="42" t="s">
        <v>265</v>
      </c>
      <c r="S10" s="43" t="s">
        <v>266</v>
      </c>
      <c r="T10" s="58">
        <f>O10</f>
        <v>48.018000000000008</v>
      </c>
      <c r="U10" s="43" t="s">
        <v>267</v>
      </c>
      <c r="V10" s="42">
        <v>89.5</v>
      </c>
      <c r="W10" s="42">
        <v>14.5</v>
      </c>
      <c r="X10" s="42">
        <v>8.85</v>
      </c>
      <c r="Y10" s="58">
        <f>V10/P10</f>
        <v>2.7203647416413377</v>
      </c>
      <c r="Z10" s="58">
        <f>W10/P10</f>
        <v>0.44072948328267481</v>
      </c>
      <c r="AA10" s="58">
        <f>X10/P10</f>
        <v>0.26899696048632221</v>
      </c>
    </row>
    <row r="11" spans="1:27" x14ac:dyDescent="0.3">
      <c r="A11" s="40" t="s">
        <v>268</v>
      </c>
      <c r="B11" s="40" t="s">
        <v>81</v>
      </c>
      <c r="C11" s="40" t="s">
        <v>250</v>
      </c>
      <c r="D11" s="40">
        <v>10820</v>
      </c>
      <c r="H11" s="40">
        <f t="shared" si="0"/>
        <v>11143</v>
      </c>
      <c r="I11" s="40">
        <v>1</v>
      </c>
      <c r="J11" s="62">
        <f t="shared" si="1"/>
        <v>11.143000000000001</v>
      </c>
      <c r="K11" s="40" t="s">
        <v>251</v>
      </c>
      <c r="N11" s="69" t="s">
        <v>88</v>
      </c>
      <c r="O11" s="64">
        <f>SUMIF(B:B,"X Bracing HSS 203x203x6",J:J)</f>
        <v>131.16901263772482</v>
      </c>
      <c r="P11" s="38">
        <v>38.5</v>
      </c>
      <c r="Q11" s="106">
        <f t="shared" si="2"/>
        <v>5050.0069865524056</v>
      </c>
      <c r="R11" s="42" t="s">
        <v>261</v>
      </c>
      <c r="S11" s="43" t="s">
        <v>253</v>
      </c>
      <c r="T11" s="42">
        <f>ROUND(O11/3.7,0)</f>
        <v>35</v>
      </c>
      <c r="U11" s="43" t="s">
        <v>145</v>
      </c>
      <c r="V11" s="42">
        <v>660</v>
      </c>
      <c r="W11" s="42">
        <v>53</v>
      </c>
      <c r="X11" s="42">
        <v>32.5</v>
      </c>
      <c r="Y11" s="58">
        <f t="shared" si="3"/>
        <v>4.6332046332046328</v>
      </c>
      <c r="Z11" s="58">
        <f t="shared" si="4"/>
        <v>0.37206037206037201</v>
      </c>
      <c r="AA11" s="58">
        <f t="shared" si="5"/>
        <v>0.22815022815022812</v>
      </c>
    </row>
    <row r="12" spans="1:27" x14ac:dyDescent="0.3">
      <c r="A12" s="40" t="s">
        <v>269</v>
      </c>
      <c r="B12" s="40" t="s">
        <v>81</v>
      </c>
      <c r="C12" s="40" t="s">
        <v>250</v>
      </c>
      <c r="D12" s="40">
        <v>10820</v>
      </c>
      <c r="H12" s="40">
        <f t="shared" si="0"/>
        <v>11143</v>
      </c>
      <c r="I12" s="40">
        <v>1</v>
      </c>
      <c r="J12" s="62">
        <f t="shared" si="1"/>
        <v>11.143000000000001</v>
      </c>
      <c r="K12" s="40" t="s">
        <v>251</v>
      </c>
      <c r="N12" s="69" t="s">
        <v>89</v>
      </c>
      <c r="O12" s="64">
        <f>SUMIF(B:B,"X Bracing HSS 254x254x13",J:J)</f>
        <v>26.578622620500656</v>
      </c>
      <c r="P12" s="38">
        <v>72.7</v>
      </c>
      <c r="Q12" s="106">
        <f t="shared" si="2"/>
        <v>1932.2658645103977</v>
      </c>
      <c r="R12" s="42" t="s">
        <v>252</v>
      </c>
      <c r="S12" s="43" t="s">
        <v>253</v>
      </c>
      <c r="T12" s="42">
        <f>ROUND(O12/3.7,0)</f>
        <v>7</v>
      </c>
      <c r="U12" s="43" t="s">
        <v>145</v>
      </c>
      <c r="V12" s="42">
        <v>1225</v>
      </c>
      <c r="W12" s="42">
        <v>55.5</v>
      </c>
      <c r="X12" s="42">
        <v>34</v>
      </c>
      <c r="Y12" s="58">
        <f t="shared" si="3"/>
        <v>4.5540726421056545</v>
      </c>
      <c r="Z12" s="58">
        <f t="shared" si="4"/>
        <v>0.2063273727647868</v>
      </c>
      <c r="AA12" s="58">
        <f t="shared" si="5"/>
        <v>0.12639875088293245</v>
      </c>
    </row>
    <row r="13" spans="1:27" x14ac:dyDescent="0.3">
      <c r="A13" s="40" t="s">
        <v>270</v>
      </c>
      <c r="B13" s="40" t="s">
        <v>80</v>
      </c>
      <c r="C13" s="40" t="s">
        <v>250</v>
      </c>
      <c r="D13" s="40">
        <v>10820</v>
      </c>
      <c r="H13" s="40">
        <f t="shared" si="0"/>
        <v>11143</v>
      </c>
      <c r="I13" s="40">
        <v>1</v>
      </c>
      <c r="J13" s="62">
        <f t="shared" si="1"/>
        <v>11.143000000000001</v>
      </c>
      <c r="K13" s="40" t="s">
        <v>251</v>
      </c>
      <c r="N13" s="69" t="s">
        <v>90</v>
      </c>
      <c r="O13" s="64">
        <f>SUMIF(B:B,"Beam W200x27",J:J)</f>
        <v>136.23150000000001</v>
      </c>
      <c r="P13" s="38">
        <v>26.6</v>
      </c>
      <c r="Q13" s="106">
        <f t="shared" si="2"/>
        <v>3623.7579000000005</v>
      </c>
      <c r="R13" s="42" t="s">
        <v>271</v>
      </c>
      <c r="S13" s="43" t="s">
        <v>266</v>
      </c>
      <c r="T13" s="58">
        <f t="shared" ref="T13:T23" si="6">O13</f>
        <v>136.23150000000001</v>
      </c>
      <c r="U13" s="43" t="s">
        <v>267</v>
      </c>
      <c r="V13" s="42">
        <v>85.5</v>
      </c>
      <c r="W13" s="42">
        <v>14.5</v>
      </c>
      <c r="X13" s="42">
        <v>8.85</v>
      </c>
      <c r="Y13" s="58">
        <f>V13/P13</f>
        <v>3.214285714285714</v>
      </c>
      <c r="Z13" s="58">
        <f>W13/P13</f>
        <v>0.54511278195488722</v>
      </c>
      <c r="AA13" s="58">
        <f>X13/P13</f>
        <v>0.33270676691729323</v>
      </c>
    </row>
    <row r="14" spans="1:27" x14ac:dyDescent="0.3">
      <c r="A14" s="40" t="s">
        <v>272</v>
      </c>
      <c r="B14" s="40" t="s">
        <v>81</v>
      </c>
      <c r="C14" s="40" t="s">
        <v>250</v>
      </c>
      <c r="D14" s="40">
        <v>10820</v>
      </c>
      <c r="H14" s="40">
        <f t="shared" si="0"/>
        <v>11143</v>
      </c>
      <c r="I14" s="40">
        <v>1</v>
      </c>
      <c r="J14" s="62">
        <f t="shared" si="1"/>
        <v>11.143000000000001</v>
      </c>
      <c r="K14" s="40" t="s">
        <v>251</v>
      </c>
      <c r="N14" s="69" t="s">
        <v>91</v>
      </c>
      <c r="O14" s="64">
        <f>SUMIF(B:B,"Beam W250x33",J:J)</f>
        <v>146.12450000000001</v>
      </c>
      <c r="P14" s="38">
        <v>32.9</v>
      </c>
      <c r="Q14" s="106">
        <f t="shared" si="2"/>
        <v>4807.4960499999997</v>
      </c>
      <c r="R14" s="42" t="s">
        <v>265</v>
      </c>
      <c r="S14" s="43" t="s">
        <v>266</v>
      </c>
      <c r="T14" s="58">
        <f t="shared" si="6"/>
        <v>146.12450000000001</v>
      </c>
      <c r="U14" s="43" t="s">
        <v>267</v>
      </c>
      <c r="V14" s="42">
        <v>89.5</v>
      </c>
      <c r="W14" s="42">
        <v>14.5</v>
      </c>
      <c r="X14" s="42">
        <v>8.85</v>
      </c>
      <c r="Y14" s="58">
        <f t="shared" ref="Y14:Y23" si="7">V14/P14</f>
        <v>2.7203647416413377</v>
      </c>
      <c r="Z14" s="58">
        <f t="shared" ref="Z14:Z23" si="8">W14/P14</f>
        <v>0.44072948328267481</v>
      </c>
      <c r="AA14" s="58">
        <f t="shared" ref="AA14:AA23" si="9">X14/P14</f>
        <v>0.26899696048632221</v>
      </c>
    </row>
    <row r="15" spans="1:27" x14ac:dyDescent="0.3">
      <c r="A15" s="40" t="s">
        <v>273</v>
      </c>
      <c r="B15" s="40" t="s">
        <v>81</v>
      </c>
      <c r="C15" s="40" t="s">
        <v>250</v>
      </c>
      <c r="D15" s="40">
        <v>10820</v>
      </c>
      <c r="H15" s="40">
        <f t="shared" si="0"/>
        <v>11143</v>
      </c>
      <c r="I15" s="40">
        <v>1</v>
      </c>
      <c r="J15" s="62">
        <f t="shared" si="1"/>
        <v>11.143000000000001</v>
      </c>
      <c r="K15" s="40" t="s">
        <v>251</v>
      </c>
      <c r="N15" s="69" t="s">
        <v>92</v>
      </c>
      <c r="O15" s="64">
        <f>SUMIF(B:B,"Beam W360x33",J:J)</f>
        <v>137.46200000000002</v>
      </c>
      <c r="P15" s="38">
        <v>32.9</v>
      </c>
      <c r="Q15" s="106">
        <f t="shared" si="2"/>
        <v>4522.4998000000005</v>
      </c>
      <c r="R15" s="42" t="s">
        <v>265</v>
      </c>
      <c r="S15" s="43" t="s">
        <v>266</v>
      </c>
      <c r="T15" s="58">
        <f t="shared" si="6"/>
        <v>137.46200000000002</v>
      </c>
      <c r="U15" s="43" t="s">
        <v>267</v>
      </c>
      <c r="V15" s="42">
        <v>89.5</v>
      </c>
      <c r="W15" s="42">
        <v>14.5</v>
      </c>
      <c r="X15" s="42">
        <v>8.85</v>
      </c>
      <c r="Y15" s="58">
        <f t="shared" si="7"/>
        <v>2.7203647416413377</v>
      </c>
      <c r="Z15" s="58">
        <f t="shared" si="8"/>
        <v>0.44072948328267481</v>
      </c>
      <c r="AA15" s="58">
        <f t="shared" si="9"/>
        <v>0.26899696048632221</v>
      </c>
    </row>
    <row r="16" spans="1:27" x14ac:dyDescent="0.3">
      <c r="A16" s="40" t="s">
        <v>274</v>
      </c>
      <c r="B16" s="40" t="s">
        <v>81</v>
      </c>
      <c r="C16" s="40" t="s">
        <v>250</v>
      </c>
      <c r="D16" s="40">
        <v>10820</v>
      </c>
      <c r="H16" s="40">
        <f t="shared" si="0"/>
        <v>11143</v>
      </c>
      <c r="I16" s="40">
        <v>1</v>
      </c>
      <c r="J16" s="62">
        <f t="shared" si="1"/>
        <v>11.143000000000001</v>
      </c>
      <c r="K16" s="40" t="s">
        <v>251</v>
      </c>
      <c r="N16" s="69" t="s">
        <v>93</v>
      </c>
      <c r="O16" s="64">
        <f>SUMIF(B:B,"Beam W410x39",J:J)</f>
        <v>35.083999999999996</v>
      </c>
      <c r="P16" s="38">
        <v>38.9</v>
      </c>
      <c r="Q16" s="106">
        <f t="shared" si="2"/>
        <v>1364.7675999999999</v>
      </c>
      <c r="R16" s="42" t="s">
        <v>275</v>
      </c>
      <c r="S16" s="43" t="s">
        <v>266</v>
      </c>
      <c r="T16" s="58">
        <f t="shared" si="6"/>
        <v>35.083999999999996</v>
      </c>
      <c r="U16" s="43" t="s">
        <v>267</v>
      </c>
      <c r="V16" s="42">
        <v>106</v>
      </c>
      <c r="W16" s="42">
        <v>8.6999999999999993</v>
      </c>
      <c r="X16" s="42">
        <v>5.3</v>
      </c>
      <c r="Y16" s="58">
        <f t="shared" si="7"/>
        <v>2.7249357326478152</v>
      </c>
      <c r="Z16" s="58">
        <f t="shared" si="8"/>
        <v>0.2236503856041131</v>
      </c>
      <c r="AA16" s="58">
        <f t="shared" si="9"/>
        <v>0.13624678663239076</v>
      </c>
    </row>
    <row r="17" spans="1:27" x14ac:dyDescent="0.3">
      <c r="A17" s="40" t="s">
        <v>276</v>
      </c>
      <c r="B17" s="40" t="s">
        <v>81</v>
      </c>
      <c r="C17" s="40" t="s">
        <v>250</v>
      </c>
      <c r="D17" s="40">
        <v>10820</v>
      </c>
      <c r="H17" s="40">
        <f t="shared" si="0"/>
        <v>11143</v>
      </c>
      <c r="I17" s="40">
        <v>1</v>
      </c>
      <c r="J17" s="62">
        <f t="shared" si="1"/>
        <v>11.143000000000001</v>
      </c>
      <c r="K17" s="40" t="s">
        <v>251</v>
      </c>
      <c r="N17" s="69" t="s">
        <v>94</v>
      </c>
      <c r="O17" s="64">
        <f>SUMIF(B:B,"Beam W410x46",J:J)</f>
        <v>7.3049999999999997</v>
      </c>
      <c r="P17" s="38">
        <v>46.2</v>
      </c>
      <c r="Q17" s="106">
        <f t="shared" si="2"/>
        <v>337.49099999999999</v>
      </c>
      <c r="R17" s="42" t="s">
        <v>277</v>
      </c>
      <c r="S17" s="43" t="s">
        <v>266</v>
      </c>
      <c r="T17" s="58">
        <f t="shared" si="6"/>
        <v>7.3049999999999997</v>
      </c>
      <c r="U17" s="43" t="s">
        <v>267</v>
      </c>
      <c r="V17" s="42">
        <v>126</v>
      </c>
      <c r="W17" s="42">
        <v>9.6999999999999993</v>
      </c>
      <c r="X17" s="42">
        <v>5.9</v>
      </c>
      <c r="Y17" s="58">
        <f t="shared" si="7"/>
        <v>2.7272727272727271</v>
      </c>
      <c r="Z17" s="58">
        <f t="shared" si="8"/>
        <v>0.20995670995670992</v>
      </c>
      <c r="AA17" s="58">
        <f t="shared" si="9"/>
        <v>0.12770562770562771</v>
      </c>
    </row>
    <row r="18" spans="1:27" x14ac:dyDescent="0.3">
      <c r="A18" s="40" t="s">
        <v>278</v>
      </c>
      <c r="B18" s="40" t="s">
        <v>80</v>
      </c>
      <c r="C18" s="40" t="s">
        <v>250</v>
      </c>
      <c r="D18" s="40">
        <v>10820</v>
      </c>
      <c r="H18" s="40">
        <f t="shared" si="0"/>
        <v>11143</v>
      </c>
      <c r="I18" s="40">
        <v>1</v>
      </c>
      <c r="J18" s="62">
        <f t="shared" si="1"/>
        <v>11.143000000000001</v>
      </c>
      <c r="K18" s="40" t="s">
        <v>251</v>
      </c>
      <c r="N18" s="69" t="s">
        <v>95</v>
      </c>
      <c r="O18" s="64">
        <f>SUMIF(B:B,"Beam W460x52",J:J)</f>
        <v>31.393999999999998</v>
      </c>
      <c r="P18" s="38">
        <v>52.2</v>
      </c>
      <c r="Q18" s="106">
        <f t="shared" si="2"/>
        <v>1638.7668000000001</v>
      </c>
      <c r="R18" s="42" t="s">
        <v>279</v>
      </c>
      <c r="S18" s="43" t="s">
        <v>266</v>
      </c>
      <c r="T18" s="58">
        <f t="shared" si="6"/>
        <v>31.393999999999998</v>
      </c>
      <c r="U18" s="43" t="s">
        <v>267</v>
      </c>
      <c r="V18" s="42">
        <v>142</v>
      </c>
      <c r="W18" s="42">
        <v>13.1</v>
      </c>
      <c r="X18" s="42">
        <v>5.9</v>
      </c>
      <c r="Y18" s="58">
        <f t="shared" si="7"/>
        <v>2.7203065134099615</v>
      </c>
      <c r="Z18" s="58">
        <f t="shared" si="8"/>
        <v>0.25095785440613022</v>
      </c>
      <c r="AA18" s="58">
        <f t="shared" si="9"/>
        <v>0.11302681992337164</v>
      </c>
    </row>
    <row r="19" spans="1:27" x14ac:dyDescent="0.3">
      <c r="A19" s="40" t="s">
        <v>280</v>
      </c>
      <c r="B19" s="40" t="s">
        <v>81</v>
      </c>
      <c r="C19" s="40" t="s">
        <v>250</v>
      </c>
      <c r="D19" s="40">
        <v>10820</v>
      </c>
      <c r="H19" s="40">
        <f t="shared" si="0"/>
        <v>11143</v>
      </c>
      <c r="I19" s="40">
        <v>1</v>
      </c>
      <c r="J19" s="62">
        <f t="shared" si="1"/>
        <v>11.143000000000001</v>
      </c>
      <c r="K19" s="40" t="s">
        <v>251</v>
      </c>
      <c r="N19" s="69" t="s">
        <v>96</v>
      </c>
      <c r="O19" s="64">
        <f>SUMIF(B:B,"Beam W460x60",J:J)</f>
        <v>8.5229999999999997</v>
      </c>
      <c r="P19" s="38">
        <v>59.7</v>
      </c>
      <c r="Q19" s="106">
        <f t="shared" si="2"/>
        <v>508.82310000000001</v>
      </c>
      <c r="R19" s="42" t="s">
        <v>281</v>
      </c>
      <c r="S19" s="43" t="s">
        <v>266</v>
      </c>
      <c r="T19" s="58">
        <f t="shared" si="6"/>
        <v>8.5229999999999997</v>
      </c>
      <c r="U19" s="43" t="s">
        <v>267</v>
      </c>
      <c r="V19" s="42">
        <v>162</v>
      </c>
      <c r="W19" s="42">
        <v>13.1</v>
      </c>
      <c r="X19" s="42">
        <v>5.9</v>
      </c>
      <c r="Y19" s="58">
        <f t="shared" si="7"/>
        <v>2.7135678391959797</v>
      </c>
      <c r="Z19" s="58">
        <f t="shared" si="8"/>
        <v>0.21943048576214405</v>
      </c>
      <c r="AA19" s="58">
        <f t="shared" si="9"/>
        <v>9.8827470686767172E-2</v>
      </c>
    </row>
    <row r="20" spans="1:27" x14ac:dyDescent="0.3">
      <c r="A20" s="40" t="s">
        <v>282</v>
      </c>
      <c r="B20" s="40" t="s">
        <v>81</v>
      </c>
      <c r="C20" s="40" t="s">
        <v>250</v>
      </c>
      <c r="D20" s="40">
        <v>10820</v>
      </c>
      <c r="H20" s="40">
        <f t="shared" si="0"/>
        <v>11143</v>
      </c>
      <c r="I20" s="40">
        <v>1</v>
      </c>
      <c r="J20" s="62">
        <f t="shared" si="1"/>
        <v>11.143000000000001</v>
      </c>
      <c r="K20" s="40" t="s">
        <v>251</v>
      </c>
      <c r="N20" s="69" t="s">
        <v>97</v>
      </c>
      <c r="O20" s="64">
        <f>SUMIF(B:B,"Beam W760x134",J:J)</f>
        <v>56.261000000000003</v>
      </c>
      <c r="P20" s="38">
        <v>133.4</v>
      </c>
      <c r="Q20" s="106">
        <f t="shared" si="2"/>
        <v>7505.2174000000005</v>
      </c>
      <c r="R20" s="42" t="s">
        <v>283</v>
      </c>
      <c r="S20" s="43" t="s">
        <v>266</v>
      </c>
      <c r="T20" s="58">
        <f t="shared" si="6"/>
        <v>56.261000000000003</v>
      </c>
      <c r="U20" s="43" t="s">
        <v>267</v>
      </c>
      <c r="V20" s="42">
        <v>400</v>
      </c>
      <c r="W20" s="42">
        <v>10.45</v>
      </c>
      <c r="X20" s="42">
        <v>4.7300000000000004</v>
      </c>
      <c r="Y20" s="58">
        <f t="shared" si="7"/>
        <v>2.9985007496251872</v>
      </c>
      <c r="Z20" s="58">
        <f t="shared" si="8"/>
        <v>7.8335832083958015E-2</v>
      </c>
      <c r="AA20" s="58">
        <f t="shared" si="9"/>
        <v>3.5457271364317845E-2</v>
      </c>
    </row>
    <row r="21" spans="1:27" x14ac:dyDescent="0.3">
      <c r="A21" s="40" t="s">
        <v>284</v>
      </c>
      <c r="B21" s="40" t="s">
        <v>81</v>
      </c>
      <c r="C21" s="40" t="s">
        <v>250</v>
      </c>
      <c r="D21" s="40">
        <v>10820</v>
      </c>
      <c r="H21" s="40">
        <f t="shared" si="0"/>
        <v>11143</v>
      </c>
      <c r="I21" s="40">
        <v>1</v>
      </c>
      <c r="J21" s="62">
        <f t="shared" si="1"/>
        <v>11.143000000000001</v>
      </c>
      <c r="K21" s="40" t="s">
        <v>251</v>
      </c>
      <c r="N21" s="69" t="s">
        <v>98</v>
      </c>
      <c r="O21" s="64">
        <f>SUMIF(B:B,"Beam W840x176",J:J)</f>
        <v>211.89950000000002</v>
      </c>
      <c r="P21" s="38">
        <v>175.8</v>
      </c>
      <c r="Q21" s="106">
        <f t="shared" si="2"/>
        <v>37251.932100000005</v>
      </c>
      <c r="R21" s="42" t="s">
        <v>285</v>
      </c>
      <c r="S21" s="43" t="s">
        <v>266</v>
      </c>
      <c r="T21" s="58">
        <f t="shared" si="6"/>
        <v>211.89950000000002</v>
      </c>
      <c r="U21" s="43" t="s">
        <v>267</v>
      </c>
      <c r="V21" s="42">
        <v>480</v>
      </c>
      <c r="W21" s="42">
        <v>10.7</v>
      </c>
      <c r="X21" s="42">
        <v>4.84</v>
      </c>
      <c r="Y21" s="58">
        <f t="shared" si="7"/>
        <v>2.7303754266211602</v>
      </c>
      <c r="Z21" s="58">
        <f t="shared" si="8"/>
        <v>6.0864618885096693E-2</v>
      </c>
      <c r="AA21" s="58">
        <f t="shared" si="9"/>
        <v>2.7531285551763363E-2</v>
      </c>
    </row>
    <row r="22" spans="1:27" x14ac:dyDescent="0.3">
      <c r="A22" s="40" t="s">
        <v>286</v>
      </c>
      <c r="B22" s="40" t="s">
        <v>81</v>
      </c>
      <c r="C22" s="40" t="s">
        <v>250</v>
      </c>
      <c r="D22" s="40">
        <v>10820</v>
      </c>
      <c r="H22" s="40">
        <f t="shared" si="0"/>
        <v>11143</v>
      </c>
      <c r="I22" s="40">
        <v>1</v>
      </c>
      <c r="J22" s="62">
        <f t="shared" si="1"/>
        <v>11.143000000000001</v>
      </c>
      <c r="K22" s="40" t="s">
        <v>251</v>
      </c>
      <c r="N22" s="69" t="s">
        <v>99</v>
      </c>
      <c r="O22" s="64">
        <f>SUMIF(B:B,"Beam W920x201",J:J)</f>
        <v>125.39099999999999</v>
      </c>
      <c r="P22" s="38">
        <v>201</v>
      </c>
      <c r="Q22" s="106">
        <f t="shared" si="2"/>
        <v>25203.590999999997</v>
      </c>
      <c r="R22" s="42" t="s">
        <v>287</v>
      </c>
      <c r="S22" s="43" t="s">
        <v>266</v>
      </c>
      <c r="T22" s="58">
        <f t="shared" si="6"/>
        <v>125.39099999999999</v>
      </c>
      <c r="U22" s="43" t="s">
        <v>267</v>
      </c>
      <c r="V22" s="42">
        <v>550</v>
      </c>
      <c r="W22" s="42">
        <v>10.75</v>
      </c>
      <c r="X22" s="42">
        <v>4.8499999999999996</v>
      </c>
      <c r="Y22" s="58">
        <f t="shared" si="7"/>
        <v>2.7363184079601992</v>
      </c>
      <c r="Z22" s="58">
        <f t="shared" si="8"/>
        <v>5.3482587064676616E-2</v>
      </c>
      <c r="AA22" s="58">
        <f t="shared" si="9"/>
        <v>2.4129353233830843E-2</v>
      </c>
    </row>
    <row r="23" spans="1:27" x14ac:dyDescent="0.3">
      <c r="A23" s="40" t="s">
        <v>288</v>
      </c>
      <c r="B23" s="40" t="s">
        <v>81</v>
      </c>
      <c r="C23" s="40" t="s">
        <v>250</v>
      </c>
      <c r="D23" s="40">
        <v>10820</v>
      </c>
      <c r="H23" s="40">
        <f t="shared" si="0"/>
        <v>11143</v>
      </c>
      <c r="I23" s="40">
        <v>1</v>
      </c>
      <c r="J23" s="62">
        <f t="shared" si="1"/>
        <v>11.143000000000001</v>
      </c>
      <c r="K23" s="40" t="s">
        <v>251</v>
      </c>
      <c r="N23" s="69" t="s">
        <v>100</v>
      </c>
      <c r="O23" s="64">
        <f>SUMIF(B:B,"Beam W920x238",J:J)</f>
        <v>17.9695</v>
      </c>
      <c r="P23" s="38">
        <v>237.9</v>
      </c>
      <c r="Q23" s="106">
        <f t="shared" si="2"/>
        <v>4274.9440500000001</v>
      </c>
      <c r="R23" s="42" t="s">
        <v>289</v>
      </c>
      <c r="S23" s="43" t="s">
        <v>266</v>
      </c>
      <c r="T23" s="58">
        <f t="shared" si="6"/>
        <v>17.9695</v>
      </c>
      <c r="U23" s="43" t="s">
        <v>267</v>
      </c>
      <c r="V23" s="42">
        <v>690</v>
      </c>
      <c r="W23" s="42">
        <v>10.9</v>
      </c>
      <c r="X23" s="42">
        <v>4.93</v>
      </c>
      <c r="Y23" s="58">
        <f t="shared" si="7"/>
        <v>2.9003783102143759</v>
      </c>
      <c r="Z23" s="58">
        <f t="shared" si="8"/>
        <v>4.5817570407734341E-2</v>
      </c>
      <c r="AA23" s="58">
        <f t="shared" si="9"/>
        <v>2.0722992854140393E-2</v>
      </c>
    </row>
    <row r="24" spans="1:27" x14ac:dyDescent="0.3">
      <c r="A24" s="40" t="s">
        <v>290</v>
      </c>
      <c r="B24" s="40" t="s">
        <v>81</v>
      </c>
      <c r="C24" s="40" t="s">
        <v>250</v>
      </c>
      <c r="D24" s="40">
        <v>10820</v>
      </c>
      <c r="H24" s="40">
        <f t="shared" si="0"/>
        <v>11143</v>
      </c>
      <c r="I24" s="40">
        <v>1</v>
      </c>
      <c r="J24" s="62">
        <f t="shared" si="1"/>
        <v>11.143000000000001</v>
      </c>
      <c r="K24" s="40" t="s">
        <v>251</v>
      </c>
      <c r="N24" s="69" t="s">
        <v>101</v>
      </c>
      <c r="O24" s="64">
        <f>SUMIF(B:B,"OWSJ 900mm",J:J)</f>
        <v>3604.4517999999998</v>
      </c>
      <c r="P24" s="38">
        <v>26.2</v>
      </c>
      <c r="Q24" s="106">
        <f t="shared" si="2"/>
        <v>94436.637159999998</v>
      </c>
      <c r="R24" s="42" t="s">
        <v>291</v>
      </c>
      <c r="S24" s="43" t="s">
        <v>292</v>
      </c>
      <c r="T24" s="42">
        <f>O24*3.28</f>
        <v>11822.601903999999</v>
      </c>
      <c r="U24" s="42" t="s">
        <v>62</v>
      </c>
      <c r="V24" s="42">
        <v>11</v>
      </c>
      <c r="W24" s="42">
        <v>1.6</v>
      </c>
      <c r="X24" s="42">
        <v>0.77</v>
      </c>
      <c r="Y24" s="58">
        <f>V24*3.28/P24</f>
        <v>1.3770992366412214</v>
      </c>
      <c r="Z24" s="107">
        <f>W24*3.28/P24</f>
        <v>0.20030534351145041</v>
      </c>
      <c r="AA24" s="58">
        <f>X24*3.28/P24</f>
        <v>9.6396946564885497E-2</v>
      </c>
    </row>
    <row r="25" spans="1:27" ht="44.25" customHeight="1" x14ac:dyDescent="0.3">
      <c r="A25" s="40" t="s">
        <v>293</v>
      </c>
      <c r="B25" s="40" t="s">
        <v>81</v>
      </c>
      <c r="C25" s="40" t="s">
        <v>250</v>
      </c>
      <c r="D25" s="40">
        <v>10820</v>
      </c>
      <c r="H25" s="40">
        <f t="shared" si="0"/>
        <v>11143</v>
      </c>
      <c r="I25" s="40">
        <v>1</v>
      </c>
      <c r="J25" s="62">
        <f t="shared" si="1"/>
        <v>11.143000000000001</v>
      </c>
      <c r="K25" s="40" t="s">
        <v>251</v>
      </c>
      <c r="N25" s="68" t="s">
        <v>102</v>
      </c>
      <c r="O25" s="64"/>
      <c r="P25" s="38"/>
      <c r="Q25" s="106">
        <f>0.02*SUM(Q2:Q24)</f>
        <v>5655.6576080992863</v>
      </c>
      <c r="R25" s="42"/>
      <c r="S25" s="42"/>
      <c r="T25" s="42"/>
      <c r="U25" s="42"/>
      <c r="V25" s="42"/>
      <c r="W25" s="42"/>
      <c r="X25" s="42"/>
      <c r="Y25" s="58"/>
      <c r="Z25" s="58"/>
      <c r="AA25" s="58"/>
    </row>
    <row r="26" spans="1:27" x14ac:dyDescent="0.3">
      <c r="A26" s="40" t="s">
        <v>294</v>
      </c>
      <c r="B26" s="40" t="s">
        <v>81</v>
      </c>
      <c r="C26" s="40" t="s">
        <v>250</v>
      </c>
      <c r="D26" s="40">
        <v>10820</v>
      </c>
      <c r="H26" s="40">
        <f t="shared" si="0"/>
        <v>11143</v>
      </c>
      <c r="I26" s="40">
        <v>1</v>
      </c>
      <c r="J26" s="62">
        <f t="shared" si="1"/>
        <v>11.143000000000001</v>
      </c>
      <c r="K26" s="40" t="s">
        <v>251</v>
      </c>
    </row>
    <row r="27" spans="1:27" x14ac:dyDescent="0.3">
      <c r="A27" s="40" t="s">
        <v>295</v>
      </c>
      <c r="B27" s="40" t="s">
        <v>81</v>
      </c>
      <c r="C27" s="40" t="s">
        <v>250</v>
      </c>
      <c r="D27" s="40">
        <v>10820</v>
      </c>
      <c r="H27" s="40">
        <f t="shared" si="0"/>
        <v>11143</v>
      </c>
      <c r="I27" s="40">
        <v>1</v>
      </c>
      <c r="J27" s="62">
        <f t="shared" si="1"/>
        <v>11.143000000000001</v>
      </c>
      <c r="K27" s="40" t="s">
        <v>251</v>
      </c>
    </row>
    <row r="28" spans="1:27" x14ac:dyDescent="0.3">
      <c r="A28" s="40" t="s">
        <v>294</v>
      </c>
      <c r="B28" s="40" t="s">
        <v>81</v>
      </c>
      <c r="C28" s="40" t="s">
        <v>250</v>
      </c>
      <c r="D28" s="40">
        <v>10820</v>
      </c>
      <c r="H28" s="40">
        <f t="shared" si="0"/>
        <v>11143</v>
      </c>
      <c r="I28" s="40">
        <v>1</v>
      </c>
      <c r="J28" s="62">
        <f t="shared" si="1"/>
        <v>11.143000000000001</v>
      </c>
      <c r="K28" s="40" t="s">
        <v>251</v>
      </c>
    </row>
    <row r="29" spans="1:27" x14ac:dyDescent="0.3">
      <c r="A29" s="40" t="s">
        <v>296</v>
      </c>
      <c r="B29" s="40" t="s">
        <v>81</v>
      </c>
      <c r="C29" s="40" t="s">
        <v>250</v>
      </c>
      <c r="D29" s="40">
        <v>10820</v>
      </c>
      <c r="H29" s="40">
        <f t="shared" si="0"/>
        <v>11143</v>
      </c>
      <c r="I29" s="40">
        <v>1</v>
      </c>
      <c r="J29" s="62">
        <f t="shared" si="1"/>
        <v>11.143000000000001</v>
      </c>
      <c r="K29" s="40" t="s">
        <v>251</v>
      </c>
    </row>
    <row r="30" spans="1:27" x14ac:dyDescent="0.3">
      <c r="A30" s="40" t="s">
        <v>297</v>
      </c>
      <c r="B30" s="40" t="s">
        <v>81</v>
      </c>
      <c r="C30" s="40" t="s">
        <v>250</v>
      </c>
      <c r="D30" s="40">
        <v>10820</v>
      </c>
      <c r="H30" s="40">
        <f t="shared" si="0"/>
        <v>11143</v>
      </c>
      <c r="I30" s="40">
        <v>1</v>
      </c>
      <c r="J30" s="62">
        <f t="shared" si="1"/>
        <v>11.143000000000001</v>
      </c>
      <c r="K30" s="40" t="s">
        <v>251</v>
      </c>
    </row>
    <row r="31" spans="1:27" x14ac:dyDescent="0.3">
      <c r="A31" s="40" t="s">
        <v>298</v>
      </c>
      <c r="B31" s="40" t="s">
        <v>81</v>
      </c>
      <c r="C31" s="40" t="s">
        <v>250</v>
      </c>
      <c r="D31" s="40">
        <v>10820</v>
      </c>
      <c r="H31" s="40">
        <f t="shared" si="0"/>
        <v>11143</v>
      </c>
      <c r="I31" s="40">
        <v>1</v>
      </c>
      <c r="J31" s="62">
        <f t="shared" si="1"/>
        <v>11.143000000000001</v>
      </c>
      <c r="K31" s="40" t="s">
        <v>251</v>
      </c>
    </row>
    <row r="32" spans="1:27" x14ac:dyDescent="0.3">
      <c r="A32" s="40" t="s">
        <v>299</v>
      </c>
      <c r="B32" s="40" t="s">
        <v>80</v>
      </c>
      <c r="C32" s="40" t="s">
        <v>250</v>
      </c>
      <c r="D32" s="40">
        <v>10820</v>
      </c>
      <c r="H32" s="40">
        <f t="shared" si="0"/>
        <v>11143</v>
      </c>
      <c r="I32" s="40">
        <v>1</v>
      </c>
      <c r="J32" s="62">
        <f t="shared" si="1"/>
        <v>11.143000000000001</v>
      </c>
      <c r="K32" s="40" t="s">
        <v>251</v>
      </c>
    </row>
    <row r="33" spans="1:11" x14ac:dyDescent="0.3">
      <c r="A33" s="40" t="s">
        <v>300</v>
      </c>
      <c r="B33" s="40" t="s">
        <v>81</v>
      </c>
      <c r="C33" s="40" t="s">
        <v>250</v>
      </c>
      <c r="D33" s="40">
        <v>10820</v>
      </c>
      <c r="H33" s="40">
        <f t="shared" si="0"/>
        <v>11143</v>
      </c>
      <c r="I33" s="40">
        <v>1</v>
      </c>
      <c r="J33" s="62">
        <f t="shared" si="1"/>
        <v>11.143000000000001</v>
      </c>
      <c r="K33" s="40" t="s">
        <v>251</v>
      </c>
    </row>
    <row r="34" spans="1:11" x14ac:dyDescent="0.3">
      <c r="A34" s="40" t="s">
        <v>301</v>
      </c>
      <c r="B34" s="40" t="s">
        <v>81</v>
      </c>
      <c r="C34" s="40" t="s">
        <v>250</v>
      </c>
      <c r="D34" s="40">
        <v>10820</v>
      </c>
      <c r="H34" s="40">
        <f t="shared" si="0"/>
        <v>11143</v>
      </c>
      <c r="I34" s="40">
        <v>1</v>
      </c>
      <c r="J34" s="62">
        <f t="shared" si="1"/>
        <v>11.143000000000001</v>
      </c>
      <c r="K34" s="40" t="s">
        <v>251</v>
      </c>
    </row>
    <row r="35" spans="1:11" x14ac:dyDescent="0.3">
      <c r="A35" s="40" t="s">
        <v>302</v>
      </c>
      <c r="B35" s="40" t="s">
        <v>81</v>
      </c>
      <c r="C35" s="40" t="s">
        <v>250</v>
      </c>
      <c r="D35" s="40">
        <v>10820</v>
      </c>
      <c r="H35" s="40">
        <f t="shared" si="0"/>
        <v>11143</v>
      </c>
      <c r="I35" s="40">
        <v>1</v>
      </c>
      <c r="J35" s="62">
        <f t="shared" si="1"/>
        <v>11.143000000000001</v>
      </c>
      <c r="K35" s="40" t="s">
        <v>251</v>
      </c>
    </row>
    <row r="36" spans="1:11" x14ac:dyDescent="0.3">
      <c r="A36" s="40" t="s">
        <v>303</v>
      </c>
      <c r="B36" s="40" t="s">
        <v>81</v>
      </c>
      <c r="C36" s="40" t="s">
        <v>250</v>
      </c>
      <c r="D36" s="40">
        <v>10820</v>
      </c>
      <c r="H36" s="40">
        <f t="shared" si="0"/>
        <v>11143</v>
      </c>
      <c r="I36" s="40">
        <v>1</v>
      </c>
      <c r="J36" s="62">
        <f t="shared" si="1"/>
        <v>11.143000000000001</v>
      </c>
      <c r="K36" s="40" t="s">
        <v>251</v>
      </c>
    </row>
    <row r="37" spans="1:11" x14ac:dyDescent="0.3">
      <c r="A37" s="40" t="s">
        <v>304</v>
      </c>
      <c r="B37" s="40" t="s">
        <v>81</v>
      </c>
      <c r="C37" s="40" t="s">
        <v>250</v>
      </c>
      <c r="D37" s="40">
        <v>10820</v>
      </c>
      <c r="H37" s="40">
        <f t="shared" si="0"/>
        <v>11143</v>
      </c>
      <c r="I37" s="40">
        <v>1</v>
      </c>
      <c r="J37" s="62">
        <f t="shared" si="1"/>
        <v>11.143000000000001</v>
      </c>
      <c r="K37" s="40" t="s">
        <v>251</v>
      </c>
    </row>
    <row r="38" spans="1:11" x14ac:dyDescent="0.3">
      <c r="A38" s="40" t="s">
        <v>305</v>
      </c>
      <c r="B38" s="40" t="s">
        <v>80</v>
      </c>
      <c r="C38" s="40" t="s">
        <v>250</v>
      </c>
      <c r="D38" s="40">
        <v>10820</v>
      </c>
      <c r="H38" s="40">
        <f t="shared" si="0"/>
        <v>11143</v>
      </c>
      <c r="I38" s="40">
        <v>1</v>
      </c>
      <c r="J38" s="62">
        <f t="shared" si="1"/>
        <v>11.143000000000001</v>
      </c>
      <c r="K38" s="40" t="s">
        <v>251</v>
      </c>
    </row>
    <row r="39" spans="1:11" x14ac:dyDescent="0.3">
      <c r="A39" s="40" t="s">
        <v>306</v>
      </c>
      <c r="B39" s="40" t="s">
        <v>81</v>
      </c>
      <c r="C39" s="40" t="s">
        <v>250</v>
      </c>
      <c r="D39" s="40">
        <v>10820</v>
      </c>
      <c r="H39" s="40">
        <f t="shared" si="0"/>
        <v>11143</v>
      </c>
      <c r="I39" s="40">
        <v>1</v>
      </c>
      <c r="J39" s="62">
        <f t="shared" si="1"/>
        <v>11.143000000000001</v>
      </c>
      <c r="K39" s="40" t="s">
        <v>251</v>
      </c>
    </row>
    <row r="40" spans="1:11" x14ac:dyDescent="0.3">
      <c r="A40" s="40" t="s">
        <v>307</v>
      </c>
      <c r="B40" s="40" t="s">
        <v>81</v>
      </c>
      <c r="C40" s="40" t="s">
        <v>250</v>
      </c>
      <c r="D40" s="40">
        <v>10820</v>
      </c>
      <c r="H40" s="40">
        <f t="shared" si="0"/>
        <v>11143</v>
      </c>
      <c r="I40" s="40">
        <v>1</v>
      </c>
      <c r="J40" s="62">
        <f t="shared" si="1"/>
        <v>11.143000000000001</v>
      </c>
      <c r="K40" s="40" t="s">
        <v>251</v>
      </c>
    </row>
    <row r="41" spans="1:11" x14ac:dyDescent="0.3">
      <c r="A41" s="40" t="s">
        <v>308</v>
      </c>
      <c r="B41" s="40" t="s">
        <v>81</v>
      </c>
      <c r="C41" s="40" t="s">
        <v>250</v>
      </c>
      <c r="D41" s="40">
        <v>10820</v>
      </c>
      <c r="H41" s="40">
        <f t="shared" si="0"/>
        <v>11143</v>
      </c>
      <c r="I41" s="40">
        <v>1</v>
      </c>
      <c r="J41" s="62">
        <f t="shared" si="1"/>
        <v>11.143000000000001</v>
      </c>
      <c r="K41" s="40" t="s">
        <v>251</v>
      </c>
    </row>
    <row r="42" spans="1:11" x14ac:dyDescent="0.3">
      <c r="A42" s="40" t="s">
        <v>309</v>
      </c>
      <c r="B42" s="40" t="s">
        <v>81</v>
      </c>
      <c r="C42" s="40" t="s">
        <v>250</v>
      </c>
      <c r="D42" s="40">
        <v>10820</v>
      </c>
      <c r="H42" s="40">
        <f t="shared" si="0"/>
        <v>11143</v>
      </c>
      <c r="I42" s="40">
        <v>1</v>
      </c>
      <c r="J42" s="62">
        <f t="shared" si="1"/>
        <v>11.143000000000001</v>
      </c>
      <c r="K42" s="40" t="s">
        <v>251</v>
      </c>
    </row>
    <row r="43" spans="1:11" x14ac:dyDescent="0.3">
      <c r="A43" s="40" t="s">
        <v>310</v>
      </c>
      <c r="B43" s="40" t="s">
        <v>81</v>
      </c>
      <c r="C43" s="40" t="s">
        <v>250</v>
      </c>
      <c r="D43" s="40">
        <v>10820</v>
      </c>
      <c r="H43" s="40">
        <f t="shared" si="0"/>
        <v>11143</v>
      </c>
      <c r="I43" s="40">
        <v>1</v>
      </c>
      <c r="J43" s="62">
        <f t="shared" si="1"/>
        <v>11.143000000000001</v>
      </c>
      <c r="K43" s="40" t="s">
        <v>251</v>
      </c>
    </row>
    <row r="44" spans="1:11" x14ac:dyDescent="0.3">
      <c r="A44" s="40" t="s">
        <v>311</v>
      </c>
      <c r="B44" s="40" t="s">
        <v>81</v>
      </c>
      <c r="C44" s="40" t="s">
        <v>250</v>
      </c>
      <c r="D44" s="40">
        <v>10820</v>
      </c>
      <c r="H44" s="40">
        <f t="shared" si="0"/>
        <v>11143</v>
      </c>
      <c r="I44" s="40">
        <v>1</v>
      </c>
      <c r="J44" s="62">
        <f t="shared" si="1"/>
        <v>11.143000000000001</v>
      </c>
      <c r="K44" s="40" t="s">
        <v>251</v>
      </c>
    </row>
    <row r="45" spans="1:11" x14ac:dyDescent="0.3">
      <c r="A45" s="40" t="s">
        <v>312</v>
      </c>
      <c r="B45" s="40" t="s">
        <v>81</v>
      </c>
      <c r="C45" s="40" t="s">
        <v>250</v>
      </c>
      <c r="D45" s="40">
        <v>10820</v>
      </c>
      <c r="H45" s="40">
        <f t="shared" si="0"/>
        <v>11143</v>
      </c>
      <c r="I45" s="40">
        <v>1</v>
      </c>
      <c r="J45" s="62">
        <f t="shared" si="1"/>
        <v>11.143000000000001</v>
      </c>
      <c r="K45" s="40" t="s">
        <v>251</v>
      </c>
    </row>
    <row r="46" spans="1:11" x14ac:dyDescent="0.3">
      <c r="A46" s="40" t="s">
        <v>313</v>
      </c>
      <c r="B46" s="40" t="s">
        <v>81</v>
      </c>
      <c r="C46" s="40" t="s">
        <v>250</v>
      </c>
      <c r="D46" s="40">
        <v>10820</v>
      </c>
      <c r="H46" s="40">
        <f t="shared" si="0"/>
        <v>11143</v>
      </c>
      <c r="I46" s="40">
        <v>1</v>
      </c>
      <c r="J46" s="62">
        <f t="shared" si="1"/>
        <v>11.143000000000001</v>
      </c>
      <c r="K46" s="40" t="s">
        <v>251</v>
      </c>
    </row>
    <row r="47" spans="1:11" x14ac:dyDescent="0.3">
      <c r="A47" s="40" t="s">
        <v>314</v>
      </c>
      <c r="B47" s="40" t="s">
        <v>81</v>
      </c>
      <c r="C47" s="40" t="s">
        <v>250</v>
      </c>
      <c r="D47" s="40">
        <v>10820</v>
      </c>
      <c r="H47" s="40">
        <f t="shared" si="0"/>
        <v>11143</v>
      </c>
      <c r="I47" s="40">
        <v>1</v>
      </c>
      <c r="J47" s="62">
        <f t="shared" si="1"/>
        <v>11.143000000000001</v>
      </c>
      <c r="K47" s="40" t="s">
        <v>251</v>
      </c>
    </row>
    <row r="48" spans="1:11" x14ac:dyDescent="0.3">
      <c r="A48" s="40" t="s">
        <v>313</v>
      </c>
      <c r="B48" s="40" t="s">
        <v>81</v>
      </c>
      <c r="C48" s="40" t="s">
        <v>250</v>
      </c>
      <c r="D48" s="40">
        <v>10820</v>
      </c>
      <c r="H48" s="40">
        <f t="shared" si="0"/>
        <v>11143</v>
      </c>
      <c r="I48" s="40">
        <v>1</v>
      </c>
      <c r="J48" s="62">
        <f t="shared" si="1"/>
        <v>11.143000000000001</v>
      </c>
      <c r="K48" s="40" t="s">
        <v>251</v>
      </c>
    </row>
    <row r="49" spans="1:11" x14ac:dyDescent="0.3">
      <c r="A49" s="40" t="s">
        <v>314</v>
      </c>
      <c r="B49" s="40" t="s">
        <v>81</v>
      </c>
      <c r="C49" s="40" t="s">
        <v>250</v>
      </c>
      <c r="D49" s="40">
        <v>10820</v>
      </c>
      <c r="H49" s="40">
        <f t="shared" si="0"/>
        <v>11143</v>
      </c>
      <c r="I49" s="40">
        <v>1</v>
      </c>
      <c r="J49" s="62">
        <f t="shared" si="1"/>
        <v>11.143000000000001</v>
      </c>
      <c r="K49" s="40" t="s">
        <v>251</v>
      </c>
    </row>
    <row r="50" spans="1:11" x14ac:dyDescent="0.3">
      <c r="A50" s="40" t="s">
        <v>313</v>
      </c>
      <c r="B50" s="40" t="s">
        <v>81</v>
      </c>
      <c r="C50" s="40" t="s">
        <v>250</v>
      </c>
      <c r="D50" s="40">
        <v>10820</v>
      </c>
      <c r="H50" s="40">
        <f t="shared" si="0"/>
        <v>11143</v>
      </c>
      <c r="I50" s="40">
        <v>1</v>
      </c>
      <c r="J50" s="62">
        <f t="shared" si="1"/>
        <v>11.143000000000001</v>
      </c>
      <c r="K50" s="40" t="s">
        <v>251</v>
      </c>
    </row>
    <row r="51" spans="1:11" x14ac:dyDescent="0.3">
      <c r="A51" s="40" t="s">
        <v>314</v>
      </c>
      <c r="B51" s="40" t="s">
        <v>81</v>
      </c>
      <c r="C51" s="40" t="s">
        <v>250</v>
      </c>
      <c r="D51" s="40">
        <v>10820</v>
      </c>
      <c r="H51" s="40">
        <f t="shared" si="0"/>
        <v>11143</v>
      </c>
      <c r="I51" s="40">
        <v>1</v>
      </c>
      <c r="J51" s="62">
        <f t="shared" si="1"/>
        <v>11.143000000000001</v>
      </c>
      <c r="K51" s="40" t="s">
        <v>251</v>
      </c>
    </row>
    <row r="52" spans="1:11" x14ac:dyDescent="0.3">
      <c r="A52" s="40" t="s">
        <v>315</v>
      </c>
      <c r="B52" s="40" t="s">
        <v>81</v>
      </c>
      <c r="C52" s="40" t="s">
        <v>250</v>
      </c>
      <c r="D52" s="40">
        <v>10820</v>
      </c>
      <c r="H52" s="40">
        <f t="shared" si="0"/>
        <v>11143</v>
      </c>
      <c r="I52" s="40">
        <v>1</v>
      </c>
      <c r="J52" s="62">
        <f t="shared" si="1"/>
        <v>11.143000000000001</v>
      </c>
      <c r="K52" s="40" t="s">
        <v>251</v>
      </c>
    </row>
    <row r="53" spans="1:11" x14ac:dyDescent="0.3">
      <c r="A53" s="40" t="s">
        <v>316</v>
      </c>
      <c r="B53" s="40" t="s">
        <v>81</v>
      </c>
      <c r="C53" s="40" t="s">
        <v>250</v>
      </c>
      <c r="D53" s="40">
        <v>10820</v>
      </c>
      <c r="H53" s="40">
        <f t="shared" si="0"/>
        <v>11143</v>
      </c>
      <c r="I53" s="40">
        <v>1</v>
      </c>
      <c r="J53" s="62">
        <f t="shared" si="1"/>
        <v>11.143000000000001</v>
      </c>
      <c r="K53" s="40" t="s">
        <v>251</v>
      </c>
    </row>
    <row r="54" spans="1:11" x14ac:dyDescent="0.3">
      <c r="A54" s="40" t="s">
        <v>315</v>
      </c>
      <c r="B54" s="40" t="s">
        <v>81</v>
      </c>
      <c r="C54" s="40" t="s">
        <v>250</v>
      </c>
      <c r="D54" s="40">
        <v>10820</v>
      </c>
      <c r="H54" s="40">
        <f t="shared" si="0"/>
        <v>11143</v>
      </c>
      <c r="I54" s="40">
        <v>1</v>
      </c>
      <c r="J54" s="62">
        <f t="shared" si="1"/>
        <v>11.143000000000001</v>
      </c>
      <c r="K54" s="40" t="s">
        <v>251</v>
      </c>
    </row>
    <row r="55" spans="1:11" x14ac:dyDescent="0.3">
      <c r="A55" s="40" t="s">
        <v>317</v>
      </c>
      <c r="B55" s="40" t="s">
        <v>81</v>
      </c>
      <c r="C55" s="40" t="s">
        <v>250</v>
      </c>
      <c r="D55" s="40">
        <v>10820</v>
      </c>
      <c r="H55" s="40">
        <f t="shared" si="0"/>
        <v>11143</v>
      </c>
      <c r="I55" s="40">
        <v>1</v>
      </c>
      <c r="J55" s="62">
        <f t="shared" si="1"/>
        <v>11.143000000000001</v>
      </c>
      <c r="K55" s="40" t="s">
        <v>251</v>
      </c>
    </row>
    <row r="56" spans="1:11" x14ac:dyDescent="0.3">
      <c r="A56" s="40" t="s">
        <v>318</v>
      </c>
      <c r="B56" s="40" t="s">
        <v>81</v>
      </c>
      <c r="C56" s="40" t="s">
        <v>250</v>
      </c>
      <c r="D56" s="40">
        <v>10820</v>
      </c>
      <c r="H56" s="40">
        <f t="shared" si="0"/>
        <v>11143</v>
      </c>
      <c r="I56" s="40">
        <v>1</v>
      </c>
      <c r="J56" s="62">
        <f t="shared" si="1"/>
        <v>11.143000000000001</v>
      </c>
      <c r="K56" s="40" t="s">
        <v>251</v>
      </c>
    </row>
    <row r="57" spans="1:11" x14ac:dyDescent="0.3">
      <c r="A57" s="40" t="s">
        <v>319</v>
      </c>
      <c r="B57" s="40" t="s">
        <v>81</v>
      </c>
      <c r="C57" s="40" t="s">
        <v>250</v>
      </c>
      <c r="D57" s="40">
        <v>10820</v>
      </c>
      <c r="H57" s="40">
        <f t="shared" si="0"/>
        <v>11143</v>
      </c>
      <c r="I57" s="40">
        <v>1</v>
      </c>
      <c r="J57" s="62">
        <f t="shared" si="1"/>
        <v>11.143000000000001</v>
      </c>
      <c r="K57" s="40" t="s">
        <v>251</v>
      </c>
    </row>
    <row r="58" spans="1:11" x14ac:dyDescent="0.3">
      <c r="A58" s="40" t="s">
        <v>320</v>
      </c>
      <c r="B58" s="40" t="s">
        <v>81</v>
      </c>
      <c r="C58" s="40" t="s">
        <v>250</v>
      </c>
      <c r="D58" s="40">
        <v>10820</v>
      </c>
      <c r="H58" s="40">
        <f t="shared" si="0"/>
        <v>11143</v>
      </c>
      <c r="I58" s="40">
        <v>1</v>
      </c>
      <c r="J58" s="62">
        <f t="shared" si="1"/>
        <v>11.143000000000001</v>
      </c>
      <c r="K58" s="40" t="s">
        <v>251</v>
      </c>
    </row>
    <row r="59" spans="1:11" x14ac:dyDescent="0.3">
      <c r="A59" s="40" t="s">
        <v>321</v>
      </c>
      <c r="B59" s="40" t="s">
        <v>78</v>
      </c>
      <c r="C59" s="40" t="s">
        <v>250</v>
      </c>
      <c r="D59" s="40">
        <v>10820</v>
      </c>
      <c r="H59" s="40">
        <f t="shared" si="0"/>
        <v>11143</v>
      </c>
      <c r="I59" s="40">
        <v>1</v>
      </c>
      <c r="J59" s="62">
        <f t="shared" si="1"/>
        <v>11.143000000000001</v>
      </c>
      <c r="K59" s="40" t="s">
        <v>251</v>
      </c>
    </row>
    <row r="60" spans="1:11" x14ac:dyDescent="0.3">
      <c r="A60" s="40" t="s">
        <v>322</v>
      </c>
      <c r="B60" s="40" t="s">
        <v>78</v>
      </c>
      <c r="C60" s="40" t="s">
        <v>250</v>
      </c>
      <c r="D60" s="40">
        <v>10820</v>
      </c>
      <c r="H60" s="40">
        <f t="shared" si="0"/>
        <v>11143</v>
      </c>
      <c r="I60" s="40">
        <v>1</v>
      </c>
      <c r="J60" s="62">
        <f t="shared" si="1"/>
        <v>11.143000000000001</v>
      </c>
      <c r="K60" s="40" t="s">
        <v>251</v>
      </c>
    </row>
    <row r="61" spans="1:11" x14ac:dyDescent="0.3">
      <c r="A61" s="40" t="s">
        <v>321</v>
      </c>
      <c r="B61" s="40" t="s">
        <v>78</v>
      </c>
      <c r="C61" s="40" t="s">
        <v>250</v>
      </c>
      <c r="D61" s="40">
        <v>10820</v>
      </c>
      <c r="H61" s="40">
        <f t="shared" si="0"/>
        <v>11143</v>
      </c>
      <c r="I61" s="40">
        <v>1</v>
      </c>
      <c r="J61" s="62">
        <f t="shared" si="1"/>
        <v>11.143000000000001</v>
      </c>
      <c r="K61" s="40" t="s">
        <v>251</v>
      </c>
    </row>
    <row r="62" spans="1:11" x14ac:dyDescent="0.3">
      <c r="A62" s="40" t="s">
        <v>322</v>
      </c>
      <c r="B62" s="40" t="s">
        <v>78</v>
      </c>
      <c r="C62" s="40" t="s">
        <v>250</v>
      </c>
      <c r="D62" s="40">
        <v>10820</v>
      </c>
      <c r="H62" s="40">
        <f t="shared" si="0"/>
        <v>11143</v>
      </c>
      <c r="I62" s="40">
        <v>1</v>
      </c>
      <c r="J62" s="62">
        <f t="shared" si="1"/>
        <v>11.143000000000001</v>
      </c>
      <c r="K62" s="40" t="s">
        <v>251</v>
      </c>
    </row>
    <row r="63" spans="1:11" x14ac:dyDescent="0.3">
      <c r="A63" s="40" t="s">
        <v>323</v>
      </c>
      <c r="B63" s="40" t="s">
        <v>78</v>
      </c>
      <c r="C63" s="40" t="s">
        <v>250</v>
      </c>
      <c r="D63" s="40">
        <v>10820</v>
      </c>
      <c r="H63" s="40">
        <f t="shared" si="0"/>
        <v>11143</v>
      </c>
      <c r="I63" s="40">
        <v>1</v>
      </c>
      <c r="J63" s="62">
        <f t="shared" si="1"/>
        <v>11.143000000000001</v>
      </c>
      <c r="K63" s="40" t="s">
        <v>251</v>
      </c>
    </row>
    <row r="64" spans="1:11" x14ac:dyDescent="0.3">
      <c r="A64" s="40" t="s">
        <v>324</v>
      </c>
      <c r="B64" s="40" t="s">
        <v>78</v>
      </c>
      <c r="C64" s="40" t="s">
        <v>250</v>
      </c>
      <c r="D64" s="40">
        <v>10820</v>
      </c>
      <c r="H64" s="40">
        <f t="shared" si="0"/>
        <v>11143</v>
      </c>
      <c r="I64" s="40">
        <v>1</v>
      </c>
      <c r="J64" s="62">
        <f t="shared" si="1"/>
        <v>11.143000000000001</v>
      </c>
      <c r="K64" s="40" t="s">
        <v>251</v>
      </c>
    </row>
    <row r="65" spans="1:12" x14ac:dyDescent="0.3">
      <c r="A65" s="40" t="s">
        <v>323</v>
      </c>
      <c r="B65" s="40" t="s">
        <v>78</v>
      </c>
      <c r="C65" s="40" t="s">
        <v>250</v>
      </c>
      <c r="D65" s="40">
        <v>10820</v>
      </c>
      <c r="H65" s="40">
        <f t="shared" si="0"/>
        <v>11143</v>
      </c>
      <c r="I65" s="40">
        <v>1</v>
      </c>
      <c r="J65" s="62">
        <f t="shared" si="1"/>
        <v>11.143000000000001</v>
      </c>
      <c r="K65" s="40" t="s">
        <v>251</v>
      </c>
    </row>
    <row r="66" spans="1:12" x14ac:dyDescent="0.3">
      <c r="A66" s="40" t="s">
        <v>325</v>
      </c>
      <c r="B66" s="40" t="s">
        <v>78</v>
      </c>
      <c r="C66" s="40" t="s">
        <v>250</v>
      </c>
      <c r="D66" s="40">
        <v>10820</v>
      </c>
      <c r="H66" s="40">
        <f t="shared" si="0"/>
        <v>11143</v>
      </c>
      <c r="I66" s="40">
        <v>1</v>
      </c>
      <c r="J66" s="62">
        <f t="shared" si="1"/>
        <v>11.143000000000001</v>
      </c>
      <c r="K66" s="40" t="s">
        <v>251</v>
      </c>
    </row>
    <row r="67" spans="1:12" x14ac:dyDescent="0.3">
      <c r="A67" s="40" t="s">
        <v>326</v>
      </c>
      <c r="B67" s="40" t="s">
        <v>78</v>
      </c>
      <c r="C67" s="40" t="s">
        <v>250</v>
      </c>
      <c r="D67" s="40">
        <v>10820</v>
      </c>
      <c r="H67" s="40">
        <f t="shared" ref="H67:H78" si="10">D67+450-127</f>
        <v>11143</v>
      </c>
      <c r="I67" s="40">
        <v>1</v>
      </c>
      <c r="J67" s="62">
        <f t="shared" ref="J67:J130" si="11">H67*I67/1000</f>
        <v>11.143000000000001</v>
      </c>
      <c r="K67" s="40" t="s">
        <v>251</v>
      </c>
    </row>
    <row r="68" spans="1:12" x14ac:dyDescent="0.3">
      <c r="A68" s="40" t="s">
        <v>327</v>
      </c>
      <c r="B68" s="40" t="s">
        <v>78</v>
      </c>
      <c r="C68" s="40" t="s">
        <v>250</v>
      </c>
      <c r="D68" s="40">
        <v>10820</v>
      </c>
      <c r="H68" s="40">
        <f t="shared" si="10"/>
        <v>11143</v>
      </c>
      <c r="I68" s="40">
        <v>1</v>
      </c>
      <c r="J68" s="62">
        <f t="shared" si="11"/>
        <v>11.143000000000001</v>
      </c>
      <c r="K68" s="40" t="s">
        <v>251</v>
      </c>
    </row>
    <row r="69" spans="1:12" x14ac:dyDescent="0.3">
      <c r="A69" s="40" t="s">
        <v>326</v>
      </c>
      <c r="B69" s="40" t="s">
        <v>78</v>
      </c>
      <c r="C69" s="40" t="s">
        <v>250</v>
      </c>
      <c r="D69" s="40">
        <v>10820</v>
      </c>
      <c r="H69" s="40">
        <f t="shared" si="10"/>
        <v>11143</v>
      </c>
      <c r="I69" s="40">
        <v>1</v>
      </c>
      <c r="J69" s="62">
        <f t="shared" si="11"/>
        <v>11.143000000000001</v>
      </c>
      <c r="K69" s="40" t="s">
        <v>251</v>
      </c>
    </row>
    <row r="70" spans="1:12" x14ac:dyDescent="0.3">
      <c r="A70" s="40" t="s">
        <v>328</v>
      </c>
      <c r="B70" s="40" t="s">
        <v>78</v>
      </c>
      <c r="C70" s="40" t="s">
        <v>250</v>
      </c>
      <c r="D70" s="40">
        <v>10820</v>
      </c>
      <c r="H70" s="40">
        <f t="shared" si="10"/>
        <v>11143</v>
      </c>
      <c r="I70" s="40">
        <v>1</v>
      </c>
      <c r="J70" s="62">
        <f t="shared" si="11"/>
        <v>11.143000000000001</v>
      </c>
      <c r="K70" s="40" t="s">
        <v>251</v>
      </c>
    </row>
    <row r="71" spans="1:12" x14ac:dyDescent="0.3">
      <c r="A71" s="40" t="s">
        <v>329</v>
      </c>
      <c r="B71" s="40" t="s">
        <v>78</v>
      </c>
      <c r="C71" s="40" t="s">
        <v>250</v>
      </c>
      <c r="D71" s="40">
        <v>10820</v>
      </c>
      <c r="H71" s="40">
        <f t="shared" si="10"/>
        <v>11143</v>
      </c>
      <c r="I71" s="40">
        <v>1</v>
      </c>
      <c r="J71" s="62">
        <f t="shared" si="11"/>
        <v>11.143000000000001</v>
      </c>
      <c r="K71" s="40" t="s">
        <v>251</v>
      </c>
    </row>
    <row r="72" spans="1:12" x14ac:dyDescent="0.3">
      <c r="A72" s="40" t="s">
        <v>330</v>
      </c>
      <c r="B72" s="40" t="s">
        <v>78</v>
      </c>
      <c r="C72" s="40" t="s">
        <v>250</v>
      </c>
      <c r="D72" s="40">
        <v>10820</v>
      </c>
      <c r="H72" s="40">
        <f t="shared" si="10"/>
        <v>11143</v>
      </c>
      <c r="I72" s="40">
        <v>1</v>
      </c>
      <c r="J72" s="62">
        <f t="shared" si="11"/>
        <v>11.143000000000001</v>
      </c>
      <c r="K72" s="40" t="s">
        <v>251</v>
      </c>
    </row>
    <row r="73" spans="1:12" x14ac:dyDescent="0.3">
      <c r="A73" s="40" t="s">
        <v>331</v>
      </c>
      <c r="B73" s="40" t="s">
        <v>78</v>
      </c>
      <c r="C73" s="40" t="s">
        <v>250</v>
      </c>
      <c r="D73" s="40">
        <v>10820</v>
      </c>
      <c r="H73" s="40">
        <f t="shared" si="10"/>
        <v>11143</v>
      </c>
      <c r="I73" s="40">
        <v>1</v>
      </c>
      <c r="J73" s="62">
        <f t="shared" si="11"/>
        <v>11.143000000000001</v>
      </c>
      <c r="K73" s="40" t="s">
        <v>251</v>
      </c>
    </row>
    <row r="74" spans="1:12" x14ac:dyDescent="0.3">
      <c r="A74" s="40" t="s">
        <v>332</v>
      </c>
      <c r="B74" s="40" t="s">
        <v>78</v>
      </c>
      <c r="C74" s="40" t="s">
        <v>250</v>
      </c>
      <c r="D74" s="40">
        <v>10820</v>
      </c>
      <c r="H74" s="40">
        <f t="shared" si="10"/>
        <v>11143</v>
      </c>
      <c r="I74" s="40">
        <v>1</v>
      </c>
      <c r="J74" s="62">
        <f t="shared" si="11"/>
        <v>11.143000000000001</v>
      </c>
      <c r="K74" s="40" t="s">
        <v>251</v>
      </c>
    </row>
    <row r="75" spans="1:12" x14ac:dyDescent="0.3">
      <c r="A75" s="40" t="s">
        <v>333</v>
      </c>
      <c r="B75" s="40" t="s">
        <v>78</v>
      </c>
      <c r="C75" s="40" t="s">
        <v>250</v>
      </c>
      <c r="D75" s="40">
        <v>10820</v>
      </c>
      <c r="H75" s="40">
        <f t="shared" si="10"/>
        <v>11143</v>
      </c>
      <c r="I75" s="40">
        <v>1</v>
      </c>
      <c r="J75" s="62">
        <f t="shared" si="11"/>
        <v>11.143000000000001</v>
      </c>
      <c r="K75" s="40" t="s">
        <v>251</v>
      </c>
    </row>
    <row r="76" spans="1:12" x14ac:dyDescent="0.3">
      <c r="A76" s="40" t="s">
        <v>334</v>
      </c>
      <c r="B76" s="40" t="s">
        <v>78</v>
      </c>
      <c r="C76" s="40" t="s">
        <v>250</v>
      </c>
      <c r="D76" s="40">
        <v>10820</v>
      </c>
      <c r="H76" s="40">
        <f t="shared" si="10"/>
        <v>11143</v>
      </c>
      <c r="I76" s="40">
        <v>1</v>
      </c>
      <c r="J76" s="62">
        <f t="shared" si="11"/>
        <v>11.143000000000001</v>
      </c>
      <c r="K76" s="40" t="s">
        <v>251</v>
      </c>
    </row>
    <row r="77" spans="1:12" x14ac:dyDescent="0.3">
      <c r="A77" s="40" t="s">
        <v>335</v>
      </c>
      <c r="B77" s="40" t="s">
        <v>78</v>
      </c>
      <c r="C77" s="40" t="s">
        <v>250</v>
      </c>
      <c r="D77" s="40">
        <v>10820</v>
      </c>
      <c r="H77" s="40">
        <f t="shared" si="10"/>
        <v>11143</v>
      </c>
      <c r="I77" s="40">
        <v>1</v>
      </c>
      <c r="J77" s="62">
        <f t="shared" si="11"/>
        <v>11.143000000000001</v>
      </c>
      <c r="K77" s="40" t="s">
        <v>251</v>
      </c>
    </row>
    <row r="78" spans="1:12" x14ac:dyDescent="0.3">
      <c r="A78" s="40" t="s">
        <v>336</v>
      </c>
      <c r="B78" s="40" t="s">
        <v>78</v>
      </c>
      <c r="C78" s="40" t="s">
        <v>250</v>
      </c>
      <c r="D78" s="40">
        <v>10820</v>
      </c>
      <c r="H78" s="40">
        <f t="shared" si="10"/>
        <v>11143</v>
      </c>
      <c r="I78" s="40">
        <v>1</v>
      </c>
      <c r="J78" s="62">
        <f t="shared" si="11"/>
        <v>11.143000000000001</v>
      </c>
      <c r="K78" s="40" t="s">
        <v>251</v>
      </c>
    </row>
    <row r="79" spans="1:12" x14ac:dyDescent="0.3">
      <c r="A79" s="40" t="s">
        <v>337</v>
      </c>
      <c r="B79" s="40" t="s">
        <v>91</v>
      </c>
      <c r="C79" s="40" t="s">
        <v>338</v>
      </c>
      <c r="D79" s="40">
        <v>8230</v>
      </c>
      <c r="F79" s="40">
        <v>305</v>
      </c>
      <c r="G79" s="40">
        <v>305</v>
      </c>
      <c r="H79" s="40">
        <f>D79-((F79+G79)/2)</f>
        <v>7925</v>
      </c>
      <c r="I79" s="40">
        <v>1</v>
      </c>
      <c r="J79" s="62">
        <f t="shared" si="11"/>
        <v>7.9249999999999998</v>
      </c>
      <c r="L79" s="40" t="s">
        <v>339</v>
      </c>
    </row>
    <row r="80" spans="1:12" x14ac:dyDescent="0.3">
      <c r="A80" s="40" t="s">
        <v>340</v>
      </c>
      <c r="B80" s="40" t="s">
        <v>91</v>
      </c>
      <c r="C80" s="40" t="s">
        <v>338</v>
      </c>
      <c r="D80" s="40">
        <v>8229</v>
      </c>
      <c r="F80" s="40">
        <v>305</v>
      </c>
      <c r="G80" s="40">
        <v>305</v>
      </c>
      <c r="H80" s="40">
        <f t="shared" ref="H80:H143" si="12">D80-((F80+G80)/2)</f>
        <v>7924</v>
      </c>
      <c r="I80" s="40">
        <v>1</v>
      </c>
      <c r="J80" s="62">
        <f t="shared" si="11"/>
        <v>7.9240000000000004</v>
      </c>
      <c r="L80" s="40" t="s">
        <v>339</v>
      </c>
    </row>
    <row r="81" spans="1:12" x14ac:dyDescent="0.3">
      <c r="A81" s="40" t="s">
        <v>341</v>
      </c>
      <c r="B81" s="40" t="s">
        <v>91</v>
      </c>
      <c r="C81" s="40" t="s">
        <v>338</v>
      </c>
      <c r="D81" s="40">
        <v>8230</v>
      </c>
      <c r="F81" s="40">
        <v>305</v>
      </c>
      <c r="G81" s="40">
        <v>305</v>
      </c>
      <c r="H81" s="40">
        <f t="shared" si="12"/>
        <v>7925</v>
      </c>
      <c r="I81" s="40">
        <v>1</v>
      </c>
      <c r="J81" s="62">
        <f t="shared" si="11"/>
        <v>7.9249999999999998</v>
      </c>
      <c r="L81" s="40" t="s">
        <v>339</v>
      </c>
    </row>
    <row r="82" spans="1:12" x14ac:dyDescent="0.3">
      <c r="A82" s="40" t="s">
        <v>342</v>
      </c>
      <c r="B82" s="40" t="s">
        <v>91</v>
      </c>
      <c r="C82" s="40" t="s">
        <v>338</v>
      </c>
      <c r="D82" s="40">
        <v>8229</v>
      </c>
      <c r="F82" s="40">
        <v>305</v>
      </c>
      <c r="G82" s="40">
        <v>305</v>
      </c>
      <c r="H82" s="40">
        <f t="shared" si="12"/>
        <v>7924</v>
      </c>
      <c r="I82" s="40">
        <v>1</v>
      </c>
      <c r="J82" s="62">
        <f t="shared" si="11"/>
        <v>7.9240000000000004</v>
      </c>
      <c r="L82" s="40" t="s">
        <v>339</v>
      </c>
    </row>
    <row r="83" spans="1:12" x14ac:dyDescent="0.3">
      <c r="A83" s="40" t="s">
        <v>341</v>
      </c>
      <c r="B83" s="40" t="s">
        <v>91</v>
      </c>
      <c r="C83" s="40" t="s">
        <v>338</v>
      </c>
      <c r="D83" s="40">
        <v>8230</v>
      </c>
      <c r="F83" s="40">
        <v>305</v>
      </c>
      <c r="G83" s="40">
        <v>305</v>
      </c>
      <c r="H83" s="40">
        <f t="shared" si="12"/>
        <v>7925</v>
      </c>
      <c r="I83" s="40">
        <v>1</v>
      </c>
      <c r="J83" s="62">
        <f t="shared" si="11"/>
        <v>7.9249999999999998</v>
      </c>
      <c r="L83" s="40" t="s">
        <v>339</v>
      </c>
    </row>
    <row r="84" spans="1:12" x14ac:dyDescent="0.3">
      <c r="A84" s="40" t="s">
        <v>342</v>
      </c>
      <c r="B84" s="40" t="s">
        <v>91</v>
      </c>
      <c r="C84" s="40" t="s">
        <v>338</v>
      </c>
      <c r="D84" s="40">
        <v>8229</v>
      </c>
      <c r="F84" s="40">
        <v>305</v>
      </c>
      <c r="G84" s="40">
        <v>305</v>
      </c>
      <c r="H84" s="40">
        <f t="shared" si="12"/>
        <v>7924</v>
      </c>
      <c r="I84" s="40">
        <v>1</v>
      </c>
      <c r="J84" s="62">
        <f t="shared" si="11"/>
        <v>7.9240000000000004</v>
      </c>
      <c r="L84" s="40" t="s">
        <v>339</v>
      </c>
    </row>
    <row r="85" spans="1:12" x14ac:dyDescent="0.3">
      <c r="A85" s="40" t="s">
        <v>341</v>
      </c>
      <c r="B85" s="40" t="s">
        <v>91</v>
      </c>
      <c r="C85" s="40" t="s">
        <v>338</v>
      </c>
      <c r="D85" s="40">
        <v>8230</v>
      </c>
      <c r="F85" s="40">
        <v>305</v>
      </c>
      <c r="G85" s="40">
        <v>305</v>
      </c>
      <c r="H85" s="40">
        <f t="shared" si="12"/>
        <v>7925</v>
      </c>
      <c r="I85" s="40">
        <v>1</v>
      </c>
      <c r="J85" s="62">
        <f t="shared" si="11"/>
        <v>7.9249999999999998</v>
      </c>
      <c r="L85" s="40" t="s">
        <v>339</v>
      </c>
    </row>
    <row r="86" spans="1:12" x14ac:dyDescent="0.3">
      <c r="A86" s="40" t="s">
        <v>342</v>
      </c>
      <c r="B86" s="40" t="s">
        <v>91</v>
      </c>
      <c r="C86" s="40" t="s">
        <v>338</v>
      </c>
      <c r="D86" s="40">
        <v>8229</v>
      </c>
      <c r="F86" s="40">
        <v>305</v>
      </c>
      <c r="G86" s="40">
        <v>305</v>
      </c>
      <c r="H86" s="40">
        <f t="shared" si="12"/>
        <v>7924</v>
      </c>
      <c r="I86" s="40">
        <v>1</v>
      </c>
      <c r="J86" s="62">
        <f t="shared" si="11"/>
        <v>7.9240000000000004</v>
      </c>
      <c r="L86" s="40" t="s">
        <v>339</v>
      </c>
    </row>
    <row r="87" spans="1:12" x14ac:dyDescent="0.3">
      <c r="A87" s="40" t="s">
        <v>343</v>
      </c>
      <c r="B87" s="40" t="s">
        <v>91</v>
      </c>
      <c r="C87" s="40" t="s">
        <v>338</v>
      </c>
      <c r="D87" s="40">
        <v>8230</v>
      </c>
      <c r="F87" s="40">
        <v>305</v>
      </c>
      <c r="G87" s="40">
        <v>305</v>
      </c>
      <c r="H87" s="40">
        <f t="shared" si="12"/>
        <v>7925</v>
      </c>
      <c r="I87" s="40">
        <v>1</v>
      </c>
      <c r="J87" s="62">
        <f t="shared" si="11"/>
        <v>7.9249999999999998</v>
      </c>
      <c r="L87" s="40" t="s">
        <v>339</v>
      </c>
    </row>
    <row r="88" spans="1:12" x14ac:dyDescent="0.3">
      <c r="A88" s="40" t="s">
        <v>344</v>
      </c>
      <c r="B88" s="40" t="s">
        <v>91</v>
      </c>
      <c r="C88" s="40" t="s">
        <v>338</v>
      </c>
      <c r="D88" s="40">
        <v>8229</v>
      </c>
      <c r="F88" s="40">
        <v>305</v>
      </c>
      <c r="G88" s="40">
        <v>305</v>
      </c>
      <c r="H88" s="40">
        <f t="shared" si="12"/>
        <v>7924</v>
      </c>
      <c r="I88" s="40">
        <v>1</v>
      </c>
      <c r="J88" s="62">
        <f t="shared" si="11"/>
        <v>7.9240000000000004</v>
      </c>
      <c r="L88" s="40" t="s">
        <v>339</v>
      </c>
    </row>
    <row r="89" spans="1:12" x14ac:dyDescent="0.3">
      <c r="A89" s="40" t="s">
        <v>343</v>
      </c>
      <c r="B89" s="40" t="s">
        <v>91</v>
      </c>
      <c r="C89" s="40" t="s">
        <v>338</v>
      </c>
      <c r="D89" s="40">
        <v>8230</v>
      </c>
      <c r="F89" s="40">
        <v>305</v>
      </c>
      <c r="G89" s="40">
        <v>305</v>
      </c>
      <c r="H89" s="40">
        <f t="shared" si="12"/>
        <v>7925</v>
      </c>
      <c r="I89" s="40">
        <v>1</v>
      </c>
      <c r="J89" s="62">
        <f t="shared" si="11"/>
        <v>7.9249999999999998</v>
      </c>
      <c r="L89" s="40" t="s">
        <v>339</v>
      </c>
    </row>
    <row r="90" spans="1:12" x14ac:dyDescent="0.3">
      <c r="A90" s="40" t="s">
        <v>344</v>
      </c>
      <c r="B90" s="40" t="s">
        <v>91</v>
      </c>
      <c r="C90" s="40" t="s">
        <v>338</v>
      </c>
      <c r="D90" s="40">
        <v>8229</v>
      </c>
      <c r="F90" s="40">
        <v>305</v>
      </c>
      <c r="G90" s="40">
        <v>305</v>
      </c>
      <c r="H90" s="40">
        <f t="shared" si="12"/>
        <v>7924</v>
      </c>
      <c r="I90" s="40">
        <v>1</v>
      </c>
      <c r="J90" s="62">
        <f t="shared" si="11"/>
        <v>7.9240000000000004</v>
      </c>
      <c r="L90" s="40" t="s">
        <v>339</v>
      </c>
    </row>
    <row r="91" spans="1:12" x14ac:dyDescent="0.3">
      <c r="A91" s="40" t="s">
        <v>345</v>
      </c>
      <c r="B91" s="40" t="s">
        <v>91</v>
      </c>
      <c r="C91" s="40" t="s">
        <v>338</v>
      </c>
      <c r="D91" s="40">
        <v>8230</v>
      </c>
      <c r="F91" s="40">
        <v>305</v>
      </c>
      <c r="G91" s="40">
        <v>305</v>
      </c>
      <c r="H91" s="40">
        <f t="shared" si="12"/>
        <v>7925</v>
      </c>
      <c r="I91" s="40">
        <v>1</v>
      </c>
      <c r="J91" s="62">
        <f t="shared" si="11"/>
        <v>7.9249999999999998</v>
      </c>
      <c r="L91" s="40" t="s">
        <v>339</v>
      </c>
    </row>
    <row r="92" spans="1:12" x14ac:dyDescent="0.3">
      <c r="A92" s="40" t="s">
        <v>346</v>
      </c>
      <c r="B92" s="40" t="s">
        <v>91</v>
      </c>
      <c r="C92" s="40" t="s">
        <v>338</v>
      </c>
      <c r="D92" s="40">
        <v>8229</v>
      </c>
      <c r="F92" s="40">
        <v>305</v>
      </c>
      <c r="G92" s="40">
        <v>305</v>
      </c>
      <c r="H92" s="40">
        <f t="shared" si="12"/>
        <v>7924</v>
      </c>
      <c r="I92" s="40">
        <v>1</v>
      </c>
      <c r="J92" s="62">
        <f t="shared" si="11"/>
        <v>7.9240000000000004</v>
      </c>
      <c r="L92" s="40" t="s">
        <v>339</v>
      </c>
    </row>
    <row r="93" spans="1:12" x14ac:dyDescent="0.3">
      <c r="A93" s="40" t="s">
        <v>347</v>
      </c>
      <c r="B93" s="40" t="s">
        <v>96</v>
      </c>
      <c r="C93" s="40" t="s">
        <v>338</v>
      </c>
      <c r="D93" s="40">
        <v>8828</v>
      </c>
      <c r="F93" s="40">
        <v>305</v>
      </c>
      <c r="G93" s="40">
        <v>305</v>
      </c>
      <c r="H93" s="40">
        <f t="shared" si="12"/>
        <v>8523</v>
      </c>
      <c r="I93" s="40">
        <v>1</v>
      </c>
      <c r="J93" s="62">
        <f t="shared" si="11"/>
        <v>8.5229999999999997</v>
      </c>
      <c r="L93" s="40" t="s">
        <v>339</v>
      </c>
    </row>
    <row r="94" spans="1:12" x14ac:dyDescent="0.3">
      <c r="A94" s="40" t="s">
        <v>348</v>
      </c>
      <c r="B94" s="40" t="s">
        <v>92</v>
      </c>
      <c r="C94" s="40" t="s">
        <v>338</v>
      </c>
      <c r="D94" s="40">
        <v>5498</v>
      </c>
      <c r="F94" s="40">
        <v>305</v>
      </c>
      <c r="G94" s="40">
        <v>305</v>
      </c>
      <c r="H94" s="40">
        <f t="shared" si="12"/>
        <v>5193</v>
      </c>
      <c r="I94" s="40">
        <v>1</v>
      </c>
      <c r="J94" s="62">
        <f t="shared" si="11"/>
        <v>5.1929999999999996</v>
      </c>
      <c r="L94" s="40" t="s">
        <v>339</v>
      </c>
    </row>
    <row r="95" spans="1:12" x14ac:dyDescent="0.3">
      <c r="A95" s="40" t="s">
        <v>349</v>
      </c>
      <c r="B95" s="40" t="s">
        <v>90</v>
      </c>
      <c r="C95" s="40" t="s">
        <v>338</v>
      </c>
      <c r="D95" s="40">
        <v>2763</v>
      </c>
      <c r="F95" s="40">
        <v>305</v>
      </c>
      <c r="G95" s="40">
        <v>305</v>
      </c>
      <c r="H95" s="40">
        <f t="shared" si="12"/>
        <v>2458</v>
      </c>
      <c r="I95" s="40">
        <v>1</v>
      </c>
      <c r="J95" s="62">
        <f t="shared" si="11"/>
        <v>2.4580000000000002</v>
      </c>
      <c r="L95" s="40" t="s">
        <v>339</v>
      </c>
    </row>
    <row r="96" spans="1:12" x14ac:dyDescent="0.3">
      <c r="A96" s="40" t="s">
        <v>350</v>
      </c>
      <c r="B96" s="40" t="s">
        <v>90</v>
      </c>
      <c r="C96" s="40" t="s">
        <v>338</v>
      </c>
      <c r="D96" s="40">
        <v>2381</v>
      </c>
      <c r="F96" s="40">
        <v>305</v>
      </c>
      <c r="G96" s="40">
        <v>305</v>
      </c>
      <c r="H96" s="40">
        <f t="shared" si="12"/>
        <v>2076</v>
      </c>
      <c r="I96" s="40">
        <v>1</v>
      </c>
      <c r="J96" s="62">
        <f t="shared" si="11"/>
        <v>2.0760000000000001</v>
      </c>
      <c r="L96" s="40" t="s">
        <v>339</v>
      </c>
    </row>
    <row r="97" spans="1:12" x14ac:dyDescent="0.3">
      <c r="A97" s="40" t="s">
        <v>351</v>
      </c>
      <c r="B97" s="40" t="s">
        <v>90</v>
      </c>
      <c r="C97" s="40" t="s">
        <v>338</v>
      </c>
      <c r="D97" s="40">
        <v>5364</v>
      </c>
      <c r="F97" s="40">
        <v>305</v>
      </c>
      <c r="G97" s="40">
        <v>305</v>
      </c>
      <c r="H97" s="40">
        <f t="shared" si="12"/>
        <v>5059</v>
      </c>
      <c r="I97" s="40">
        <v>1</v>
      </c>
      <c r="J97" s="62">
        <f t="shared" si="11"/>
        <v>5.0590000000000002</v>
      </c>
      <c r="L97" s="40" t="s">
        <v>339</v>
      </c>
    </row>
    <row r="98" spans="1:12" x14ac:dyDescent="0.3">
      <c r="A98" s="40" t="s">
        <v>352</v>
      </c>
      <c r="B98" s="40" t="s">
        <v>90</v>
      </c>
      <c r="C98" s="40" t="s">
        <v>338</v>
      </c>
      <c r="D98" s="40">
        <v>4723</v>
      </c>
      <c r="F98" s="40">
        <v>305</v>
      </c>
      <c r="G98" s="40">
        <v>305</v>
      </c>
      <c r="H98" s="40">
        <f t="shared" si="12"/>
        <v>4418</v>
      </c>
      <c r="I98" s="40">
        <v>1</v>
      </c>
      <c r="J98" s="62">
        <f t="shared" si="11"/>
        <v>4.4180000000000001</v>
      </c>
      <c r="L98" s="40" t="s">
        <v>339</v>
      </c>
    </row>
    <row r="99" spans="1:12" x14ac:dyDescent="0.3">
      <c r="A99" s="40" t="s">
        <v>353</v>
      </c>
      <c r="B99" s="40" t="s">
        <v>95</v>
      </c>
      <c r="C99" s="40" t="s">
        <v>338</v>
      </c>
      <c r="D99" s="40">
        <v>7816</v>
      </c>
      <c r="F99" s="40">
        <v>305</v>
      </c>
      <c r="G99" s="40">
        <v>305</v>
      </c>
      <c r="H99" s="40">
        <f t="shared" si="12"/>
        <v>7511</v>
      </c>
      <c r="I99" s="40">
        <v>1</v>
      </c>
      <c r="J99" s="62">
        <f t="shared" si="11"/>
        <v>7.5110000000000001</v>
      </c>
      <c r="L99" s="40" t="s">
        <v>339</v>
      </c>
    </row>
    <row r="100" spans="1:12" x14ac:dyDescent="0.3">
      <c r="A100" s="40" t="s">
        <v>354</v>
      </c>
      <c r="B100" s="40" t="s">
        <v>95</v>
      </c>
      <c r="C100" s="40" t="s">
        <v>338</v>
      </c>
      <c r="D100" s="40">
        <v>8463</v>
      </c>
      <c r="F100" s="40">
        <v>305</v>
      </c>
      <c r="G100" s="40">
        <v>305</v>
      </c>
      <c r="H100" s="40">
        <f t="shared" si="12"/>
        <v>8158</v>
      </c>
      <c r="I100" s="40">
        <v>1</v>
      </c>
      <c r="J100" s="62">
        <f t="shared" si="11"/>
        <v>8.1579999999999995</v>
      </c>
      <c r="L100" s="40" t="s">
        <v>339</v>
      </c>
    </row>
    <row r="101" spans="1:12" x14ac:dyDescent="0.3">
      <c r="A101" s="40" t="s">
        <v>355</v>
      </c>
      <c r="B101" s="40" t="s">
        <v>95</v>
      </c>
      <c r="C101" s="40" t="s">
        <v>338</v>
      </c>
      <c r="D101" s="40">
        <v>8168</v>
      </c>
      <c r="F101" s="40">
        <v>305</v>
      </c>
      <c r="G101" s="40">
        <v>305</v>
      </c>
      <c r="H101" s="40">
        <f t="shared" si="12"/>
        <v>7863</v>
      </c>
      <c r="I101" s="40">
        <v>1</v>
      </c>
      <c r="J101" s="62">
        <f t="shared" si="11"/>
        <v>7.8630000000000004</v>
      </c>
      <c r="L101" s="40" t="s">
        <v>339</v>
      </c>
    </row>
    <row r="102" spans="1:12" x14ac:dyDescent="0.3">
      <c r="A102" s="40" t="s">
        <v>356</v>
      </c>
      <c r="B102" s="40" t="s">
        <v>95</v>
      </c>
      <c r="C102" s="40" t="s">
        <v>338</v>
      </c>
      <c r="D102" s="40">
        <v>8167</v>
      </c>
      <c r="F102" s="40">
        <v>305</v>
      </c>
      <c r="G102" s="40">
        <v>305</v>
      </c>
      <c r="H102" s="40">
        <f t="shared" si="12"/>
        <v>7862</v>
      </c>
      <c r="I102" s="40">
        <v>1</v>
      </c>
      <c r="J102" s="62">
        <f t="shared" si="11"/>
        <v>7.8620000000000001</v>
      </c>
      <c r="L102" s="40" t="s">
        <v>339</v>
      </c>
    </row>
    <row r="103" spans="1:12" x14ac:dyDescent="0.3">
      <c r="A103" s="40" t="s">
        <v>357</v>
      </c>
      <c r="B103" s="40" t="s">
        <v>91</v>
      </c>
      <c r="C103" s="40" t="s">
        <v>338</v>
      </c>
      <c r="D103" s="40">
        <v>4666</v>
      </c>
      <c r="F103" s="40">
        <v>305</v>
      </c>
      <c r="G103" s="40">
        <v>305</v>
      </c>
      <c r="H103" s="40">
        <f t="shared" si="12"/>
        <v>4361</v>
      </c>
      <c r="I103" s="40">
        <v>1</v>
      </c>
      <c r="J103" s="62">
        <f t="shared" si="11"/>
        <v>4.3609999999999998</v>
      </c>
      <c r="L103" s="40" t="s">
        <v>339</v>
      </c>
    </row>
    <row r="104" spans="1:12" x14ac:dyDescent="0.3">
      <c r="A104" s="40" t="s">
        <v>358</v>
      </c>
      <c r="B104" s="40" t="s">
        <v>92</v>
      </c>
      <c r="C104" s="40" t="s">
        <v>338</v>
      </c>
      <c r="D104" s="40">
        <v>6402</v>
      </c>
      <c r="F104" s="40">
        <v>305</v>
      </c>
      <c r="G104" s="40">
        <v>305</v>
      </c>
      <c r="H104" s="40">
        <f t="shared" si="12"/>
        <v>6097</v>
      </c>
      <c r="I104" s="40">
        <v>1</v>
      </c>
      <c r="J104" s="62">
        <f t="shared" si="11"/>
        <v>6.0970000000000004</v>
      </c>
      <c r="L104" s="40" t="s">
        <v>339</v>
      </c>
    </row>
    <row r="105" spans="1:12" x14ac:dyDescent="0.3">
      <c r="A105" s="40" t="s">
        <v>359</v>
      </c>
      <c r="B105" s="40" t="s">
        <v>92</v>
      </c>
      <c r="C105" s="40" t="s">
        <v>338</v>
      </c>
      <c r="D105" s="40">
        <v>6681</v>
      </c>
      <c r="F105" s="40">
        <v>305</v>
      </c>
      <c r="G105" s="40">
        <v>254</v>
      </c>
      <c r="H105" s="40">
        <f t="shared" si="12"/>
        <v>6401.5</v>
      </c>
      <c r="I105" s="40">
        <v>1</v>
      </c>
      <c r="J105" s="62">
        <f t="shared" si="11"/>
        <v>6.4015000000000004</v>
      </c>
      <c r="L105" s="40" t="s">
        <v>339</v>
      </c>
    </row>
    <row r="106" spans="1:12" x14ac:dyDescent="0.3">
      <c r="A106" s="40" t="s">
        <v>360</v>
      </c>
      <c r="B106" s="40" t="s">
        <v>93</v>
      </c>
      <c r="C106" s="40" t="s">
        <v>338</v>
      </c>
      <c r="D106" s="40">
        <v>7910</v>
      </c>
      <c r="F106" s="40">
        <v>254</v>
      </c>
      <c r="G106" s="40">
        <v>305</v>
      </c>
      <c r="H106" s="40">
        <f t="shared" si="12"/>
        <v>7630.5</v>
      </c>
      <c r="I106" s="40">
        <v>1</v>
      </c>
      <c r="J106" s="62">
        <f t="shared" si="11"/>
        <v>7.6304999999999996</v>
      </c>
      <c r="L106" s="40" t="s">
        <v>339</v>
      </c>
    </row>
    <row r="107" spans="1:12" x14ac:dyDescent="0.3">
      <c r="A107" s="40" t="s">
        <v>361</v>
      </c>
      <c r="B107" s="40" t="s">
        <v>93</v>
      </c>
      <c r="C107" s="40" t="s">
        <v>338</v>
      </c>
      <c r="D107" s="40">
        <v>8067</v>
      </c>
      <c r="F107" s="40">
        <v>305</v>
      </c>
      <c r="G107" s="40">
        <v>305</v>
      </c>
      <c r="H107" s="40">
        <f t="shared" si="12"/>
        <v>7762</v>
      </c>
      <c r="I107" s="40">
        <v>1</v>
      </c>
      <c r="J107" s="62">
        <f t="shared" si="11"/>
        <v>7.7619999999999996</v>
      </c>
      <c r="L107" s="40" t="s">
        <v>339</v>
      </c>
    </row>
    <row r="108" spans="1:12" x14ac:dyDescent="0.3">
      <c r="A108" s="40" t="s">
        <v>362</v>
      </c>
      <c r="B108" s="40" t="s">
        <v>92</v>
      </c>
      <c r="C108" s="40" t="s">
        <v>338</v>
      </c>
      <c r="D108" s="40">
        <v>8025</v>
      </c>
      <c r="F108" s="40">
        <v>305</v>
      </c>
      <c r="G108" s="40">
        <v>305</v>
      </c>
      <c r="H108" s="40">
        <f t="shared" si="12"/>
        <v>7720</v>
      </c>
      <c r="I108" s="40">
        <v>1</v>
      </c>
      <c r="J108" s="62">
        <f t="shared" si="11"/>
        <v>7.72</v>
      </c>
      <c r="L108" s="40" t="s">
        <v>339</v>
      </c>
    </row>
    <row r="109" spans="1:12" x14ac:dyDescent="0.3">
      <c r="A109" s="40" t="s">
        <v>363</v>
      </c>
      <c r="B109" s="40" t="s">
        <v>92</v>
      </c>
      <c r="C109" s="40" t="s">
        <v>338</v>
      </c>
      <c r="D109" s="40">
        <v>6116</v>
      </c>
      <c r="F109" s="40">
        <v>305</v>
      </c>
      <c r="G109" s="40">
        <v>305</v>
      </c>
      <c r="H109" s="40">
        <f t="shared" si="12"/>
        <v>5811</v>
      </c>
      <c r="I109" s="40">
        <v>1</v>
      </c>
      <c r="J109" s="62">
        <f t="shared" si="11"/>
        <v>5.8109999999999999</v>
      </c>
      <c r="L109" s="40" t="s">
        <v>339</v>
      </c>
    </row>
    <row r="110" spans="1:12" x14ac:dyDescent="0.3">
      <c r="A110" s="40" t="s">
        <v>364</v>
      </c>
      <c r="B110" s="40" t="s">
        <v>92</v>
      </c>
      <c r="C110" s="40" t="s">
        <v>338</v>
      </c>
      <c r="D110" s="40">
        <v>6074</v>
      </c>
      <c r="F110" s="40">
        <v>305</v>
      </c>
      <c r="G110" s="40">
        <v>254</v>
      </c>
      <c r="H110" s="40">
        <f t="shared" si="12"/>
        <v>5794.5</v>
      </c>
      <c r="I110" s="40">
        <v>1</v>
      </c>
      <c r="J110" s="62">
        <f t="shared" si="11"/>
        <v>5.7945000000000002</v>
      </c>
      <c r="L110" s="40" t="s">
        <v>339</v>
      </c>
    </row>
    <row r="111" spans="1:12" x14ac:dyDescent="0.3">
      <c r="A111" s="40" t="s">
        <v>365</v>
      </c>
      <c r="B111" s="40" t="s">
        <v>91</v>
      </c>
      <c r="C111" s="40" t="s">
        <v>338</v>
      </c>
      <c r="D111" s="40">
        <v>8724</v>
      </c>
      <c r="F111" s="40">
        <v>254</v>
      </c>
      <c r="G111" s="40">
        <v>305</v>
      </c>
      <c r="H111" s="40">
        <f t="shared" si="12"/>
        <v>8444.5</v>
      </c>
      <c r="I111" s="40">
        <v>1</v>
      </c>
      <c r="J111" s="62">
        <f t="shared" si="11"/>
        <v>8.4444999999999997</v>
      </c>
      <c r="L111" s="40" t="s">
        <v>339</v>
      </c>
    </row>
    <row r="112" spans="1:12" x14ac:dyDescent="0.3">
      <c r="A112" s="40" t="s">
        <v>366</v>
      </c>
      <c r="B112" s="40" t="s">
        <v>91</v>
      </c>
      <c r="C112" s="40" t="s">
        <v>338</v>
      </c>
      <c r="D112" s="40">
        <v>8229</v>
      </c>
      <c r="F112" s="40">
        <v>305</v>
      </c>
      <c r="G112" s="40">
        <v>305</v>
      </c>
      <c r="H112" s="40">
        <f t="shared" si="12"/>
        <v>7924</v>
      </c>
      <c r="I112" s="40">
        <v>1</v>
      </c>
      <c r="J112" s="62">
        <f t="shared" si="11"/>
        <v>7.9240000000000004</v>
      </c>
      <c r="L112" s="40" t="s">
        <v>339</v>
      </c>
    </row>
    <row r="113" spans="1:12" x14ac:dyDescent="0.3">
      <c r="A113" s="40" t="s">
        <v>367</v>
      </c>
      <c r="B113" s="40" t="s">
        <v>91</v>
      </c>
      <c r="C113" s="40" t="s">
        <v>338</v>
      </c>
      <c r="D113" s="40">
        <v>8230</v>
      </c>
      <c r="F113" s="40">
        <v>305</v>
      </c>
      <c r="G113" s="40">
        <v>305</v>
      </c>
      <c r="H113" s="40">
        <f t="shared" si="12"/>
        <v>7925</v>
      </c>
      <c r="I113" s="40">
        <v>1</v>
      </c>
      <c r="J113" s="62">
        <f t="shared" si="11"/>
        <v>7.9249999999999998</v>
      </c>
      <c r="L113" s="40" t="s">
        <v>339</v>
      </c>
    </row>
    <row r="114" spans="1:12" x14ac:dyDescent="0.3">
      <c r="A114" s="40" t="s">
        <v>368</v>
      </c>
      <c r="B114" s="40" t="s">
        <v>90</v>
      </c>
      <c r="C114" s="40" t="s">
        <v>338</v>
      </c>
      <c r="D114" s="40">
        <v>5922</v>
      </c>
      <c r="F114" s="40">
        <v>305</v>
      </c>
      <c r="G114" s="40">
        <v>305</v>
      </c>
      <c r="H114" s="40">
        <f t="shared" si="12"/>
        <v>5617</v>
      </c>
      <c r="I114" s="40">
        <v>1</v>
      </c>
      <c r="J114" s="62">
        <f t="shared" si="11"/>
        <v>5.617</v>
      </c>
      <c r="L114" s="40" t="s">
        <v>339</v>
      </c>
    </row>
    <row r="115" spans="1:12" x14ac:dyDescent="0.3">
      <c r="A115" s="40" t="s">
        <v>369</v>
      </c>
      <c r="B115" s="40" t="s">
        <v>90</v>
      </c>
      <c r="C115" s="40" t="s">
        <v>338</v>
      </c>
      <c r="D115" s="40">
        <v>5922</v>
      </c>
      <c r="F115" s="40">
        <v>305</v>
      </c>
      <c r="G115" s="40">
        <v>305</v>
      </c>
      <c r="H115" s="40">
        <f t="shared" si="12"/>
        <v>5617</v>
      </c>
      <c r="I115" s="40">
        <v>1</v>
      </c>
      <c r="J115" s="62">
        <f t="shared" si="11"/>
        <v>5.617</v>
      </c>
      <c r="L115" s="40" t="s">
        <v>339</v>
      </c>
    </row>
    <row r="116" spans="1:12" x14ac:dyDescent="0.3">
      <c r="A116" s="40" t="s">
        <v>370</v>
      </c>
      <c r="B116" s="40" t="s">
        <v>97</v>
      </c>
      <c r="C116" s="40" t="s">
        <v>338</v>
      </c>
      <c r="D116" s="40">
        <v>5163</v>
      </c>
      <c r="F116" s="40">
        <v>305</v>
      </c>
      <c r="G116" s="40">
        <v>305</v>
      </c>
      <c r="H116" s="40">
        <f t="shared" si="12"/>
        <v>4858</v>
      </c>
      <c r="I116" s="40">
        <v>1</v>
      </c>
      <c r="J116" s="62">
        <f t="shared" si="11"/>
        <v>4.8579999999999997</v>
      </c>
      <c r="L116" s="40" t="s">
        <v>339</v>
      </c>
    </row>
    <row r="117" spans="1:12" x14ac:dyDescent="0.3">
      <c r="A117" s="40" t="s">
        <v>371</v>
      </c>
      <c r="B117" s="40" t="s">
        <v>90</v>
      </c>
      <c r="C117" s="40" t="s">
        <v>338</v>
      </c>
      <c r="D117" s="40">
        <v>3955</v>
      </c>
      <c r="F117" s="40">
        <v>305</v>
      </c>
      <c r="G117" s="40">
        <v>305</v>
      </c>
      <c r="H117" s="40">
        <f t="shared" si="12"/>
        <v>3650</v>
      </c>
      <c r="I117" s="40">
        <v>1</v>
      </c>
      <c r="J117" s="62">
        <f t="shared" si="11"/>
        <v>3.65</v>
      </c>
      <c r="L117" s="40" t="s">
        <v>339</v>
      </c>
    </row>
    <row r="118" spans="1:12" x14ac:dyDescent="0.3">
      <c r="A118" s="40" t="s">
        <v>372</v>
      </c>
      <c r="B118" s="40" t="s">
        <v>90</v>
      </c>
      <c r="C118" s="40" t="s">
        <v>338</v>
      </c>
      <c r="D118" s="40">
        <v>5316</v>
      </c>
      <c r="F118" s="40">
        <v>305</v>
      </c>
      <c r="G118" s="40">
        <v>305</v>
      </c>
      <c r="H118" s="40">
        <f t="shared" si="12"/>
        <v>5011</v>
      </c>
      <c r="I118" s="40">
        <v>1</v>
      </c>
      <c r="J118" s="62">
        <f t="shared" si="11"/>
        <v>5.0110000000000001</v>
      </c>
      <c r="L118" s="40" t="s">
        <v>339</v>
      </c>
    </row>
    <row r="119" spans="1:12" x14ac:dyDescent="0.3">
      <c r="A119" s="40" t="s">
        <v>373</v>
      </c>
      <c r="B119" s="40" t="s">
        <v>90</v>
      </c>
      <c r="C119" s="40" t="s">
        <v>338</v>
      </c>
      <c r="D119" s="40">
        <v>6640</v>
      </c>
      <c r="F119" s="40">
        <v>305</v>
      </c>
      <c r="G119" s="40">
        <v>305</v>
      </c>
      <c r="H119" s="40">
        <f t="shared" si="12"/>
        <v>6335</v>
      </c>
      <c r="I119" s="40">
        <v>1</v>
      </c>
      <c r="J119" s="62">
        <f t="shared" si="11"/>
        <v>6.335</v>
      </c>
      <c r="L119" s="40" t="s">
        <v>339</v>
      </c>
    </row>
    <row r="120" spans="1:12" x14ac:dyDescent="0.3">
      <c r="A120" s="40" t="s">
        <v>373</v>
      </c>
      <c r="B120" s="40" t="s">
        <v>90</v>
      </c>
      <c r="C120" s="40" t="s">
        <v>338</v>
      </c>
      <c r="D120" s="40">
        <v>6640</v>
      </c>
      <c r="F120" s="40">
        <v>305</v>
      </c>
      <c r="G120" s="40">
        <v>305</v>
      </c>
      <c r="H120" s="40">
        <f t="shared" si="12"/>
        <v>6335</v>
      </c>
      <c r="I120" s="40">
        <v>1</v>
      </c>
      <c r="J120" s="62">
        <f t="shared" si="11"/>
        <v>6.335</v>
      </c>
      <c r="L120" s="40" t="s">
        <v>339</v>
      </c>
    </row>
    <row r="121" spans="1:12" x14ac:dyDescent="0.3">
      <c r="A121" s="40" t="s">
        <v>372</v>
      </c>
      <c r="B121" s="40" t="s">
        <v>90</v>
      </c>
      <c r="C121" s="40" t="s">
        <v>338</v>
      </c>
      <c r="D121" s="40">
        <v>5316</v>
      </c>
      <c r="F121" s="40">
        <v>305</v>
      </c>
      <c r="G121" s="40">
        <v>305</v>
      </c>
      <c r="H121" s="40">
        <f t="shared" si="12"/>
        <v>5011</v>
      </c>
      <c r="I121" s="40">
        <v>1</v>
      </c>
      <c r="J121" s="62">
        <f t="shared" si="11"/>
        <v>5.0110000000000001</v>
      </c>
      <c r="L121" s="40" t="s">
        <v>339</v>
      </c>
    </row>
    <row r="122" spans="1:12" x14ac:dyDescent="0.3">
      <c r="A122" s="40" t="s">
        <v>371</v>
      </c>
      <c r="B122" s="40" t="s">
        <v>90</v>
      </c>
      <c r="C122" s="40" t="s">
        <v>338</v>
      </c>
      <c r="D122" s="40">
        <v>3955</v>
      </c>
      <c r="F122" s="40">
        <v>305</v>
      </c>
      <c r="G122" s="40">
        <v>305</v>
      </c>
      <c r="H122" s="40">
        <f t="shared" si="12"/>
        <v>3650</v>
      </c>
      <c r="I122" s="40">
        <v>1</v>
      </c>
      <c r="J122" s="62">
        <f t="shared" si="11"/>
        <v>3.65</v>
      </c>
      <c r="L122" s="40" t="s">
        <v>339</v>
      </c>
    </row>
    <row r="123" spans="1:12" x14ac:dyDescent="0.3">
      <c r="A123" s="40" t="s">
        <v>374</v>
      </c>
      <c r="B123" s="40" t="s">
        <v>97</v>
      </c>
      <c r="C123" s="40" t="s">
        <v>338</v>
      </c>
      <c r="D123" s="40">
        <v>5163</v>
      </c>
      <c r="F123" s="40">
        <v>305</v>
      </c>
      <c r="G123" s="40">
        <v>305</v>
      </c>
      <c r="H123" s="40">
        <f t="shared" si="12"/>
        <v>4858</v>
      </c>
      <c r="I123" s="40">
        <v>1</v>
      </c>
      <c r="J123" s="62">
        <f t="shared" si="11"/>
        <v>4.8579999999999997</v>
      </c>
      <c r="L123" s="40" t="s">
        <v>339</v>
      </c>
    </row>
    <row r="124" spans="1:12" x14ac:dyDescent="0.3">
      <c r="A124" s="40" t="s">
        <v>375</v>
      </c>
      <c r="B124" s="40" t="s">
        <v>90</v>
      </c>
      <c r="C124" s="40" t="s">
        <v>338</v>
      </c>
      <c r="D124" s="40">
        <v>2655</v>
      </c>
      <c r="F124" s="40">
        <v>305</v>
      </c>
      <c r="G124" s="40">
        <v>254</v>
      </c>
      <c r="H124" s="40">
        <f t="shared" si="12"/>
        <v>2375.5</v>
      </c>
      <c r="I124" s="40">
        <v>1</v>
      </c>
      <c r="J124" s="62">
        <f t="shared" si="11"/>
        <v>2.3755000000000002</v>
      </c>
      <c r="L124" s="40" t="s">
        <v>339</v>
      </c>
    </row>
    <row r="125" spans="1:12" x14ac:dyDescent="0.3">
      <c r="A125" s="40" t="s">
        <v>376</v>
      </c>
      <c r="B125" s="40" t="s">
        <v>93</v>
      </c>
      <c r="C125" s="40" t="s">
        <v>338</v>
      </c>
      <c r="D125" s="40">
        <v>7688</v>
      </c>
      <c r="F125" s="40">
        <v>254</v>
      </c>
      <c r="G125" s="40">
        <v>305</v>
      </c>
      <c r="H125" s="40">
        <f t="shared" si="12"/>
        <v>7408.5</v>
      </c>
      <c r="I125" s="40">
        <v>1</v>
      </c>
      <c r="J125" s="62">
        <f t="shared" si="11"/>
        <v>7.4085000000000001</v>
      </c>
      <c r="L125" s="40" t="s">
        <v>339</v>
      </c>
    </row>
    <row r="126" spans="1:12" x14ac:dyDescent="0.3">
      <c r="A126" s="40" t="s">
        <v>375</v>
      </c>
      <c r="B126" s="40" t="s">
        <v>94</v>
      </c>
      <c r="C126" s="40" t="s">
        <v>338</v>
      </c>
      <c r="D126" s="40">
        <v>7610</v>
      </c>
      <c r="F126" s="40">
        <v>305</v>
      </c>
      <c r="G126" s="40">
        <v>305</v>
      </c>
      <c r="H126" s="40">
        <f t="shared" si="12"/>
        <v>7305</v>
      </c>
      <c r="I126" s="40">
        <v>1</v>
      </c>
      <c r="J126" s="62">
        <f t="shared" si="11"/>
        <v>7.3049999999999997</v>
      </c>
      <c r="L126" s="40" t="s">
        <v>339</v>
      </c>
    </row>
    <row r="127" spans="1:12" x14ac:dyDescent="0.3">
      <c r="A127" s="40" t="s">
        <v>377</v>
      </c>
      <c r="B127" s="40" t="s">
        <v>91</v>
      </c>
      <c r="C127" s="40" t="s">
        <v>338</v>
      </c>
      <c r="D127" s="40">
        <v>6832</v>
      </c>
      <c r="F127" s="40">
        <v>305</v>
      </c>
      <c r="G127" s="40">
        <v>305</v>
      </c>
      <c r="H127" s="40">
        <f t="shared" si="12"/>
        <v>6527</v>
      </c>
      <c r="I127" s="40">
        <v>1</v>
      </c>
      <c r="J127" s="62">
        <f t="shared" si="11"/>
        <v>6.5270000000000001</v>
      </c>
      <c r="L127" s="40" t="s">
        <v>339</v>
      </c>
    </row>
    <row r="128" spans="1:12" x14ac:dyDescent="0.3">
      <c r="A128" s="40" t="s">
        <v>378</v>
      </c>
      <c r="B128" s="40" t="s">
        <v>92</v>
      </c>
      <c r="C128" s="40" t="s">
        <v>338</v>
      </c>
      <c r="D128" s="40">
        <v>6836</v>
      </c>
      <c r="F128" s="40">
        <v>305</v>
      </c>
      <c r="G128" s="40">
        <v>305</v>
      </c>
      <c r="H128" s="40">
        <f t="shared" si="12"/>
        <v>6531</v>
      </c>
      <c r="I128" s="40">
        <v>1</v>
      </c>
      <c r="J128" s="62">
        <f t="shared" si="11"/>
        <v>6.5309999999999997</v>
      </c>
      <c r="L128" s="40" t="s">
        <v>339</v>
      </c>
    </row>
    <row r="129" spans="1:12" x14ac:dyDescent="0.3">
      <c r="A129" s="40" t="s">
        <v>379</v>
      </c>
      <c r="B129" s="40" t="s">
        <v>92</v>
      </c>
      <c r="C129" s="40" t="s">
        <v>338</v>
      </c>
      <c r="D129" s="40">
        <v>6837</v>
      </c>
      <c r="F129" s="40">
        <v>305</v>
      </c>
      <c r="G129" s="40">
        <v>305</v>
      </c>
      <c r="H129" s="40">
        <f t="shared" si="12"/>
        <v>6532</v>
      </c>
      <c r="I129" s="40">
        <v>1</v>
      </c>
      <c r="J129" s="62">
        <f t="shared" si="11"/>
        <v>6.532</v>
      </c>
      <c r="L129" s="40" t="s">
        <v>339</v>
      </c>
    </row>
    <row r="130" spans="1:12" x14ac:dyDescent="0.3">
      <c r="A130" s="40" t="s">
        <v>380</v>
      </c>
      <c r="B130" s="40" t="s">
        <v>93</v>
      </c>
      <c r="C130" s="40" t="s">
        <v>338</v>
      </c>
      <c r="D130" s="40">
        <v>6896</v>
      </c>
      <c r="F130" s="40">
        <v>305</v>
      </c>
      <c r="G130" s="40">
        <v>254</v>
      </c>
      <c r="H130" s="40">
        <f t="shared" si="12"/>
        <v>6616.5</v>
      </c>
      <c r="I130" s="40">
        <v>1</v>
      </c>
      <c r="J130" s="62">
        <f t="shared" si="11"/>
        <v>6.6165000000000003</v>
      </c>
      <c r="L130" s="40" t="s">
        <v>339</v>
      </c>
    </row>
    <row r="131" spans="1:12" x14ac:dyDescent="0.3">
      <c r="A131" s="40" t="s">
        <v>381</v>
      </c>
      <c r="B131" s="40" t="s">
        <v>92</v>
      </c>
      <c r="C131" s="40" t="s">
        <v>338</v>
      </c>
      <c r="D131" s="40">
        <v>5666</v>
      </c>
      <c r="F131" s="40">
        <v>254</v>
      </c>
      <c r="G131" s="40">
        <v>305</v>
      </c>
      <c r="H131" s="40">
        <f t="shared" si="12"/>
        <v>5386.5</v>
      </c>
      <c r="I131" s="40">
        <v>1</v>
      </c>
      <c r="J131" s="62">
        <f t="shared" ref="J131:J194" si="13">H131*I131/1000</f>
        <v>5.3864999999999998</v>
      </c>
      <c r="L131" s="40" t="s">
        <v>339</v>
      </c>
    </row>
    <row r="132" spans="1:12" x14ac:dyDescent="0.3">
      <c r="A132" s="40" t="s">
        <v>382</v>
      </c>
      <c r="B132" s="40" t="s">
        <v>92</v>
      </c>
      <c r="C132" s="40" t="s">
        <v>338</v>
      </c>
      <c r="D132" s="40">
        <v>5866</v>
      </c>
      <c r="F132" s="40">
        <v>305</v>
      </c>
      <c r="G132" s="40">
        <v>305</v>
      </c>
      <c r="H132" s="40">
        <f t="shared" si="12"/>
        <v>5561</v>
      </c>
      <c r="I132" s="40">
        <v>1</v>
      </c>
      <c r="J132" s="62">
        <f t="shared" si="13"/>
        <v>5.5609999999999999</v>
      </c>
      <c r="L132" s="40" t="s">
        <v>339</v>
      </c>
    </row>
    <row r="133" spans="1:12" x14ac:dyDescent="0.3">
      <c r="A133" s="40" t="s">
        <v>383</v>
      </c>
      <c r="B133" s="40" t="s">
        <v>92</v>
      </c>
      <c r="C133" s="40" t="s">
        <v>338</v>
      </c>
      <c r="D133" s="40">
        <v>6096</v>
      </c>
      <c r="F133" s="40">
        <v>305</v>
      </c>
      <c r="G133" s="40">
        <v>305</v>
      </c>
      <c r="H133" s="40">
        <f t="shared" si="12"/>
        <v>5791</v>
      </c>
      <c r="I133" s="40">
        <v>1</v>
      </c>
      <c r="J133" s="62">
        <f t="shared" si="13"/>
        <v>5.7910000000000004</v>
      </c>
      <c r="L133" s="40" t="s">
        <v>339</v>
      </c>
    </row>
    <row r="134" spans="1:12" x14ac:dyDescent="0.3">
      <c r="A134" s="40" t="s">
        <v>384</v>
      </c>
      <c r="B134" s="40" t="s">
        <v>92</v>
      </c>
      <c r="C134" s="40" t="s">
        <v>338</v>
      </c>
      <c r="D134" s="40">
        <v>6096</v>
      </c>
      <c r="F134" s="40">
        <v>305</v>
      </c>
      <c r="G134" s="40">
        <v>305</v>
      </c>
      <c r="H134" s="40">
        <f t="shared" si="12"/>
        <v>5791</v>
      </c>
      <c r="I134" s="40">
        <v>1</v>
      </c>
      <c r="J134" s="62">
        <f t="shared" si="13"/>
        <v>5.7910000000000004</v>
      </c>
      <c r="L134" s="40" t="s">
        <v>339</v>
      </c>
    </row>
    <row r="135" spans="1:12" x14ac:dyDescent="0.3">
      <c r="A135" s="40" t="s">
        <v>385</v>
      </c>
      <c r="B135" s="40" t="s">
        <v>92</v>
      </c>
      <c r="C135" s="40" t="s">
        <v>338</v>
      </c>
      <c r="D135" s="40">
        <v>6096</v>
      </c>
      <c r="F135" s="40">
        <v>305</v>
      </c>
      <c r="G135" s="40">
        <v>305</v>
      </c>
      <c r="H135" s="40">
        <f t="shared" si="12"/>
        <v>5791</v>
      </c>
      <c r="I135" s="40">
        <v>1</v>
      </c>
      <c r="J135" s="62">
        <f t="shared" si="13"/>
        <v>5.7910000000000004</v>
      </c>
      <c r="L135" s="40" t="s">
        <v>339</v>
      </c>
    </row>
    <row r="136" spans="1:12" x14ac:dyDescent="0.3">
      <c r="A136" s="40" t="s">
        <v>386</v>
      </c>
      <c r="B136" s="40" t="s">
        <v>98</v>
      </c>
      <c r="C136" s="40" t="s">
        <v>338</v>
      </c>
      <c r="D136" s="40">
        <f>18288-2800</f>
        <v>15488</v>
      </c>
      <c r="F136" s="40">
        <v>305</v>
      </c>
      <c r="H136" s="40">
        <f t="shared" si="12"/>
        <v>15335.5</v>
      </c>
      <c r="I136" s="40">
        <v>1</v>
      </c>
      <c r="J136" s="62">
        <f t="shared" si="13"/>
        <v>15.3355</v>
      </c>
    </row>
    <row r="137" spans="1:12" x14ac:dyDescent="0.3">
      <c r="A137" s="40" t="s">
        <v>387</v>
      </c>
      <c r="B137" s="40" t="s">
        <v>98</v>
      </c>
      <c r="C137" s="40" t="s">
        <v>338</v>
      </c>
      <c r="D137" s="40">
        <f t="shared" ref="D137:D142" si="14">18288-2800</f>
        <v>15488</v>
      </c>
      <c r="F137" s="40">
        <v>305</v>
      </c>
      <c r="H137" s="40">
        <f t="shared" si="12"/>
        <v>15335.5</v>
      </c>
      <c r="I137" s="40">
        <v>1</v>
      </c>
      <c r="J137" s="62">
        <f t="shared" si="13"/>
        <v>15.3355</v>
      </c>
    </row>
    <row r="138" spans="1:12" x14ac:dyDescent="0.3">
      <c r="A138" s="40" t="s">
        <v>388</v>
      </c>
      <c r="B138" s="40" t="s">
        <v>98</v>
      </c>
      <c r="C138" s="40" t="s">
        <v>338</v>
      </c>
      <c r="D138" s="40">
        <f t="shared" si="14"/>
        <v>15488</v>
      </c>
      <c r="F138" s="40">
        <v>305</v>
      </c>
      <c r="H138" s="40">
        <f t="shared" si="12"/>
        <v>15335.5</v>
      </c>
      <c r="I138" s="40">
        <v>1</v>
      </c>
      <c r="J138" s="62">
        <f t="shared" si="13"/>
        <v>15.3355</v>
      </c>
    </row>
    <row r="139" spans="1:12" x14ac:dyDescent="0.3">
      <c r="A139" s="40" t="s">
        <v>387</v>
      </c>
      <c r="B139" s="40" t="s">
        <v>98</v>
      </c>
      <c r="C139" s="40" t="s">
        <v>338</v>
      </c>
      <c r="D139" s="40">
        <f t="shared" si="14"/>
        <v>15488</v>
      </c>
      <c r="F139" s="40">
        <v>305</v>
      </c>
      <c r="H139" s="40">
        <f t="shared" si="12"/>
        <v>15335.5</v>
      </c>
      <c r="I139" s="40">
        <v>1</v>
      </c>
      <c r="J139" s="62">
        <f t="shared" si="13"/>
        <v>15.3355</v>
      </c>
    </row>
    <row r="140" spans="1:12" x14ac:dyDescent="0.3">
      <c r="A140" s="40" t="s">
        <v>389</v>
      </c>
      <c r="B140" s="40" t="s">
        <v>98</v>
      </c>
      <c r="C140" s="40" t="s">
        <v>338</v>
      </c>
      <c r="D140" s="40">
        <f t="shared" si="14"/>
        <v>15488</v>
      </c>
      <c r="F140" s="40">
        <v>305</v>
      </c>
      <c r="H140" s="40">
        <f t="shared" si="12"/>
        <v>15335.5</v>
      </c>
      <c r="I140" s="40">
        <v>1</v>
      </c>
      <c r="J140" s="62">
        <f t="shared" si="13"/>
        <v>15.3355</v>
      </c>
    </row>
    <row r="141" spans="1:12" x14ac:dyDescent="0.3">
      <c r="A141" s="40" t="s">
        <v>390</v>
      </c>
      <c r="B141" s="40" t="s">
        <v>98</v>
      </c>
      <c r="C141" s="40" t="s">
        <v>338</v>
      </c>
      <c r="D141" s="40">
        <f t="shared" si="14"/>
        <v>15488</v>
      </c>
      <c r="F141" s="40">
        <v>305</v>
      </c>
      <c r="H141" s="40">
        <f t="shared" si="12"/>
        <v>15335.5</v>
      </c>
      <c r="I141" s="40">
        <v>1</v>
      </c>
      <c r="J141" s="62">
        <f t="shared" si="13"/>
        <v>15.3355</v>
      </c>
    </row>
    <row r="142" spans="1:12" x14ac:dyDescent="0.3">
      <c r="A142" s="40" t="s">
        <v>391</v>
      </c>
      <c r="B142" s="40" t="s">
        <v>98</v>
      </c>
      <c r="C142" s="40" t="s">
        <v>338</v>
      </c>
      <c r="D142" s="40">
        <f t="shared" si="14"/>
        <v>15488</v>
      </c>
      <c r="F142" s="40">
        <v>305</v>
      </c>
      <c r="H142" s="40">
        <f t="shared" si="12"/>
        <v>15335.5</v>
      </c>
      <c r="I142" s="40">
        <v>1</v>
      </c>
      <c r="J142" s="62">
        <f t="shared" si="13"/>
        <v>15.3355</v>
      </c>
    </row>
    <row r="143" spans="1:12" x14ac:dyDescent="0.3">
      <c r="A143" s="40" t="s">
        <v>392</v>
      </c>
      <c r="B143" s="40" t="s">
        <v>99</v>
      </c>
      <c r="C143" s="40" t="s">
        <v>338</v>
      </c>
      <c r="D143" s="40">
        <f>15240+2800</f>
        <v>18040</v>
      </c>
      <c r="G143" s="40">
        <v>254</v>
      </c>
      <c r="H143" s="40">
        <f t="shared" si="12"/>
        <v>17913</v>
      </c>
      <c r="I143" s="40">
        <v>1</v>
      </c>
      <c r="J143" s="62">
        <f t="shared" si="13"/>
        <v>17.913</v>
      </c>
    </row>
    <row r="144" spans="1:12" x14ac:dyDescent="0.3">
      <c r="A144" s="40" t="s">
        <v>393</v>
      </c>
      <c r="B144" s="40" t="s">
        <v>99</v>
      </c>
      <c r="C144" s="40" t="s">
        <v>338</v>
      </c>
      <c r="D144" s="40">
        <f t="shared" ref="D144:D149" si="15">15240+2800</f>
        <v>18040</v>
      </c>
      <c r="G144" s="40">
        <v>254</v>
      </c>
      <c r="H144" s="40">
        <f t="shared" ref="H144:H189" si="16">D144-((F144+G144)/2)</f>
        <v>17913</v>
      </c>
      <c r="I144" s="40">
        <v>1</v>
      </c>
      <c r="J144" s="62">
        <f t="shared" si="13"/>
        <v>17.913</v>
      </c>
    </row>
    <row r="145" spans="1:10" x14ac:dyDescent="0.3">
      <c r="A145" s="40" t="s">
        <v>394</v>
      </c>
      <c r="B145" s="40" t="s">
        <v>99</v>
      </c>
      <c r="C145" s="40" t="s">
        <v>338</v>
      </c>
      <c r="D145" s="40">
        <f t="shared" si="15"/>
        <v>18040</v>
      </c>
      <c r="G145" s="40">
        <v>254</v>
      </c>
      <c r="H145" s="40">
        <f t="shared" si="16"/>
        <v>17913</v>
      </c>
      <c r="I145" s="40">
        <v>1</v>
      </c>
      <c r="J145" s="62">
        <f t="shared" si="13"/>
        <v>17.913</v>
      </c>
    </row>
    <row r="146" spans="1:10" x14ac:dyDescent="0.3">
      <c r="A146" s="40" t="s">
        <v>393</v>
      </c>
      <c r="B146" s="40" t="s">
        <v>99</v>
      </c>
      <c r="C146" s="40" t="s">
        <v>338</v>
      </c>
      <c r="D146" s="40">
        <f t="shared" si="15"/>
        <v>18040</v>
      </c>
      <c r="G146" s="40">
        <v>254</v>
      </c>
      <c r="H146" s="40">
        <f t="shared" si="16"/>
        <v>17913</v>
      </c>
      <c r="I146" s="40">
        <v>1</v>
      </c>
      <c r="J146" s="62">
        <f t="shared" si="13"/>
        <v>17.913</v>
      </c>
    </row>
    <row r="147" spans="1:10" x14ac:dyDescent="0.3">
      <c r="A147" s="40" t="s">
        <v>395</v>
      </c>
      <c r="B147" s="40" t="s">
        <v>99</v>
      </c>
      <c r="C147" s="40" t="s">
        <v>338</v>
      </c>
      <c r="D147" s="40">
        <f t="shared" si="15"/>
        <v>18040</v>
      </c>
      <c r="G147" s="40">
        <v>254</v>
      </c>
      <c r="H147" s="40">
        <f t="shared" si="16"/>
        <v>17913</v>
      </c>
      <c r="I147" s="40">
        <v>1</v>
      </c>
      <c r="J147" s="62">
        <f t="shared" si="13"/>
        <v>17.913</v>
      </c>
    </row>
    <row r="148" spans="1:10" x14ac:dyDescent="0.3">
      <c r="A148" s="40" t="s">
        <v>396</v>
      </c>
      <c r="B148" s="40" t="s">
        <v>99</v>
      </c>
      <c r="C148" s="40" t="s">
        <v>338</v>
      </c>
      <c r="D148" s="40">
        <f t="shared" si="15"/>
        <v>18040</v>
      </c>
      <c r="G148" s="40">
        <v>254</v>
      </c>
      <c r="H148" s="40">
        <f t="shared" si="16"/>
        <v>17913</v>
      </c>
      <c r="I148" s="40">
        <v>1</v>
      </c>
      <c r="J148" s="62">
        <f t="shared" si="13"/>
        <v>17.913</v>
      </c>
    </row>
    <row r="149" spans="1:10" x14ac:dyDescent="0.3">
      <c r="A149" s="40" t="s">
        <v>397</v>
      </c>
      <c r="B149" s="40" t="s">
        <v>99</v>
      </c>
      <c r="C149" s="40" t="s">
        <v>338</v>
      </c>
      <c r="D149" s="40">
        <f t="shared" si="15"/>
        <v>18040</v>
      </c>
      <c r="G149" s="40">
        <v>254</v>
      </c>
      <c r="H149" s="40">
        <f t="shared" si="16"/>
        <v>17913</v>
      </c>
      <c r="I149" s="40">
        <v>1</v>
      </c>
      <c r="J149" s="62">
        <f t="shared" si="13"/>
        <v>17.913</v>
      </c>
    </row>
    <row r="150" spans="1:10" x14ac:dyDescent="0.3">
      <c r="A150" s="40" t="s">
        <v>398</v>
      </c>
      <c r="B150" s="40" t="s">
        <v>100</v>
      </c>
      <c r="C150" s="40" t="s">
        <v>338</v>
      </c>
      <c r="D150" s="40">
        <f>15240+3009</f>
        <v>18249</v>
      </c>
      <c r="F150" s="40">
        <v>254</v>
      </c>
      <c r="G150" s="40">
        <v>305</v>
      </c>
      <c r="H150" s="40">
        <f t="shared" si="16"/>
        <v>17969.5</v>
      </c>
      <c r="I150" s="40">
        <v>1</v>
      </c>
      <c r="J150" s="62">
        <f t="shared" si="13"/>
        <v>17.9695</v>
      </c>
    </row>
    <row r="151" spans="1:10" x14ac:dyDescent="0.3">
      <c r="A151" s="40" t="s">
        <v>399</v>
      </c>
      <c r="B151" s="40" t="s">
        <v>98</v>
      </c>
      <c r="C151" s="40" t="s">
        <v>338</v>
      </c>
      <c r="D151" s="40">
        <f>15240+2800</f>
        <v>18040</v>
      </c>
      <c r="F151" s="40">
        <v>254</v>
      </c>
      <c r="H151" s="40">
        <f t="shared" si="16"/>
        <v>17913</v>
      </c>
      <c r="I151" s="40">
        <v>1</v>
      </c>
      <c r="J151" s="62">
        <f t="shared" si="13"/>
        <v>17.913</v>
      </c>
    </row>
    <row r="152" spans="1:10" x14ac:dyDescent="0.3">
      <c r="A152" s="40" t="s">
        <v>400</v>
      </c>
      <c r="B152" s="40" t="s">
        <v>98</v>
      </c>
      <c r="C152" s="40" t="s">
        <v>338</v>
      </c>
      <c r="D152" s="40">
        <f t="shared" ref="D152:D155" si="17">15240+2800</f>
        <v>18040</v>
      </c>
      <c r="F152" s="40">
        <v>254</v>
      </c>
      <c r="H152" s="40">
        <f t="shared" si="16"/>
        <v>17913</v>
      </c>
      <c r="I152" s="40">
        <v>1</v>
      </c>
      <c r="J152" s="62">
        <f t="shared" si="13"/>
        <v>17.913</v>
      </c>
    </row>
    <row r="153" spans="1:10" x14ac:dyDescent="0.3">
      <c r="A153" s="40" t="s">
        <v>401</v>
      </c>
      <c r="B153" s="40" t="s">
        <v>98</v>
      </c>
      <c r="C153" s="40" t="s">
        <v>338</v>
      </c>
      <c r="D153" s="40">
        <f t="shared" si="17"/>
        <v>18040</v>
      </c>
      <c r="F153" s="40">
        <v>254</v>
      </c>
      <c r="H153" s="40">
        <f t="shared" si="16"/>
        <v>17913</v>
      </c>
      <c r="I153" s="40">
        <v>1</v>
      </c>
      <c r="J153" s="62">
        <f t="shared" si="13"/>
        <v>17.913</v>
      </c>
    </row>
    <row r="154" spans="1:10" x14ac:dyDescent="0.3">
      <c r="A154" s="40" t="s">
        <v>402</v>
      </c>
      <c r="B154" s="40" t="s">
        <v>98</v>
      </c>
      <c r="C154" s="40" t="s">
        <v>338</v>
      </c>
      <c r="D154" s="40">
        <f t="shared" si="17"/>
        <v>18040</v>
      </c>
      <c r="F154" s="40">
        <v>254</v>
      </c>
      <c r="H154" s="40">
        <f t="shared" si="16"/>
        <v>17913</v>
      </c>
      <c r="I154" s="40">
        <v>1</v>
      </c>
      <c r="J154" s="62">
        <f t="shared" si="13"/>
        <v>17.913</v>
      </c>
    </row>
    <row r="155" spans="1:10" x14ac:dyDescent="0.3">
      <c r="A155" s="40" t="s">
        <v>403</v>
      </c>
      <c r="B155" s="40" t="s">
        <v>98</v>
      </c>
      <c r="C155" s="40" t="s">
        <v>338</v>
      </c>
      <c r="D155" s="40">
        <f t="shared" si="17"/>
        <v>18040</v>
      </c>
      <c r="F155" s="40">
        <v>254</v>
      </c>
      <c r="H155" s="40">
        <f t="shared" si="16"/>
        <v>17913</v>
      </c>
      <c r="I155" s="40">
        <v>1</v>
      </c>
      <c r="J155" s="62">
        <f t="shared" si="13"/>
        <v>17.913</v>
      </c>
    </row>
    <row r="156" spans="1:10" x14ac:dyDescent="0.3">
      <c r="A156" s="40" t="s">
        <v>404</v>
      </c>
      <c r="B156" s="40" t="s">
        <v>98</v>
      </c>
      <c r="C156" s="40" t="s">
        <v>338</v>
      </c>
      <c r="D156" s="40">
        <f>15240</f>
        <v>15240</v>
      </c>
      <c r="F156" s="40">
        <v>254</v>
      </c>
      <c r="G156" s="40">
        <v>254</v>
      </c>
      <c r="H156" s="40">
        <f t="shared" si="16"/>
        <v>14986</v>
      </c>
      <c r="I156" s="40">
        <v>1</v>
      </c>
      <c r="J156" s="62">
        <f t="shared" si="13"/>
        <v>14.986000000000001</v>
      </c>
    </row>
    <row r="157" spans="1:10" x14ac:dyDescent="0.3">
      <c r="A157" s="40" t="s">
        <v>405</v>
      </c>
      <c r="B157" s="40" t="s">
        <v>97</v>
      </c>
      <c r="C157" s="40" t="s">
        <v>338</v>
      </c>
      <c r="D157" s="40">
        <f>6147+6084-2800</f>
        <v>9431</v>
      </c>
      <c r="H157" s="40">
        <f t="shared" si="16"/>
        <v>9431</v>
      </c>
      <c r="I157" s="40">
        <v>1</v>
      </c>
      <c r="J157" s="62">
        <f t="shared" si="13"/>
        <v>9.4309999999999992</v>
      </c>
    </row>
    <row r="158" spans="1:10" x14ac:dyDescent="0.3">
      <c r="A158" s="40" t="s">
        <v>406</v>
      </c>
      <c r="B158" s="40" t="s">
        <v>97</v>
      </c>
      <c r="C158" s="40" t="s">
        <v>338</v>
      </c>
      <c r="D158" s="40">
        <f t="shared" ref="D158:D161" si="18">6147+6084-2800</f>
        <v>9431</v>
      </c>
      <c r="G158" s="40">
        <v>305</v>
      </c>
      <c r="H158" s="40">
        <f t="shared" si="16"/>
        <v>9278.5</v>
      </c>
      <c r="I158" s="40">
        <v>1</v>
      </c>
      <c r="J158" s="62">
        <f t="shared" si="13"/>
        <v>9.2784999999999993</v>
      </c>
    </row>
    <row r="159" spans="1:10" x14ac:dyDescent="0.3">
      <c r="A159" s="40" t="s">
        <v>407</v>
      </c>
      <c r="B159" s="40" t="s">
        <v>97</v>
      </c>
      <c r="C159" s="40" t="s">
        <v>338</v>
      </c>
      <c r="D159" s="40">
        <f t="shared" si="18"/>
        <v>9431</v>
      </c>
      <c r="G159" s="40">
        <v>305</v>
      </c>
      <c r="H159" s="40">
        <f t="shared" si="16"/>
        <v>9278.5</v>
      </c>
      <c r="I159" s="40">
        <v>1</v>
      </c>
      <c r="J159" s="62">
        <f t="shared" si="13"/>
        <v>9.2784999999999993</v>
      </c>
    </row>
    <row r="160" spans="1:10" x14ac:dyDescent="0.3">
      <c r="A160" s="40" t="s">
        <v>408</v>
      </c>
      <c r="B160" s="40" t="s">
        <v>97</v>
      </c>
      <c r="C160" s="40" t="s">
        <v>338</v>
      </c>
      <c r="D160" s="40">
        <f t="shared" si="18"/>
        <v>9431</v>
      </c>
      <c r="G160" s="40">
        <v>305</v>
      </c>
      <c r="H160" s="40">
        <f t="shared" si="16"/>
        <v>9278.5</v>
      </c>
      <c r="I160" s="40">
        <v>1</v>
      </c>
      <c r="J160" s="62">
        <f t="shared" si="13"/>
        <v>9.2784999999999993</v>
      </c>
    </row>
    <row r="161" spans="1:12" x14ac:dyDescent="0.3">
      <c r="A161" s="40" t="s">
        <v>409</v>
      </c>
      <c r="B161" s="40" t="s">
        <v>97</v>
      </c>
      <c r="C161" s="40" t="s">
        <v>338</v>
      </c>
      <c r="D161" s="40">
        <f t="shared" si="18"/>
        <v>9431</v>
      </c>
      <c r="G161" s="40">
        <v>305</v>
      </c>
      <c r="H161" s="40">
        <f t="shared" si="16"/>
        <v>9278.5</v>
      </c>
      <c r="I161" s="40">
        <v>1</v>
      </c>
      <c r="J161" s="62">
        <f t="shared" si="13"/>
        <v>9.2784999999999993</v>
      </c>
    </row>
    <row r="162" spans="1:12" x14ac:dyDescent="0.3">
      <c r="A162" s="40" t="s">
        <v>410</v>
      </c>
      <c r="B162" s="40" t="s">
        <v>93</v>
      </c>
      <c r="C162" s="40" t="s">
        <v>338</v>
      </c>
      <c r="D162" s="40">
        <v>5819</v>
      </c>
      <c r="G162" s="40">
        <v>305</v>
      </c>
      <c r="H162" s="40">
        <f t="shared" si="16"/>
        <v>5666.5</v>
      </c>
      <c r="I162" s="40">
        <v>1</v>
      </c>
      <c r="J162" s="62">
        <f t="shared" si="13"/>
        <v>5.6665000000000001</v>
      </c>
    </row>
    <row r="163" spans="1:12" x14ac:dyDescent="0.3">
      <c r="A163" s="40" t="s">
        <v>411</v>
      </c>
      <c r="B163" s="40" t="s">
        <v>83</v>
      </c>
      <c r="C163" s="40" t="s">
        <v>338</v>
      </c>
      <c r="D163" s="40">
        <f>SQRT((1953^2)+(1953^2))</f>
        <v>2761.9590873146544</v>
      </c>
      <c r="H163" s="40">
        <f t="shared" si="16"/>
        <v>2761.9590873146544</v>
      </c>
      <c r="I163" s="40">
        <v>4</v>
      </c>
      <c r="J163" s="62">
        <f t="shared" si="13"/>
        <v>11.047836349258617</v>
      </c>
    </row>
    <row r="164" spans="1:12" x14ac:dyDescent="0.3">
      <c r="A164" s="40" t="s">
        <v>412</v>
      </c>
      <c r="B164" s="40" t="s">
        <v>83</v>
      </c>
      <c r="C164" s="40" t="s">
        <v>338</v>
      </c>
      <c r="D164" s="40">
        <f>SQRT((1953^2)+(1953^2))</f>
        <v>2761.9590873146544</v>
      </c>
      <c r="H164" s="40">
        <f t="shared" si="16"/>
        <v>2761.9590873146544</v>
      </c>
      <c r="I164" s="40">
        <v>4</v>
      </c>
      <c r="J164" s="62">
        <f t="shared" si="13"/>
        <v>11.047836349258617</v>
      </c>
    </row>
    <row r="165" spans="1:12" x14ac:dyDescent="0.3">
      <c r="A165" s="40" t="s">
        <v>413</v>
      </c>
      <c r="B165" s="40" t="s">
        <v>83</v>
      </c>
      <c r="C165" s="40" t="s">
        <v>338</v>
      </c>
      <c r="D165" s="40">
        <f>SQRT((2032^2)+(2032^2))</f>
        <v>2873.6819587421292</v>
      </c>
      <c r="H165" s="40">
        <f t="shared" si="16"/>
        <v>2873.6819587421292</v>
      </c>
      <c r="I165" s="40">
        <v>4</v>
      </c>
      <c r="J165" s="62">
        <f t="shared" si="13"/>
        <v>11.494727834968517</v>
      </c>
    </row>
    <row r="166" spans="1:12" x14ac:dyDescent="0.3">
      <c r="A166" s="40" t="s">
        <v>414</v>
      </c>
      <c r="B166" s="40" t="s">
        <v>83</v>
      </c>
      <c r="C166" s="40" t="s">
        <v>338</v>
      </c>
      <c r="D166" s="40">
        <f>SQRT((2032^2)+(2032^2))</f>
        <v>2873.6819587421292</v>
      </c>
      <c r="H166" s="40">
        <f t="shared" si="16"/>
        <v>2873.6819587421292</v>
      </c>
      <c r="I166" s="40">
        <v>4</v>
      </c>
      <c r="J166" s="62">
        <f t="shared" si="13"/>
        <v>11.494727834968517</v>
      </c>
    </row>
    <row r="167" spans="1:12" x14ac:dyDescent="0.3">
      <c r="A167" s="40" t="s">
        <v>415</v>
      </c>
      <c r="B167" s="40" t="s">
        <v>87</v>
      </c>
      <c r="C167" s="40" t="s">
        <v>338</v>
      </c>
      <c r="D167" s="40">
        <v>5316</v>
      </c>
      <c r="F167" s="40">
        <v>305</v>
      </c>
      <c r="G167" s="40">
        <v>305</v>
      </c>
      <c r="H167" s="40">
        <f t="shared" si="16"/>
        <v>5011</v>
      </c>
      <c r="I167" s="40">
        <v>1</v>
      </c>
      <c r="J167" s="62">
        <f t="shared" si="13"/>
        <v>5.0110000000000001</v>
      </c>
    </row>
    <row r="168" spans="1:12" x14ac:dyDescent="0.3">
      <c r="A168" s="40" t="s">
        <v>416</v>
      </c>
      <c r="B168" s="40" t="s">
        <v>87</v>
      </c>
      <c r="C168" s="40" t="s">
        <v>338</v>
      </c>
      <c r="D168" s="40">
        <v>6640</v>
      </c>
      <c r="F168" s="40">
        <v>305</v>
      </c>
      <c r="G168" s="40">
        <v>305</v>
      </c>
      <c r="H168" s="40">
        <f t="shared" si="16"/>
        <v>6335</v>
      </c>
      <c r="I168" s="40">
        <v>1</v>
      </c>
      <c r="J168" s="62">
        <f t="shared" si="13"/>
        <v>6.335</v>
      </c>
    </row>
    <row r="169" spans="1:12" x14ac:dyDescent="0.3">
      <c r="A169" s="40" t="s">
        <v>417</v>
      </c>
      <c r="B169" s="40" t="s">
        <v>87</v>
      </c>
      <c r="C169" s="40" t="s">
        <v>338</v>
      </c>
      <c r="D169" s="40">
        <v>6640</v>
      </c>
      <c r="F169" s="40">
        <v>305</v>
      </c>
      <c r="G169" s="40">
        <v>305</v>
      </c>
      <c r="H169" s="40">
        <f t="shared" si="16"/>
        <v>6335</v>
      </c>
      <c r="I169" s="40">
        <v>1</v>
      </c>
      <c r="J169" s="62">
        <f t="shared" si="13"/>
        <v>6.335</v>
      </c>
    </row>
    <row r="170" spans="1:12" x14ac:dyDescent="0.3">
      <c r="A170" s="40" t="s">
        <v>418</v>
      </c>
      <c r="B170" s="40" t="s">
        <v>87</v>
      </c>
      <c r="C170" s="40" t="s">
        <v>338</v>
      </c>
      <c r="D170" s="40">
        <v>5316</v>
      </c>
      <c r="F170" s="40">
        <v>305</v>
      </c>
      <c r="G170" s="40">
        <v>305</v>
      </c>
      <c r="H170" s="40">
        <f t="shared" si="16"/>
        <v>5011</v>
      </c>
      <c r="I170" s="40">
        <v>1</v>
      </c>
      <c r="J170" s="62">
        <f t="shared" si="13"/>
        <v>5.0110000000000001</v>
      </c>
    </row>
    <row r="171" spans="1:12" x14ac:dyDescent="0.3">
      <c r="A171" s="40" t="s">
        <v>419</v>
      </c>
      <c r="B171" s="40" t="s">
        <v>92</v>
      </c>
      <c r="C171" s="40" t="s">
        <v>338</v>
      </c>
      <c r="D171" s="40">
        <v>1900</v>
      </c>
      <c r="H171" s="40">
        <f t="shared" si="16"/>
        <v>1900</v>
      </c>
      <c r="I171" s="40">
        <v>1</v>
      </c>
      <c r="J171" s="62">
        <f t="shared" si="13"/>
        <v>1.9</v>
      </c>
      <c r="L171" s="40" t="s">
        <v>339</v>
      </c>
    </row>
    <row r="172" spans="1:12" x14ac:dyDescent="0.3">
      <c r="A172" s="40" t="s">
        <v>420</v>
      </c>
      <c r="B172" s="40" t="s">
        <v>92</v>
      </c>
      <c r="C172" s="40" t="s">
        <v>338</v>
      </c>
      <c r="D172" s="40">
        <v>1900</v>
      </c>
      <c r="H172" s="40">
        <f t="shared" si="16"/>
        <v>1900</v>
      </c>
      <c r="I172" s="40">
        <v>1</v>
      </c>
      <c r="J172" s="62">
        <f t="shared" si="13"/>
        <v>1.9</v>
      </c>
      <c r="L172" s="40" t="s">
        <v>339</v>
      </c>
    </row>
    <row r="173" spans="1:12" x14ac:dyDescent="0.3">
      <c r="A173" s="40" t="s">
        <v>421</v>
      </c>
      <c r="B173" s="40" t="s">
        <v>92</v>
      </c>
      <c r="C173" s="40" t="s">
        <v>338</v>
      </c>
      <c r="D173" s="40">
        <f>1276+1276+6640</f>
        <v>9192</v>
      </c>
      <c r="H173" s="40">
        <f t="shared" si="16"/>
        <v>9192</v>
      </c>
      <c r="I173" s="40">
        <v>1</v>
      </c>
      <c r="J173" s="62">
        <f t="shared" si="13"/>
        <v>9.1920000000000002</v>
      </c>
      <c r="L173" s="40" t="s">
        <v>339</v>
      </c>
    </row>
    <row r="174" spans="1:12" x14ac:dyDescent="0.3">
      <c r="A174" s="40" t="s">
        <v>422</v>
      </c>
      <c r="B174" s="40" t="s">
        <v>92</v>
      </c>
      <c r="C174" s="40" t="s">
        <v>338</v>
      </c>
      <c r="D174" s="40">
        <f>1276+1276+6640</f>
        <v>9192</v>
      </c>
      <c r="H174" s="40">
        <f t="shared" si="16"/>
        <v>9192</v>
      </c>
      <c r="I174" s="40">
        <v>1</v>
      </c>
      <c r="J174" s="62">
        <f t="shared" si="13"/>
        <v>9.1920000000000002</v>
      </c>
      <c r="L174" s="40" t="s">
        <v>339</v>
      </c>
    </row>
    <row r="175" spans="1:12" x14ac:dyDescent="0.3">
      <c r="A175" s="40" t="s">
        <v>423</v>
      </c>
      <c r="B175" s="40" t="s">
        <v>92</v>
      </c>
      <c r="C175" s="40" t="s">
        <v>338</v>
      </c>
      <c r="D175" s="40">
        <v>1900</v>
      </c>
      <c r="F175" s="40">
        <v>305</v>
      </c>
      <c r="H175" s="40">
        <f t="shared" si="16"/>
        <v>1747.5</v>
      </c>
      <c r="I175" s="40">
        <v>3</v>
      </c>
      <c r="J175" s="62">
        <f t="shared" si="13"/>
        <v>5.2424999999999997</v>
      </c>
    </row>
    <row r="176" spans="1:12" x14ac:dyDescent="0.3">
      <c r="A176" s="40" t="s">
        <v>424</v>
      </c>
      <c r="B176" s="40" t="s">
        <v>90</v>
      </c>
      <c r="C176" s="40" t="s">
        <v>338</v>
      </c>
      <c r="D176" s="40">
        <v>1900</v>
      </c>
      <c r="H176" s="40">
        <f t="shared" si="16"/>
        <v>1900</v>
      </c>
      <c r="I176" s="40">
        <v>12</v>
      </c>
      <c r="J176" s="62">
        <f t="shared" si="13"/>
        <v>22.8</v>
      </c>
    </row>
    <row r="177" spans="1:12" x14ac:dyDescent="0.3">
      <c r="A177" s="40" t="s">
        <v>425</v>
      </c>
      <c r="B177" s="40" t="s">
        <v>83</v>
      </c>
      <c r="C177" s="40" t="s">
        <v>338</v>
      </c>
      <c r="D177" s="40">
        <f>18382+105+105</f>
        <v>18592</v>
      </c>
      <c r="H177" s="40">
        <f t="shared" si="16"/>
        <v>18592</v>
      </c>
      <c r="I177" s="40">
        <v>1</v>
      </c>
      <c r="J177" s="62">
        <f t="shared" si="13"/>
        <v>18.591999999999999</v>
      </c>
    </row>
    <row r="178" spans="1:12" x14ac:dyDescent="0.3">
      <c r="A178" s="40" t="s">
        <v>426</v>
      </c>
      <c r="B178" s="40" t="s">
        <v>87</v>
      </c>
      <c r="C178" s="40" t="s">
        <v>338</v>
      </c>
      <c r="D178" s="40">
        <v>5364</v>
      </c>
      <c r="F178" s="40">
        <v>305</v>
      </c>
      <c r="G178" s="40">
        <v>305</v>
      </c>
      <c r="H178" s="40">
        <f t="shared" si="16"/>
        <v>5059</v>
      </c>
      <c r="I178" s="40">
        <v>1</v>
      </c>
      <c r="J178" s="62">
        <f t="shared" si="13"/>
        <v>5.0590000000000002</v>
      </c>
    </row>
    <row r="179" spans="1:12" x14ac:dyDescent="0.3">
      <c r="A179" s="40" t="s">
        <v>427</v>
      </c>
      <c r="B179" s="40" t="s">
        <v>87</v>
      </c>
      <c r="C179" s="40" t="s">
        <v>338</v>
      </c>
      <c r="D179" s="40">
        <v>4723</v>
      </c>
      <c r="F179" s="40">
        <v>305</v>
      </c>
      <c r="G179" s="40">
        <v>305</v>
      </c>
      <c r="H179" s="40">
        <f t="shared" si="16"/>
        <v>4418</v>
      </c>
      <c r="I179" s="40">
        <v>1</v>
      </c>
      <c r="J179" s="62">
        <f t="shared" si="13"/>
        <v>4.4180000000000001</v>
      </c>
    </row>
    <row r="180" spans="1:12" x14ac:dyDescent="0.3">
      <c r="A180" s="40" t="s">
        <v>428</v>
      </c>
      <c r="B180" s="40" t="s">
        <v>92</v>
      </c>
      <c r="C180" s="40" t="s">
        <v>338</v>
      </c>
      <c r="D180" s="40">
        <v>9175</v>
      </c>
      <c r="F180" s="40">
        <v>305</v>
      </c>
      <c r="G180" s="40">
        <v>305</v>
      </c>
      <c r="H180" s="40">
        <f t="shared" si="16"/>
        <v>8870</v>
      </c>
      <c r="I180" s="40">
        <v>1</v>
      </c>
      <c r="J180" s="62">
        <f t="shared" si="13"/>
        <v>8.8699999999999992</v>
      </c>
      <c r="L180" s="40" t="s">
        <v>339</v>
      </c>
    </row>
    <row r="181" spans="1:12" x14ac:dyDescent="0.3">
      <c r="A181" s="40" t="s">
        <v>429</v>
      </c>
      <c r="B181" s="40" t="s">
        <v>92</v>
      </c>
      <c r="C181" s="40" t="s">
        <v>338</v>
      </c>
      <c r="D181" s="40">
        <v>1900</v>
      </c>
      <c r="F181" s="40">
        <v>305</v>
      </c>
      <c r="G181" s="40">
        <v>305</v>
      </c>
      <c r="H181" s="40">
        <f t="shared" si="16"/>
        <v>1595</v>
      </c>
      <c r="I181" s="40">
        <v>1</v>
      </c>
      <c r="J181" s="62">
        <f t="shared" si="13"/>
        <v>1.595</v>
      </c>
      <c r="L181" s="40" t="s">
        <v>339</v>
      </c>
    </row>
    <row r="182" spans="1:12" x14ac:dyDescent="0.3">
      <c r="A182" s="40" t="s">
        <v>430</v>
      </c>
      <c r="B182" s="40" t="s">
        <v>90</v>
      </c>
      <c r="C182" s="40" t="s">
        <v>338</v>
      </c>
      <c r="D182" s="40">
        <v>1900</v>
      </c>
      <c r="F182" s="40">
        <v>305</v>
      </c>
      <c r="G182" s="40">
        <v>305</v>
      </c>
      <c r="H182" s="40">
        <f t="shared" si="16"/>
        <v>1595</v>
      </c>
      <c r="I182" s="40">
        <v>5</v>
      </c>
      <c r="J182" s="62">
        <f t="shared" si="13"/>
        <v>7.9749999999999996</v>
      </c>
    </row>
    <row r="183" spans="1:12" x14ac:dyDescent="0.3">
      <c r="A183" s="40" t="s">
        <v>423</v>
      </c>
      <c r="B183" s="40" t="s">
        <v>92</v>
      </c>
      <c r="C183" s="40" t="s">
        <v>338</v>
      </c>
      <c r="D183" s="40">
        <v>1900</v>
      </c>
      <c r="F183" s="40">
        <v>305</v>
      </c>
      <c r="H183" s="40">
        <f t="shared" si="16"/>
        <v>1747.5</v>
      </c>
      <c r="I183" s="40">
        <v>4</v>
      </c>
      <c r="J183" s="62">
        <f t="shared" si="13"/>
        <v>6.99</v>
      </c>
    </row>
    <row r="184" spans="1:12" x14ac:dyDescent="0.3">
      <c r="A184" s="40" t="s">
        <v>431</v>
      </c>
      <c r="B184" s="40" t="s">
        <v>90</v>
      </c>
      <c r="C184" s="40" t="s">
        <v>338</v>
      </c>
      <c r="D184" s="40">
        <v>1900</v>
      </c>
      <c r="H184" s="40">
        <f t="shared" si="16"/>
        <v>1900</v>
      </c>
      <c r="I184" s="40">
        <v>7</v>
      </c>
      <c r="J184" s="62">
        <f t="shared" si="13"/>
        <v>13.3</v>
      </c>
    </row>
    <row r="185" spans="1:12" x14ac:dyDescent="0.3">
      <c r="A185" s="40" t="s">
        <v>432</v>
      </c>
      <c r="B185" s="40" t="s">
        <v>87</v>
      </c>
      <c r="C185" s="40" t="s">
        <v>338</v>
      </c>
      <c r="D185" s="40">
        <v>8643</v>
      </c>
      <c r="F185" s="40">
        <v>305</v>
      </c>
      <c r="G185" s="40">
        <v>305</v>
      </c>
      <c r="H185" s="40">
        <f t="shared" si="16"/>
        <v>8338</v>
      </c>
      <c r="I185" s="40">
        <v>1</v>
      </c>
      <c r="J185" s="62">
        <f t="shared" si="13"/>
        <v>8.3379999999999992</v>
      </c>
    </row>
    <row r="186" spans="1:12" x14ac:dyDescent="0.3">
      <c r="A186" s="40" t="s">
        <v>433</v>
      </c>
      <c r="B186" s="40" t="s">
        <v>87</v>
      </c>
      <c r="C186" s="40" t="s">
        <v>338</v>
      </c>
      <c r="D186" s="40">
        <v>7816</v>
      </c>
      <c r="F186" s="40">
        <v>305</v>
      </c>
      <c r="G186" s="40">
        <v>305</v>
      </c>
      <c r="H186" s="40">
        <f t="shared" si="16"/>
        <v>7511</v>
      </c>
      <c r="I186" s="40">
        <v>1</v>
      </c>
      <c r="J186" s="62">
        <f t="shared" si="13"/>
        <v>7.5110000000000001</v>
      </c>
    </row>
    <row r="187" spans="1:12" x14ac:dyDescent="0.3">
      <c r="A187" s="40" t="s">
        <v>434</v>
      </c>
      <c r="B187" s="40" t="s">
        <v>92</v>
      </c>
      <c r="C187" s="40" t="s">
        <v>338</v>
      </c>
      <c r="D187" s="40">
        <v>12280</v>
      </c>
      <c r="H187" s="40">
        <f t="shared" si="16"/>
        <v>12280</v>
      </c>
      <c r="I187" s="40">
        <v>1</v>
      </c>
      <c r="J187" s="62">
        <f t="shared" si="13"/>
        <v>12.28</v>
      </c>
      <c r="L187" s="40" t="s">
        <v>339</v>
      </c>
    </row>
    <row r="188" spans="1:12" x14ac:dyDescent="0.3">
      <c r="A188" s="40" t="s">
        <v>435</v>
      </c>
      <c r="B188" s="40" t="s">
        <v>92</v>
      </c>
      <c r="C188" s="40" t="s">
        <v>338</v>
      </c>
      <c r="D188" s="40">
        <v>1900</v>
      </c>
      <c r="H188" s="40">
        <f t="shared" si="16"/>
        <v>1900</v>
      </c>
      <c r="I188" s="40">
        <v>1</v>
      </c>
      <c r="J188" s="62">
        <f t="shared" si="13"/>
        <v>1.9</v>
      </c>
      <c r="L188" s="40" t="s">
        <v>339</v>
      </c>
    </row>
    <row r="189" spans="1:12" x14ac:dyDescent="0.3">
      <c r="A189" s="40" t="s">
        <v>425</v>
      </c>
      <c r="B189" s="40" t="s">
        <v>83</v>
      </c>
      <c r="C189" s="40" t="s">
        <v>338</v>
      </c>
      <c r="D189" s="40">
        <f>1282+1282+7816+1276+1276+4723</f>
        <v>17655</v>
      </c>
      <c r="H189" s="40">
        <f t="shared" si="16"/>
        <v>17655</v>
      </c>
      <c r="I189" s="40">
        <v>1</v>
      </c>
      <c r="J189" s="62">
        <f t="shared" si="13"/>
        <v>17.655000000000001</v>
      </c>
    </row>
    <row r="190" spans="1:12" x14ac:dyDescent="0.3">
      <c r="A190" s="40" t="s">
        <v>436</v>
      </c>
      <c r="B190" s="40" t="s">
        <v>83</v>
      </c>
      <c r="C190" s="40" t="s">
        <v>437</v>
      </c>
      <c r="D190" s="40">
        <v>2032</v>
      </c>
      <c r="H190" s="40">
        <f t="shared" ref="H190:H193" si="19">D190</f>
        <v>2032</v>
      </c>
      <c r="I190" s="40">
        <v>2</v>
      </c>
      <c r="J190" s="62">
        <f t="shared" si="13"/>
        <v>4.0640000000000001</v>
      </c>
    </row>
    <row r="191" spans="1:12" x14ac:dyDescent="0.3">
      <c r="A191" s="40" t="s">
        <v>438</v>
      </c>
      <c r="B191" s="40" t="s">
        <v>83</v>
      </c>
      <c r="C191" s="40" t="s">
        <v>437</v>
      </c>
      <c r="D191" s="40">
        <v>2032</v>
      </c>
      <c r="H191" s="40">
        <f t="shared" si="19"/>
        <v>2032</v>
      </c>
      <c r="I191" s="40">
        <v>4</v>
      </c>
      <c r="J191" s="62">
        <f t="shared" si="13"/>
        <v>8.1280000000000001</v>
      </c>
    </row>
    <row r="192" spans="1:12" x14ac:dyDescent="0.3">
      <c r="A192" s="40" t="s">
        <v>439</v>
      </c>
      <c r="B192" s="40" t="s">
        <v>83</v>
      </c>
      <c r="C192" s="40" t="s">
        <v>437</v>
      </c>
      <c r="D192" s="40">
        <v>1905</v>
      </c>
      <c r="H192" s="40">
        <f t="shared" si="19"/>
        <v>1905</v>
      </c>
      <c r="I192" s="40">
        <v>2</v>
      </c>
      <c r="J192" s="62">
        <f t="shared" si="13"/>
        <v>3.81</v>
      </c>
    </row>
    <row r="193" spans="1:10" x14ac:dyDescent="0.3">
      <c r="A193" s="40" t="s">
        <v>440</v>
      </c>
      <c r="B193" s="40" t="s">
        <v>83</v>
      </c>
      <c r="C193" s="40" t="s">
        <v>437</v>
      </c>
      <c r="D193" s="40">
        <v>1905</v>
      </c>
      <c r="H193" s="40">
        <f t="shared" si="19"/>
        <v>1905</v>
      </c>
      <c r="I193" s="40">
        <v>2</v>
      </c>
      <c r="J193" s="62">
        <f t="shared" si="13"/>
        <v>3.81</v>
      </c>
    </row>
    <row r="194" spans="1:10" x14ac:dyDescent="0.3">
      <c r="A194" s="40" t="s">
        <v>441</v>
      </c>
      <c r="B194" s="40" t="s">
        <v>101</v>
      </c>
      <c r="C194" s="40" t="s">
        <v>442</v>
      </c>
      <c r="D194" s="40">
        <v>16459</v>
      </c>
      <c r="H194" s="40">
        <f t="shared" ref="H194" si="20">D194-(1.5*(0.5*(F194+G194)))</f>
        <v>16459</v>
      </c>
      <c r="I194" s="40">
        <f>14*6</f>
        <v>84</v>
      </c>
      <c r="J194" s="62">
        <f t="shared" si="13"/>
        <v>1382.556</v>
      </c>
    </row>
    <row r="195" spans="1:10" x14ac:dyDescent="0.3">
      <c r="A195" s="40" t="s">
        <v>441</v>
      </c>
      <c r="B195" s="40" t="s">
        <v>101</v>
      </c>
      <c r="C195" s="40" t="s">
        <v>442</v>
      </c>
      <c r="D195" s="40">
        <v>16459</v>
      </c>
      <c r="F195" s="40">
        <v>305</v>
      </c>
      <c r="G195" s="40">
        <v>254</v>
      </c>
      <c r="H195" s="40">
        <f>D195-(1.5*(0.5*(F195+G195)))</f>
        <v>16039.75</v>
      </c>
      <c r="I195" s="40">
        <f>1</f>
        <v>1</v>
      </c>
      <c r="J195" s="62">
        <f t="shared" ref="J195:J258" si="21">H195*I195/1000</f>
        <v>16.039750000000002</v>
      </c>
    </row>
    <row r="196" spans="1:10" x14ac:dyDescent="0.3">
      <c r="A196" s="40" t="s">
        <v>441</v>
      </c>
      <c r="B196" s="40" t="s">
        <v>101</v>
      </c>
      <c r="C196" s="40" t="s">
        <v>442</v>
      </c>
      <c r="D196" s="40">
        <v>16459</v>
      </c>
      <c r="F196" s="40">
        <v>254</v>
      </c>
      <c r="G196" s="40">
        <v>254</v>
      </c>
      <c r="H196" s="40">
        <f t="shared" ref="H196:H229" si="22">D196-(1.5*(0.5*(F196+G196)))</f>
        <v>16078</v>
      </c>
      <c r="I196" s="40">
        <v>6</v>
      </c>
      <c r="J196" s="62">
        <f t="shared" si="21"/>
        <v>96.468000000000004</v>
      </c>
    </row>
    <row r="197" spans="1:10" x14ac:dyDescent="0.3">
      <c r="A197" s="40" t="s">
        <v>441</v>
      </c>
      <c r="B197" s="40" t="s">
        <v>101</v>
      </c>
      <c r="C197" s="40" t="s">
        <v>442</v>
      </c>
      <c r="D197" s="40">
        <v>16459</v>
      </c>
      <c r="F197" s="40">
        <v>305</v>
      </c>
      <c r="H197" s="40">
        <f t="shared" si="22"/>
        <v>16230.25</v>
      </c>
      <c r="I197" s="40">
        <v>4</v>
      </c>
      <c r="J197" s="62">
        <f t="shared" si="21"/>
        <v>64.921000000000006</v>
      </c>
    </row>
    <row r="198" spans="1:10" x14ac:dyDescent="0.3">
      <c r="A198" s="40" t="s">
        <v>441</v>
      </c>
      <c r="B198" s="40" t="s">
        <v>101</v>
      </c>
      <c r="C198" s="40" t="s">
        <v>442</v>
      </c>
      <c r="D198" s="40">
        <v>15231</v>
      </c>
      <c r="F198" s="40">
        <v>305</v>
      </c>
      <c r="H198" s="40">
        <f t="shared" si="22"/>
        <v>15002.25</v>
      </c>
      <c r="I198" s="40">
        <v>2</v>
      </c>
      <c r="J198" s="62">
        <f t="shared" si="21"/>
        <v>30.0045</v>
      </c>
    </row>
    <row r="199" spans="1:10" x14ac:dyDescent="0.3">
      <c r="A199" s="40" t="s">
        <v>441</v>
      </c>
      <c r="B199" s="40" t="s">
        <v>101</v>
      </c>
      <c r="C199" s="40" t="s">
        <v>442</v>
      </c>
      <c r="D199" s="40">
        <v>15231</v>
      </c>
      <c r="F199" s="40">
        <v>254</v>
      </c>
      <c r="G199" s="40">
        <v>305</v>
      </c>
      <c r="H199" s="40">
        <f t="shared" si="22"/>
        <v>14811.75</v>
      </c>
      <c r="I199" s="40">
        <v>1</v>
      </c>
      <c r="J199" s="62">
        <f t="shared" si="21"/>
        <v>14.81175</v>
      </c>
    </row>
    <row r="200" spans="1:10" x14ac:dyDescent="0.3">
      <c r="A200" s="40" t="s">
        <v>441</v>
      </c>
      <c r="B200" s="40" t="s">
        <v>101</v>
      </c>
      <c r="C200" s="40" t="s">
        <v>442</v>
      </c>
      <c r="D200" s="40">
        <v>15231</v>
      </c>
      <c r="G200" s="40">
        <v>305</v>
      </c>
      <c r="H200" s="40">
        <f t="shared" si="22"/>
        <v>15002.25</v>
      </c>
      <c r="I200" s="40">
        <v>1</v>
      </c>
      <c r="J200" s="62">
        <f t="shared" si="21"/>
        <v>15.00225</v>
      </c>
    </row>
    <row r="201" spans="1:10" x14ac:dyDescent="0.3">
      <c r="A201" s="40" t="s">
        <v>441</v>
      </c>
      <c r="B201" s="40" t="s">
        <v>101</v>
      </c>
      <c r="C201" s="40" t="s">
        <v>442</v>
      </c>
      <c r="D201" s="40">
        <v>15231</v>
      </c>
      <c r="F201" s="40">
        <v>254</v>
      </c>
      <c r="H201" s="40">
        <f t="shared" si="22"/>
        <v>15040.5</v>
      </c>
      <c r="I201" s="40">
        <v>1</v>
      </c>
      <c r="J201" s="62">
        <f t="shared" si="21"/>
        <v>15.0405</v>
      </c>
    </row>
    <row r="202" spans="1:10" x14ac:dyDescent="0.3">
      <c r="A202" s="40" t="s">
        <v>441</v>
      </c>
      <c r="B202" s="40" t="s">
        <v>101</v>
      </c>
      <c r="C202" s="40" t="s">
        <v>442</v>
      </c>
      <c r="D202" s="40">
        <v>15231</v>
      </c>
      <c r="H202" s="40">
        <f t="shared" si="22"/>
        <v>15231</v>
      </c>
      <c r="I202" s="40">
        <v>20</v>
      </c>
      <c r="J202" s="62">
        <f t="shared" si="21"/>
        <v>304.62</v>
      </c>
    </row>
    <row r="203" spans="1:10" x14ac:dyDescent="0.3">
      <c r="A203" s="40" t="s">
        <v>441</v>
      </c>
      <c r="B203" s="40" t="s">
        <v>101</v>
      </c>
      <c r="C203" s="40" t="s">
        <v>442</v>
      </c>
      <c r="D203" s="40">
        <v>16459</v>
      </c>
      <c r="F203" s="40">
        <v>254</v>
      </c>
      <c r="G203" s="40">
        <v>254</v>
      </c>
      <c r="H203" s="40">
        <f t="shared" si="22"/>
        <v>16078</v>
      </c>
      <c r="I203" s="40">
        <v>6</v>
      </c>
      <c r="J203" s="62">
        <f t="shared" si="21"/>
        <v>96.468000000000004</v>
      </c>
    </row>
    <row r="204" spans="1:10" x14ac:dyDescent="0.3">
      <c r="A204" s="40" t="s">
        <v>441</v>
      </c>
      <c r="B204" s="40" t="s">
        <v>101</v>
      </c>
      <c r="C204" s="40" t="s">
        <v>442</v>
      </c>
      <c r="D204" s="40">
        <v>16459</v>
      </c>
      <c r="F204" s="40">
        <v>254</v>
      </c>
      <c r="G204" s="40">
        <v>254</v>
      </c>
      <c r="H204" s="40">
        <f t="shared" si="22"/>
        <v>16078</v>
      </c>
      <c r="I204" s="40">
        <v>5</v>
      </c>
      <c r="J204" s="62">
        <f t="shared" si="21"/>
        <v>80.39</v>
      </c>
    </row>
    <row r="205" spans="1:10" x14ac:dyDescent="0.3">
      <c r="A205" s="40" t="s">
        <v>441</v>
      </c>
      <c r="B205" s="40" t="s">
        <v>101</v>
      </c>
      <c r="C205" s="40" t="s">
        <v>442</v>
      </c>
      <c r="D205" s="40">
        <v>16459</v>
      </c>
      <c r="H205" s="40">
        <f t="shared" si="22"/>
        <v>16459</v>
      </c>
      <c r="I205" s="40">
        <f>14*4</f>
        <v>56</v>
      </c>
      <c r="J205" s="62">
        <f t="shared" si="21"/>
        <v>921.70399999999995</v>
      </c>
    </row>
    <row r="206" spans="1:10" x14ac:dyDescent="0.3">
      <c r="A206" s="40" t="s">
        <v>441</v>
      </c>
      <c r="B206" s="40" t="s">
        <v>101</v>
      </c>
      <c r="C206" s="40" t="s">
        <v>442</v>
      </c>
      <c r="D206" s="40">
        <v>16459</v>
      </c>
      <c r="H206" s="40">
        <f t="shared" si="22"/>
        <v>16459</v>
      </c>
      <c r="I206" s="40">
        <v>10</v>
      </c>
      <c r="J206" s="62">
        <f t="shared" si="21"/>
        <v>164.59</v>
      </c>
    </row>
    <row r="207" spans="1:10" x14ac:dyDescent="0.3">
      <c r="A207" s="40" t="s">
        <v>441</v>
      </c>
      <c r="B207" s="40" t="s">
        <v>101</v>
      </c>
      <c r="C207" s="40" t="s">
        <v>442</v>
      </c>
      <c r="D207" s="40">
        <v>16459</v>
      </c>
      <c r="H207" s="40">
        <f t="shared" si="22"/>
        <v>16459</v>
      </c>
      <c r="I207" s="40">
        <v>9</v>
      </c>
      <c r="J207" s="62">
        <f t="shared" si="21"/>
        <v>148.131</v>
      </c>
    </row>
    <row r="208" spans="1:10" x14ac:dyDescent="0.3">
      <c r="A208" s="40" t="s">
        <v>441</v>
      </c>
      <c r="B208" s="40" t="s">
        <v>101</v>
      </c>
      <c r="C208" s="40" t="s">
        <v>442</v>
      </c>
      <c r="D208" s="40">
        <v>15142</v>
      </c>
      <c r="H208" s="40">
        <f t="shared" si="22"/>
        <v>15142</v>
      </c>
      <c r="I208" s="40">
        <v>1</v>
      </c>
      <c r="J208" s="62">
        <f t="shared" si="21"/>
        <v>15.141999999999999</v>
      </c>
    </row>
    <row r="209" spans="1:10" x14ac:dyDescent="0.3">
      <c r="A209" s="40" t="s">
        <v>441</v>
      </c>
      <c r="B209" s="40" t="s">
        <v>101</v>
      </c>
      <c r="C209" s="40" t="s">
        <v>442</v>
      </c>
      <c r="D209" s="40">
        <v>13711</v>
      </c>
      <c r="G209" s="40">
        <v>254</v>
      </c>
      <c r="H209" s="40">
        <f t="shared" si="22"/>
        <v>13520.5</v>
      </c>
      <c r="I209" s="40">
        <v>1</v>
      </c>
      <c r="J209" s="62">
        <f t="shared" si="21"/>
        <v>13.5205</v>
      </c>
    </row>
    <row r="210" spans="1:10" x14ac:dyDescent="0.3">
      <c r="A210" s="40" t="s">
        <v>441</v>
      </c>
      <c r="B210" s="40" t="s">
        <v>101</v>
      </c>
      <c r="C210" s="40" t="s">
        <v>442</v>
      </c>
      <c r="D210" s="40">
        <v>1279.5</v>
      </c>
      <c r="F210" s="40">
        <v>254</v>
      </c>
      <c r="H210" s="40">
        <f t="shared" si="22"/>
        <v>1089</v>
      </c>
      <c r="I210" s="40">
        <v>1</v>
      </c>
      <c r="J210" s="62">
        <f t="shared" si="21"/>
        <v>1.089</v>
      </c>
    </row>
    <row r="211" spans="1:10" x14ac:dyDescent="0.3">
      <c r="A211" s="40" t="s">
        <v>441</v>
      </c>
      <c r="B211" s="40" t="s">
        <v>101</v>
      </c>
      <c r="C211" s="40" t="s">
        <v>442</v>
      </c>
      <c r="D211" s="40">
        <v>10848.3</v>
      </c>
      <c r="H211" s="40">
        <f t="shared" si="22"/>
        <v>10848.3</v>
      </c>
      <c r="I211" s="40">
        <v>1</v>
      </c>
      <c r="J211" s="62">
        <f t="shared" si="21"/>
        <v>10.8483</v>
      </c>
    </row>
    <row r="212" spans="1:10" x14ac:dyDescent="0.3">
      <c r="A212" s="40" t="s">
        <v>441</v>
      </c>
      <c r="B212" s="40" t="s">
        <v>101</v>
      </c>
      <c r="C212" s="40" t="s">
        <v>442</v>
      </c>
      <c r="D212" s="40">
        <v>9417</v>
      </c>
      <c r="H212" s="40">
        <f t="shared" si="22"/>
        <v>9417</v>
      </c>
      <c r="I212" s="40">
        <v>1</v>
      </c>
      <c r="J212" s="62">
        <f t="shared" si="21"/>
        <v>9.4169999999999998</v>
      </c>
    </row>
    <row r="213" spans="1:10" x14ac:dyDescent="0.3">
      <c r="A213" s="40" t="s">
        <v>441</v>
      </c>
      <c r="B213" s="40" t="s">
        <v>101</v>
      </c>
      <c r="C213" s="40" t="s">
        <v>442</v>
      </c>
      <c r="D213" s="40">
        <v>7986</v>
      </c>
      <c r="H213" s="40">
        <f t="shared" si="22"/>
        <v>7986</v>
      </c>
      <c r="I213" s="40">
        <v>1</v>
      </c>
      <c r="J213" s="62">
        <f t="shared" si="21"/>
        <v>7.9859999999999998</v>
      </c>
    </row>
    <row r="214" spans="1:10" x14ac:dyDescent="0.3">
      <c r="A214" s="40" t="s">
        <v>441</v>
      </c>
      <c r="B214" s="40" t="s">
        <v>101</v>
      </c>
      <c r="C214" s="40" t="s">
        <v>442</v>
      </c>
      <c r="D214" s="40">
        <v>15857</v>
      </c>
      <c r="H214" s="40">
        <f t="shared" si="22"/>
        <v>15857</v>
      </c>
      <c r="I214" s="40">
        <v>1</v>
      </c>
      <c r="J214" s="62">
        <f t="shared" si="21"/>
        <v>15.856999999999999</v>
      </c>
    </row>
    <row r="215" spans="1:10" x14ac:dyDescent="0.3">
      <c r="A215" s="40" t="s">
        <v>441</v>
      </c>
      <c r="B215" s="40" t="s">
        <v>101</v>
      </c>
      <c r="C215" s="40" t="s">
        <v>442</v>
      </c>
      <c r="D215" s="40">
        <v>14426</v>
      </c>
      <c r="H215" s="40">
        <f t="shared" si="22"/>
        <v>14426</v>
      </c>
      <c r="I215" s="40">
        <v>1</v>
      </c>
      <c r="J215" s="62">
        <f t="shared" si="21"/>
        <v>14.426</v>
      </c>
    </row>
    <row r="216" spans="1:10" x14ac:dyDescent="0.3">
      <c r="A216" s="40" t="s">
        <v>441</v>
      </c>
      <c r="B216" s="40" t="s">
        <v>101</v>
      </c>
      <c r="C216" s="40" t="s">
        <v>442</v>
      </c>
      <c r="D216" s="40">
        <v>12995</v>
      </c>
      <c r="H216" s="40">
        <f t="shared" si="22"/>
        <v>12995</v>
      </c>
      <c r="I216" s="40">
        <v>1</v>
      </c>
      <c r="J216" s="62">
        <f t="shared" si="21"/>
        <v>12.994999999999999</v>
      </c>
    </row>
    <row r="217" spans="1:10" x14ac:dyDescent="0.3">
      <c r="A217" s="40" t="s">
        <v>441</v>
      </c>
      <c r="B217" s="40" t="s">
        <v>101</v>
      </c>
      <c r="C217" s="40" t="s">
        <v>442</v>
      </c>
      <c r="D217" s="40">
        <v>11564</v>
      </c>
      <c r="H217" s="40">
        <f t="shared" si="22"/>
        <v>11564</v>
      </c>
      <c r="I217" s="40">
        <v>1</v>
      </c>
      <c r="J217" s="62">
        <f t="shared" si="21"/>
        <v>11.564</v>
      </c>
    </row>
    <row r="218" spans="1:10" x14ac:dyDescent="0.3">
      <c r="A218" s="40" t="s">
        <v>441</v>
      </c>
      <c r="B218" s="40" t="s">
        <v>101</v>
      </c>
      <c r="C218" s="40" t="s">
        <v>442</v>
      </c>
      <c r="D218" s="40">
        <v>10133</v>
      </c>
      <c r="H218" s="40">
        <f t="shared" si="22"/>
        <v>10133</v>
      </c>
      <c r="I218" s="40">
        <v>1</v>
      </c>
      <c r="J218" s="62">
        <f t="shared" si="21"/>
        <v>10.132999999999999</v>
      </c>
    </row>
    <row r="219" spans="1:10" x14ac:dyDescent="0.3">
      <c r="A219" s="40" t="s">
        <v>441</v>
      </c>
      <c r="B219" s="40" t="s">
        <v>101</v>
      </c>
      <c r="C219" s="40" t="s">
        <v>442</v>
      </c>
      <c r="D219" s="40">
        <v>8701</v>
      </c>
      <c r="H219" s="40">
        <f t="shared" si="22"/>
        <v>8701</v>
      </c>
      <c r="I219" s="40">
        <v>1</v>
      </c>
      <c r="J219" s="62">
        <f t="shared" si="21"/>
        <v>8.7010000000000005</v>
      </c>
    </row>
    <row r="220" spans="1:10" x14ac:dyDescent="0.3">
      <c r="A220" s="40" t="s">
        <v>441</v>
      </c>
      <c r="B220" s="40" t="s">
        <v>101</v>
      </c>
      <c r="C220" s="40" t="s">
        <v>442</v>
      </c>
      <c r="D220" s="40">
        <v>14163</v>
      </c>
      <c r="H220" s="40">
        <f t="shared" si="22"/>
        <v>14163</v>
      </c>
      <c r="I220" s="40">
        <v>1</v>
      </c>
      <c r="J220" s="62">
        <f t="shared" si="21"/>
        <v>14.163</v>
      </c>
    </row>
    <row r="221" spans="1:10" x14ac:dyDescent="0.3">
      <c r="A221" s="40" t="s">
        <v>441</v>
      </c>
      <c r="B221" s="40" t="s">
        <v>101</v>
      </c>
      <c r="C221" s="40" t="s">
        <v>442</v>
      </c>
      <c r="D221" s="40">
        <v>12599</v>
      </c>
      <c r="H221" s="40">
        <f t="shared" si="22"/>
        <v>12599</v>
      </c>
      <c r="I221" s="40">
        <v>1</v>
      </c>
      <c r="J221" s="62">
        <f t="shared" si="21"/>
        <v>12.599</v>
      </c>
    </row>
    <row r="222" spans="1:10" x14ac:dyDescent="0.3">
      <c r="A222" s="40" t="s">
        <v>441</v>
      </c>
      <c r="B222" s="40" t="s">
        <v>101</v>
      </c>
      <c r="C222" s="40" t="s">
        <v>442</v>
      </c>
      <c r="D222" s="40">
        <v>11035</v>
      </c>
      <c r="H222" s="40">
        <f t="shared" si="22"/>
        <v>11035</v>
      </c>
      <c r="I222" s="40">
        <v>1</v>
      </c>
      <c r="J222" s="62">
        <f t="shared" si="21"/>
        <v>11.035</v>
      </c>
    </row>
    <row r="223" spans="1:10" x14ac:dyDescent="0.3">
      <c r="A223" s="40" t="s">
        <v>441</v>
      </c>
      <c r="B223" s="40" t="s">
        <v>101</v>
      </c>
      <c r="C223" s="40" t="s">
        <v>442</v>
      </c>
      <c r="D223" s="40">
        <v>9470</v>
      </c>
      <c r="H223" s="40">
        <f t="shared" si="22"/>
        <v>9470</v>
      </c>
      <c r="I223" s="40">
        <v>1</v>
      </c>
      <c r="J223" s="62">
        <f t="shared" si="21"/>
        <v>9.4700000000000006</v>
      </c>
    </row>
    <row r="224" spans="1:10" x14ac:dyDescent="0.3">
      <c r="A224" s="40" t="s">
        <v>441</v>
      </c>
      <c r="B224" s="40" t="s">
        <v>101</v>
      </c>
      <c r="C224" s="40" t="s">
        <v>442</v>
      </c>
      <c r="D224" s="40">
        <v>7906</v>
      </c>
      <c r="H224" s="40">
        <f t="shared" si="22"/>
        <v>7906</v>
      </c>
      <c r="I224" s="40">
        <v>1</v>
      </c>
      <c r="J224" s="62">
        <f t="shared" si="21"/>
        <v>7.9059999999999997</v>
      </c>
    </row>
    <row r="225" spans="1:10" x14ac:dyDescent="0.3">
      <c r="A225" s="40" t="s">
        <v>441</v>
      </c>
      <c r="B225" s="40" t="s">
        <v>101</v>
      </c>
      <c r="C225" s="40" t="s">
        <v>442</v>
      </c>
      <c r="D225" s="40">
        <v>16545</v>
      </c>
      <c r="G225" s="40">
        <v>305</v>
      </c>
      <c r="H225" s="40">
        <f t="shared" si="22"/>
        <v>16316.25</v>
      </c>
      <c r="I225" s="40">
        <v>1</v>
      </c>
      <c r="J225" s="62">
        <f t="shared" si="21"/>
        <v>16.31625</v>
      </c>
    </row>
    <row r="226" spans="1:10" x14ac:dyDescent="0.3">
      <c r="A226" s="40" t="s">
        <v>441</v>
      </c>
      <c r="B226" s="40" t="s">
        <v>101</v>
      </c>
      <c r="C226" s="40" t="s">
        <v>442</v>
      </c>
      <c r="D226" s="40">
        <v>14981</v>
      </c>
      <c r="H226" s="40">
        <f t="shared" si="22"/>
        <v>14981</v>
      </c>
      <c r="I226" s="40">
        <v>1</v>
      </c>
      <c r="J226" s="62">
        <f t="shared" si="21"/>
        <v>14.981</v>
      </c>
    </row>
    <row r="227" spans="1:10" x14ac:dyDescent="0.3">
      <c r="A227" s="40" t="s">
        <v>441</v>
      </c>
      <c r="B227" s="40" t="s">
        <v>101</v>
      </c>
      <c r="C227" s="40" t="s">
        <v>442</v>
      </c>
      <c r="D227" s="40">
        <v>13416</v>
      </c>
      <c r="H227" s="40">
        <f t="shared" si="22"/>
        <v>13416</v>
      </c>
      <c r="I227" s="40">
        <v>1</v>
      </c>
      <c r="J227" s="62">
        <f t="shared" si="21"/>
        <v>13.416</v>
      </c>
    </row>
    <row r="228" spans="1:10" x14ac:dyDescent="0.3">
      <c r="A228" s="40" t="s">
        <v>441</v>
      </c>
      <c r="B228" s="40" t="s">
        <v>101</v>
      </c>
      <c r="C228" s="40" t="s">
        <v>442</v>
      </c>
      <c r="D228" s="40">
        <v>11852</v>
      </c>
      <c r="H228" s="40">
        <f t="shared" si="22"/>
        <v>11852</v>
      </c>
      <c r="I228" s="40">
        <v>1</v>
      </c>
      <c r="J228" s="62">
        <f t="shared" si="21"/>
        <v>11.852</v>
      </c>
    </row>
    <row r="229" spans="1:10" x14ac:dyDescent="0.3">
      <c r="A229" s="40" t="s">
        <v>441</v>
      </c>
      <c r="B229" s="40" t="s">
        <v>101</v>
      </c>
      <c r="C229" s="40" t="s">
        <v>442</v>
      </c>
      <c r="D229" s="40">
        <v>10288</v>
      </c>
      <c r="H229" s="40">
        <f t="shared" si="22"/>
        <v>10288</v>
      </c>
      <c r="I229" s="40">
        <v>1</v>
      </c>
      <c r="J229" s="62">
        <f t="shared" si="21"/>
        <v>10.288</v>
      </c>
    </row>
    <row r="230" spans="1:10" x14ac:dyDescent="0.3">
      <c r="A230" s="40" t="s">
        <v>443</v>
      </c>
      <c r="B230" s="40" t="s">
        <v>84</v>
      </c>
      <c r="C230" s="40" t="s">
        <v>444</v>
      </c>
      <c r="D230" s="40">
        <v>5163</v>
      </c>
      <c r="F230" s="40">
        <v>305</v>
      </c>
      <c r="G230" s="40">
        <v>305</v>
      </c>
      <c r="H230" s="40">
        <f t="shared" ref="H230:H263" si="23">D230-((F230+G230)/2)</f>
        <v>4858</v>
      </c>
      <c r="I230" s="40">
        <v>4</v>
      </c>
      <c r="J230" s="62">
        <f t="shared" si="21"/>
        <v>19.431999999999999</v>
      </c>
    </row>
    <row r="231" spans="1:10" x14ac:dyDescent="0.3">
      <c r="A231" s="40" t="s">
        <v>445</v>
      </c>
      <c r="B231" s="40" t="s">
        <v>84</v>
      </c>
      <c r="C231" s="40" t="s">
        <v>444</v>
      </c>
      <c r="D231" s="40">
        <v>3955</v>
      </c>
      <c r="F231" s="40">
        <v>305</v>
      </c>
      <c r="G231" s="40">
        <v>305</v>
      </c>
      <c r="H231" s="40">
        <f t="shared" si="23"/>
        <v>3650</v>
      </c>
      <c r="I231" s="40">
        <v>4</v>
      </c>
      <c r="J231" s="62">
        <f t="shared" si="21"/>
        <v>14.6</v>
      </c>
    </row>
    <row r="232" spans="1:10" x14ac:dyDescent="0.3">
      <c r="A232" s="40" t="s">
        <v>446</v>
      </c>
      <c r="B232" s="40" t="s">
        <v>84</v>
      </c>
      <c r="C232" s="40" t="s">
        <v>444</v>
      </c>
      <c r="D232" s="40">
        <v>5361</v>
      </c>
      <c r="F232" s="40">
        <v>305</v>
      </c>
      <c r="G232" s="40">
        <v>305</v>
      </c>
      <c r="H232" s="40">
        <f t="shared" si="23"/>
        <v>5056</v>
      </c>
      <c r="I232" s="40">
        <v>4</v>
      </c>
      <c r="J232" s="62">
        <f t="shared" si="21"/>
        <v>20.224</v>
      </c>
    </row>
    <row r="233" spans="1:10" x14ac:dyDescent="0.3">
      <c r="A233" s="40" t="s">
        <v>447</v>
      </c>
      <c r="B233" s="40" t="s">
        <v>84</v>
      </c>
      <c r="C233" s="40" t="s">
        <v>444</v>
      </c>
      <c r="D233" s="40">
        <v>6640</v>
      </c>
      <c r="F233" s="40">
        <v>305</v>
      </c>
      <c r="G233" s="40">
        <v>305</v>
      </c>
      <c r="H233" s="40">
        <f t="shared" si="23"/>
        <v>6335</v>
      </c>
      <c r="I233" s="40">
        <v>4</v>
      </c>
      <c r="J233" s="62">
        <f t="shared" si="21"/>
        <v>25.34</v>
      </c>
    </row>
    <row r="234" spans="1:10" x14ac:dyDescent="0.3">
      <c r="A234" s="40" t="s">
        <v>448</v>
      </c>
      <c r="B234" s="40" t="s">
        <v>88</v>
      </c>
      <c r="C234" s="40" t="s">
        <v>449</v>
      </c>
      <c r="D234" s="40">
        <f>((10820/2)^2+(5922^2))^0.5</f>
        <v>8021.1086515518537</v>
      </c>
      <c r="F234" s="40">
        <v>305</v>
      </c>
      <c r="G234" s="40">
        <v>305</v>
      </c>
      <c r="H234" s="40">
        <f t="shared" si="23"/>
        <v>7716.1086515518537</v>
      </c>
      <c r="I234" s="40">
        <v>1</v>
      </c>
      <c r="J234" s="62">
        <f t="shared" si="21"/>
        <v>7.7161086515518535</v>
      </c>
    </row>
    <row r="235" spans="1:10" x14ac:dyDescent="0.3">
      <c r="A235" s="40" t="s">
        <v>450</v>
      </c>
      <c r="B235" s="40" t="s">
        <v>88</v>
      </c>
      <c r="C235" s="40" t="s">
        <v>449</v>
      </c>
      <c r="D235" s="40">
        <f t="shared" ref="D235:D237" si="24">((10820/2)^2+(5922^2))^0.5</f>
        <v>8021.1086515518537</v>
      </c>
      <c r="F235" s="40">
        <v>305</v>
      </c>
      <c r="G235" s="40">
        <v>305</v>
      </c>
      <c r="H235" s="40">
        <f t="shared" si="23"/>
        <v>7716.1086515518537</v>
      </c>
      <c r="I235" s="40">
        <v>1</v>
      </c>
      <c r="J235" s="62">
        <f t="shared" si="21"/>
        <v>7.7161086515518535</v>
      </c>
    </row>
    <row r="236" spans="1:10" x14ac:dyDescent="0.3">
      <c r="A236" s="40" t="s">
        <v>451</v>
      </c>
      <c r="B236" s="40" t="s">
        <v>88</v>
      </c>
      <c r="C236" s="40" t="s">
        <v>449</v>
      </c>
      <c r="D236" s="40">
        <f t="shared" si="24"/>
        <v>8021.1086515518537</v>
      </c>
      <c r="F236" s="40">
        <v>305</v>
      </c>
      <c r="G236" s="40">
        <v>305</v>
      </c>
      <c r="H236" s="40">
        <f t="shared" si="23"/>
        <v>7716.1086515518537</v>
      </c>
      <c r="I236" s="40">
        <v>1</v>
      </c>
      <c r="J236" s="62">
        <f t="shared" si="21"/>
        <v>7.7161086515518535</v>
      </c>
    </row>
    <row r="237" spans="1:10" x14ac:dyDescent="0.3">
      <c r="A237" s="40" t="s">
        <v>452</v>
      </c>
      <c r="B237" s="40" t="s">
        <v>88</v>
      </c>
      <c r="C237" s="40" t="s">
        <v>449</v>
      </c>
      <c r="D237" s="40">
        <f t="shared" si="24"/>
        <v>8021.1086515518537</v>
      </c>
      <c r="F237" s="40">
        <v>305</v>
      </c>
      <c r="G237" s="40">
        <v>305</v>
      </c>
      <c r="H237" s="40">
        <f t="shared" si="23"/>
        <v>7716.1086515518537</v>
      </c>
      <c r="I237" s="40">
        <v>1</v>
      </c>
      <c r="J237" s="62">
        <f t="shared" si="21"/>
        <v>7.7161086515518535</v>
      </c>
    </row>
    <row r="238" spans="1:10" x14ac:dyDescent="0.3">
      <c r="A238" s="40" t="s">
        <v>453</v>
      </c>
      <c r="B238" s="40" t="s">
        <v>88</v>
      </c>
      <c r="C238" s="40" t="s">
        <v>449</v>
      </c>
      <c r="D238" s="40">
        <f>((10820/2)^2+(8230^2))^0.5</f>
        <v>9848.9085689735184</v>
      </c>
      <c r="F238" s="40">
        <v>305</v>
      </c>
      <c r="G238" s="40">
        <v>305</v>
      </c>
      <c r="H238" s="40">
        <f t="shared" si="23"/>
        <v>9543.9085689735184</v>
      </c>
      <c r="I238" s="40">
        <v>1</v>
      </c>
      <c r="J238" s="62">
        <f t="shared" si="21"/>
        <v>9.543908568973519</v>
      </c>
    </row>
    <row r="239" spans="1:10" x14ac:dyDescent="0.3">
      <c r="A239" s="40" t="s">
        <v>454</v>
      </c>
      <c r="B239" s="40" t="s">
        <v>88</v>
      </c>
      <c r="C239" s="40" t="s">
        <v>449</v>
      </c>
      <c r="D239" s="40">
        <f>((10820/2)^2+(8230^2))^0.5</f>
        <v>9848.9085689735184</v>
      </c>
      <c r="F239" s="40">
        <v>305</v>
      </c>
      <c r="G239" s="40">
        <v>305</v>
      </c>
      <c r="H239" s="40">
        <f t="shared" si="23"/>
        <v>9543.9085689735184</v>
      </c>
      <c r="I239" s="40">
        <v>1</v>
      </c>
      <c r="J239" s="62">
        <f t="shared" si="21"/>
        <v>9.543908568973519</v>
      </c>
    </row>
    <row r="240" spans="1:10" x14ac:dyDescent="0.3">
      <c r="A240" s="40" t="s">
        <v>455</v>
      </c>
      <c r="B240" s="40" t="s">
        <v>88</v>
      </c>
      <c r="C240" s="40" t="s">
        <v>449</v>
      </c>
      <c r="D240" s="40">
        <f>((10820/2)^2+(8229^2))^0.5</f>
        <v>9848.0729587061851</v>
      </c>
      <c r="F240" s="40">
        <v>305</v>
      </c>
      <c r="G240" s="40">
        <v>305</v>
      </c>
      <c r="H240" s="40">
        <f t="shared" si="23"/>
        <v>9543.0729587061851</v>
      </c>
      <c r="I240" s="40">
        <v>1</v>
      </c>
      <c r="J240" s="62">
        <f t="shared" si="21"/>
        <v>9.5430729587061851</v>
      </c>
    </row>
    <row r="241" spans="1:10" x14ac:dyDescent="0.3">
      <c r="A241" s="40" t="s">
        <v>456</v>
      </c>
      <c r="B241" s="40" t="s">
        <v>88</v>
      </c>
      <c r="C241" s="40" t="s">
        <v>449</v>
      </c>
      <c r="D241" s="40">
        <f>((10820/2)^2+(8229^2))^0.5</f>
        <v>9848.0729587061851</v>
      </c>
      <c r="F241" s="40">
        <v>305</v>
      </c>
      <c r="G241" s="40">
        <v>305</v>
      </c>
      <c r="H241" s="40">
        <f t="shared" si="23"/>
        <v>9543.0729587061851</v>
      </c>
      <c r="I241" s="40">
        <v>1</v>
      </c>
      <c r="J241" s="62">
        <f t="shared" si="21"/>
        <v>9.5430729587061851</v>
      </c>
    </row>
    <row r="242" spans="1:10" x14ac:dyDescent="0.3">
      <c r="A242" s="40" t="s">
        <v>457</v>
      </c>
      <c r="B242" s="40" t="s">
        <v>84</v>
      </c>
      <c r="C242" s="40" t="s">
        <v>444</v>
      </c>
      <c r="D242" s="40">
        <v>4723</v>
      </c>
      <c r="F242" s="40">
        <v>305</v>
      </c>
      <c r="G242" s="40">
        <v>305</v>
      </c>
      <c r="H242" s="40">
        <f t="shared" si="23"/>
        <v>4418</v>
      </c>
      <c r="I242" s="40">
        <v>2</v>
      </c>
      <c r="J242" s="62">
        <f t="shared" si="21"/>
        <v>8.8360000000000003</v>
      </c>
    </row>
    <row r="243" spans="1:10" x14ac:dyDescent="0.3">
      <c r="A243" s="40" t="s">
        <v>458</v>
      </c>
      <c r="B243" s="40" t="s">
        <v>84</v>
      </c>
      <c r="C243" s="40" t="s">
        <v>444</v>
      </c>
      <c r="D243" s="40">
        <v>5364</v>
      </c>
      <c r="F243" s="40">
        <v>305</v>
      </c>
      <c r="G243" s="40">
        <v>305</v>
      </c>
      <c r="H243" s="40">
        <f t="shared" si="23"/>
        <v>5059</v>
      </c>
      <c r="I243" s="40">
        <v>2</v>
      </c>
      <c r="J243" s="62">
        <f t="shared" si="21"/>
        <v>10.118</v>
      </c>
    </row>
    <row r="244" spans="1:10" x14ac:dyDescent="0.3">
      <c r="A244" s="40" t="s">
        <v>459</v>
      </c>
      <c r="B244" s="40" t="s">
        <v>84</v>
      </c>
      <c r="C244" s="40" t="s">
        <v>444</v>
      </c>
      <c r="D244" s="40">
        <v>2381</v>
      </c>
      <c r="F244" s="40">
        <v>305</v>
      </c>
      <c r="G244" s="40">
        <v>305</v>
      </c>
      <c r="H244" s="40">
        <f t="shared" si="23"/>
        <v>2076</v>
      </c>
      <c r="I244" s="40">
        <v>2</v>
      </c>
      <c r="J244" s="62">
        <f t="shared" si="21"/>
        <v>4.1520000000000001</v>
      </c>
    </row>
    <row r="245" spans="1:10" x14ac:dyDescent="0.3">
      <c r="A245" s="40" t="s">
        <v>460</v>
      </c>
      <c r="B245" s="40" t="s">
        <v>84</v>
      </c>
      <c r="C245" s="40" t="s">
        <v>444</v>
      </c>
      <c r="D245" s="40">
        <v>2763</v>
      </c>
      <c r="F245" s="40">
        <v>305</v>
      </c>
      <c r="G245" s="40">
        <v>305</v>
      </c>
      <c r="H245" s="40">
        <f t="shared" si="23"/>
        <v>2458</v>
      </c>
      <c r="I245" s="40">
        <v>2</v>
      </c>
      <c r="J245" s="62">
        <f t="shared" si="21"/>
        <v>4.9160000000000004</v>
      </c>
    </row>
    <row r="246" spans="1:10" x14ac:dyDescent="0.3">
      <c r="A246" s="40" t="s">
        <v>461</v>
      </c>
      <c r="B246" s="40" t="s">
        <v>89</v>
      </c>
      <c r="C246" s="40" t="s">
        <v>449</v>
      </c>
      <c r="D246" s="40">
        <f>((10820)^2+(8230^2))^0.5</f>
        <v>13594.311310250328</v>
      </c>
      <c r="F246" s="40">
        <v>305</v>
      </c>
      <c r="G246" s="40">
        <v>305</v>
      </c>
      <c r="H246" s="40">
        <f t="shared" si="23"/>
        <v>13289.311310250328</v>
      </c>
      <c r="I246" s="40">
        <v>1</v>
      </c>
      <c r="J246" s="62">
        <f t="shared" si="21"/>
        <v>13.289311310250328</v>
      </c>
    </row>
    <row r="247" spans="1:10" x14ac:dyDescent="0.3">
      <c r="A247" s="40" t="s">
        <v>462</v>
      </c>
      <c r="B247" s="40" t="s">
        <v>89</v>
      </c>
      <c r="C247" s="40" t="s">
        <v>449</v>
      </c>
      <c r="D247" s="40">
        <f>((10820)^2+(8230^2))^0.5</f>
        <v>13594.311310250328</v>
      </c>
      <c r="F247" s="40">
        <v>305</v>
      </c>
      <c r="G247" s="40">
        <v>305</v>
      </c>
      <c r="H247" s="40">
        <f t="shared" si="23"/>
        <v>13289.311310250328</v>
      </c>
      <c r="I247" s="40">
        <v>1</v>
      </c>
      <c r="J247" s="62">
        <f t="shared" si="21"/>
        <v>13.289311310250328</v>
      </c>
    </row>
    <row r="248" spans="1:10" x14ac:dyDescent="0.3">
      <c r="A248" s="40" t="s">
        <v>463</v>
      </c>
      <c r="B248" s="40" t="s">
        <v>84</v>
      </c>
      <c r="C248" s="40" t="s">
        <v>444</v>
      </c>
      <c r="D248" s="40">
        <v>4666</v>
      </c>
      <c r="F248" s="40">
        <v>305</v>
      </c>
      <c r="G248" s="40">
        <v>305</v>
      </c>
      <c r="H248" s="40">
        <f t="shared" si="23"/>
        <v>4361</v>
      </c>
      <c r="I248" s="40">
        <v>2</v>
      </c>
      <c r="J248" s="62">
        <f t="shared" si="21"/>
        <v>8.7219999999999995</v>
      </c>
    </row>
    <row r="249" spans="1:10" x14ac:dyDescent="0.3">
      <c r="A249" s="40" t="s">
        <v>464</v>
      </c>
      <c r="B249" s="40" t="s">
        <v>85</v>
      </c>
      <c r="C249" s="40" t="s">
        <v>444</v>
      </c>
      <c r="D249" s="40">
        <v>8166</v>
      </c>
      <c r="F249" s="40">
        <v>305</v>
      </c>
      <c r="G249" s="40">
        <v>305</v>
      </c>
      <c r="H249" s="40">
        <f t="shared" si="23"/>
        <v>7861</v>
      </c>
      <c r="I249" s="40">
        <v>2</v>
      </c>
      <c r="J249" s="62">
        <f t="shared" si="21"/>
        <v>15.722</v>
      </c>
    </row>
    <row r="250" spans="1:10" x14ac:dyDescent="0.3">
      <c r="A250" s="40" t="s">
        <v>465</v>
      </c>
      <c r="B250" s="40" t="s">
        <v>86</v>
      </c>
      <c r="C250" s="40" t="s">
        <v>444</v>
      </c>
      <c r="D250" s="40">
        <v>8169</v>
      </c>
      <c r="F250" s="40">
        <v>305</v>
      </c>
      <c r="G250" s="40">
        <v>305</v>
      </c>
      <c r="H250" s="40">
        <f t="shared" si="23"/>
        <v>7864</v>
      </c>
      <c r="I250" s="40">
        <v>2</v>
      </c>
      <c r="J250" s="62">
        <f t="shared" si="21"/>
        <v>15.728</v>
      </c>
    </row>
    <row r="251" spans="1:10" x14ac:dyDescent="0.3">
      <c r="A251" s="40" t="s">
        <v>466</v>
      </c>
      <c r="B251" s="40" t="s">
        <v>85</v>
      </c>
      <c r="C251" s="40" t="s">
        <v>444</v>
      </c>
      <c r="D251" s="40">
        <v>8462</v>
      </c>
      <c r="F251" s="40">
        <v>305</v>
      </c>
      <c r="G251" s="40">
        <v>305</v>
      </c>
      <c r="H251" s="40">
        <f t="shared" si="23"/>
        <v>8157</v>
      </c>
      <c r="I251" s="40">
        <v>2</v>
      </c>
      <c r="J251" s="62">
        <f t="shared" si="21"/>
        <v>16.314</v>
      </c>
    </row>
    <row r="252" spans="1:10" x14ac:dyDescent="0.3">
      <c r="A252" s="40" t="s">
        <v>467</v>
      </c>
      <c r="B252" s="40" t="s">
        <v>85</v>
      </c>
      <c r="C252" s="40" t="s">
        <v>444</v>
      </c>
      <c r="D252" s="40">
        <v>7816</v>
      </c>
      <c r="F252" s="40">
        <v>305</v>
      </c>
      <c r="G252" s="40">
        <v>305</v>
      </c>
      <c r="H252" s="40">
        <f t="shared" si="23"/>
        <v>7511</v>
      </c>
      <c r="I252" s="40">
        <v>2</v>
      </c>
      <c r="J252" s="62">
        <f t="shared" si="21"/>
        <v>15.022</v>
      </c>
    </row>
    <row r="253" spans="1:10" x14ac:dyDescent="0.3">
      <c r="A253" s="40" t="s">
        <v>468</v>
      </c>
      <c r="B253" s="40" t="s">
        <v>80</v>
      </c>
      <c r="C253" s="40" t="s">
        <v>449</v>
      </c>
      <c r="D253" s="40">
        <f>((10820/2)^2+(6402^2))^0.5</f>
        <v>8381.7482663224855</v>
      </c>
      <c r="F253" s="40">
        <v>305</v>
      </c>
      <c r="G253" s="40">
        <v>305</v>
      </c>
      <c r="H253" s="40">
        <f t="shared" si="23"/>
        <v>8076.7482663224855</v>
      </c>
      <c r="I253" s="40">
        <v>1</v>
      </c>
      <c r="J253" s="62">
        <f t="shared" si="21"/>
        <v>8.0767482663224861</v>
      </c>
    </row>
    <row r="254" spans="1:10" x14ac:dyDescent="0.3">
      <c r="A254" s="40" t="s">
        <v>469</v>
      </c>
      <c r="B254" s="40" t="s">
        <v>80</v>
      </c>
      <c r="C254" s="40" t="s">
        <v>449</v>
      </c>
      <c r="D254" s="40">
        <f>((10820/2)^2+(6402^2))^0.5</f>
        <v>8381.7482663224855</v>
      </c>
      <c r="F254" s="40">
        <v>305</v>
      </c>
      <c r="G254" s="40">
        <v>305</v>
      </c>
      <c r="H254" s="40">
        <f t="shared" si="23"/>
        <v>8076.7482663224855</v>
      </c>
      <c r="I254" s="40">
        <v>1</v>
      </c>
      <c r="J254" s="62">
        <f t="shared" si="21"/>
        <v>8.0767482663224861</v>
      </c>
    </row>
    <row r="255" spans="1:10" x14ac:dyDescent="0.3">
      <c r="A255" s="40" t="s">
        <v>470</v>
      </c>
      <c r="B255" s="40" t="s">
        <v>84</v>
      </c>
      <c r="C255" s="40" t="s">
        <v>444</v>
      </c>
      <c r="D255" s="40">
        <v>5498</v>
      </c>
      <c r="F255" s="40">
        <v>305</v>
      </c>
      <c r="G255" s="40">
        <v>305</v>
      </c>
      <c r="H255" s="40">
        <f t="shared" si="23"/>
        <v>5193</v>
      </c>
      <c r="I255" s="40">
        <v>2</v>
      </c>
      <c r="J255" s="62">
        <f t="shared" si="21"/>
        <v>10.385999999999999</v>
      </c>
    </row>
    <row r="256" spans="1:10" x14ac:dyDescent="0.3">
      <c r="A256" s="40" t="s">
        <v>471</v>
      </c>
      <c r="B256" s="40" t="s">
        <v>88</v>
      </c>
      <c r="C256" s="40" t="s">
        <v>449</v>
      </c>
      <c r="D256" s="40">
        <f>((10820/2)^2+(6096^2))^0.5</f>
        <v>8150.4181487823062</v>
      </c>
      <c r="F256" s="40">
        <v>305</v>
      </c>
      <c r="G256" s="40">
        <v>305</v>
      </c>
      <c r="H256" s="40">
        <f t="shared" si="23"/>
        <v>7845.4181487823062</v>
      </c>
      <c r="I256" s="40">
        <v>1</v>
      </c>
      <c r="J256" s="62">
        <f t="shared" si="21"/>
        <v>7.845418148782306</v>
      </c>
    </row>
    <row r="257" spans="1:10" x14ac:dyDescent="0.3">
      <c r="A257" s="40" t="s">
        <v>472</v>
      </c>
      <c r="B257" s="40" t="s">
        <v>88</v>
      </c>
      <c r="C257" s="40" t="s">
        <v>449</v>
      </c>
      <c r="D257" s="40">
        <f t="shared" ref="D257:D259" si="25">((10820/2)^2+(6096^2))^0.5</f>
        <v>8150.4181487823062</v>
      </c>
      <c r="F257" s="40">
        <v>305</v>
      </c>
      <c r="G257" s="40">
        <v>305</v>
      </c>
      <c r="H257" s="40">
        <f t="shared" si="23"/>
        <v>7845.4181487823062</v>
      </c>
      <c r="I257" s="40">
        <v>1</v>
      </c>
      <c r="J257" s="62">
        <f t="shared" si="21"/>
        <v>7.845418148782306</v>
      </c>
    </row>
    <row r="258" spans="1:10" x14ac:dyDescent="0.3">
      <c r="A258" s="40" t="s">
        <v>473</v>
      </c>
      <c r="B258" s="40" t="s">
        <v>88</v>
      </c>
      <c r="C258" s="40" t="s">
        <v>449</v>
      </c>
      <c r="D258" s="40">
        <f t="shared" si="25"/>
        <v>8150.4181487823062</v>
      </c>
      <c r="F258" s="40">
        <v>305</v>
      </c>
      <c r="G258" s="40">
        <v>305</v>
      </c>
      <c r="H258" s="40">
        <f t="shared" si="23"/>
        <v>7845.4181487823062</v>
      </c>
      <c r="I258" s="40">
        <v>1</v>
      </c>
      <c r="J258" s="62">
        <f t="shared" si="21"/>
        <v>7.845418148782306</v>
      </c>
    </row>
    <row r="259" spans="1:10" x14ac:dyDescent="0.3">
      <c r="A259" s="40" t="s">
        <v>474</v>
      </c>
      <c r="B259" s="40" t="s">
        <v>88</v>
      </c>
      <c r="C259" s="40" t="s">
        <v>449</v>
      </c>
      <c r="D259" s="40">
        <f t="shared" si="25"/>
        <v>8150.4181487823062</v>
      </c>
      <c r="F259" s="40">
        <v>305</v>
      </c>
      <c r="G259" s="40">
        <v>305</v>
      </c>
      <c r="H259" s="40">
        <f t="shared" si="23"/>
        <v>7845.4181487823062</v>
      </c>
      <c r="I259" s="40">
        <v>1</v>
      </c>
      <c r="J259" s="62">
        <f t="shared" ref="J259:J307" si="26">H259*I259/1000</f>
        <v>7.845418148782306</v>
      </c>
    </row>
    <row r="260" spans="1:10" x14ac:dyDescent="0.3">
      <c r="A260" s="40" t="s">
        <v>475</v>
      </c>
      <c r="B260" s="40" t="s">
        <v>88</v>
      </c>
      <c r="C260" s="40" t="s">
        <v>449</v>
      </c>
      <c r="D260" s="40">
        <f>((10820/2)^2+(5866^2))^0.5</f>
        <v>7979.8531314805541</v>
      </c>
      <c r="F260" s="40">
        <v>305</v>
      </c>
      <c r="G260" s="40">
        <v>305</v>
      </c>
      <c r="H260" s="40">
        <f t="shared" si="23"/>
        <v>7674.8531314805541</v>
      </c>
      <c r="I260" s="40">
        <v>1</v>
      </c>
      <c r="J260" s="62">
        <f t="shared" si="26"/>
        <v>7.6748531314805541</v>
      </c>
    </row>
    <row r="261" spans="1:10" x14ac:dyDescent="0.3">
      <c r="A261" s="40" t="s">
        <v>476</v>
      </c>
      <c r="B261" s="40" t="s">
        <v>88</v>
      </c>
      <c r="C261" s="40" t="s">
        <v>449</v>
      </c>
      <c r="D261" s="40">
        <f>((10820/2)^2+(5866^2))^0.5</f>
        <v>7979.8531314805541</v>
      </c>
      <c r="F261" s="40">
        <v>305</v>
      </c>
      <c r="G261" s="40">
        <v>305</v>
      </c>
      <c r="H261" s="40">
        <f t="shared" si="23"/>
        <v>7674.8531314805541</v>
      </c>
      <c r="I261" s="40">
        <v>1</v>
      </c>
      <c r="J261" s="62">
        <f t="shared" si="26"/>
        <v>7.6748531314805541</v>
      </c>
    </row>
    <row r="262" spans="1:10" x14ac:dyDescent="0.3">
      <c r="A262" s="40" t="s">
        <v>477</v>
      </c>
      <c r="B262" s="40" t="s">
        <v>88</v>
      </c>
      <c r="C262" s="40" t="s">
        <v>449</v>
      </c>
      <c r="D262" s="40">
        <f>((10820/2)^2+(5865^2))^0.5</f>
        <v>7979.1180590338427</v>
      </c>
      <c r="F262" s="40">
        <v>305</v>
      </c>
      <c r="G262" s="40">
        <v>254</v>
      </c>
      <c r="H262" s="40">
        <f t="shared" si="23"/>
        <v>7699.6180590338427</v>
      </c>
      <c r="I262" s="40">
        <v>1</v>
      </c>
      <c r="J262" s="62">
        <f t="shared" si="26"/>
        <v>7.6996180590338428</v>
      </c>
    </row>
    <row r="263" spans="1:10" x14ac:dyDescent="0.3">
      <c r="A263" s="40" t="s">
        <v>478</v>
      </c>
      <c r="B263" s="40" t="s">
        <v>88</v>
      </c>
      <c r="C263" s="40" t="s">
        <v>449</v>
      </c>
      <c r="D263" s="40">
        <f>((10820/2)^2+(5865^2))^0.5</f>
        <v>7979.1180590338427</v>
      </c>
      <c r="F263" s="40">
        <v>305</v>
      </c>
      <c r="G263" s="40">
        <v>254</v>
      </c>
      <c r="H263" s="40">
        <f t="shared" si="23"/>
        <v>7699.6180590338427</v>
      </c>
      <c r="I263" s="40">
        <v>1</v>
      </c>
      <c r="J263" s="62">
        <f t="shared" si="26"/>
        <v>7.6996180590338428</v>
      </c>
    </row>
    <row r="264" spans="1:10" x14ac:dyDescent="0.3">
      <c r="A264" s="40" t="s">
        <v>479</v>
      </c>
      <c r="B264" s="40" t="s">
        <v>90</v>
      </c>
      <c r="C264" s="40" t="s">
        <v>437</v>
      </c>
      <c r="D264" s="40">
        <v>6342</v>
      </c>
      <c r="H264" s="40">
        <f t="shared" ref="H264:H267" si="27">D264-((F264+G264)/2)</f>
        <v>6342</v>
      </c>
      <c r="I264" s="40">
        <v>1</v>
      </c>
      <c r="J264" s="62">
        <f t="shared" si="26"/>
        <v>6.3419999999999996</v>
      </c>
    </row>
    <row r="265" spans="1:10" x14ac:dyDescent="0.3">
      <c r="A265" s="40" t="s">
        <v>480</v>
      </c>
      <c r="B265" s="40" t="s">
        <v>90</v>
      </c>
      <c r="C265" s="40" t="s">
        <v>437</v>
      </c>
      <c r="D265" s="40">
        <v>4778</v>
      </c>
      <c r="H265" s="40">
        <f t="shared" si="27"/>
        <v>4778</v>
      </c>
      <c r="I265" s="40">
        <v>1</v>
      </c>
      <c r="J265" s="62">
        <f t="shared" si="26"/>
        <v>4.7779999999999996</v>
      </c>
    </row>
    <row r="266" spans="1:10" x14ac:dyDescent="0.3">
      <c r="A266" s="40" t="s">
        <v>481</v>
      </c>
      <c r="B266" s="40" t="s">
        <v>90</v>
      </c>
      <c r="C266" s="40" t="s">
        <v>437</v>
      </c>
      <c r="D266" s="40">
        <v>3214</v>
      </c>
      <c r="H266" s="40">
        <f t="shared" si="27"/>
        <v>3214</v>
      </c>
      <c r="I266" s="40">
        <v>1</v>
      </c>
      <c r="J266" s="62">
        <f t="shared" si="26"/>
        <v>3.214</v>
      </c>
    </row>
    <row r="267" spans="1:10" x14ac:dyDescent="0.3">
      <c r="A267" s="40" t="s">
        <v>482</v>
      </c>
      <c r="B267" s="40" t="s">
        <v>90</v>
      </c>
      <c r="C267" s="40" t="s">
        <v>437</v>
      </c>
      <c r="D267" s="40">
        <v>1650</v>
      </c>
      <c r="H267" s="40">
        <f t="shared" si="27"/>
        <v>1650</v>
      </c>
      <c r="I267" s="40">
        <v>1</v>
      </c>
      <c r="J267" s="62">
        <f t="shared" si="26"/>
        <v>1.65</v>
      </c>
    </row>
    <row r="268" spans="1:10" x14ac:dyDescent="0.3">
      <c r="A268" s="40" t="s">
        <v>483</v>
      </c>
      <c r="B268" s="40" t="s">
        <v>90</v>
      </c>
      <c r="C268" s="40" t="s">
        <v>437</v>
      </c>
      <c r="D268" s="40">
        <v>6654</v>
      </c>
      <c r="H268" s="40">
        <f t="shared" ref="H268:H271" si="28">D268-((F268+G268)/2)</f>
        <v>6654</v>
      </c>
      <c r="I268" s="40">
        <v>1</v>
      </c>
      <c r="J268" s="62">
        <f t="shared" si="26"/>
        <v>6.6539999999999999</v>
      </c>
    </row>
    <row r="269" spans="1:10" x14ac:dyDescent="0.3">
      <c r="A269" s="40" t="s">
        <v>484</v>
      </c>
      <c r="B269" s="40" t="s">
        <v>90</v>
      </c>
      <c r="C269" s="40" t="s">
        <v>437</v>
      </c>
      <c r="D269" s="40">
        <v>5123</v>
      </c>
      <c r="H269" s="40">
        <f t="shared" si="28"/>
        <v>5123</v>
      </c>
      <c r="I269" s="40">
        <v>1</v>
      </c>
      <c r="J269" s="62">
        <f t="shared" si="26"/>
        <v>5.1230000000000002</v>
      </c>
    </row>
    <row r="270" spans="1:10" x14ac:dyDescent="0.3">
      <c r="A270" s="40" t="s">
        <v>485</v>
      </c>
      <c r="B270" s="40" t="s">
        <v>90</v>
      </c>
      <c r="C270" s="40" t="s">
        <v>437</v>
      </c>
      <c r="D270" s="40">
        <v>3692</v>
      </c>
      <c r="H270" s="40">
        <f t="shared" si="28"/>
        <v>3692</v>
      </c>
      <c r="I270" s="40">
        <v>1</v>
      </c>
      <c r="J270" s="62">
        <f t="shared" si="26"/>
        <v>3.6920000000000002</v>
      </c>
    </row>
    <row r="271" spans="1:10" x14ac:dyDescent="0.3">
      <c r="A271" s="40" t="s">
        <v>486</v>
      </c>
      <c r="B271" s="40" t="s">
        <v>90</v>
      </c>
      <c r="C271" s="40" t="s">
        <v>437</v>
      </c>
      <c r="D271" s="40">
        <v>2261</v>
      </c>
      <c r="H271" s="40">
        <f t="shared" si="28"/>
        <v>2261</v>
      </c>
      <c r="I271" s="40">
        <v>1</v>
      </c>
      <c r="J271" s="62">
        <f t="shared" si="26"/>
        <v>2.2610000000000001</v>
      </c>
    </row>
    <row r="272" spans="1:10" x14ac:dyDescent="0.3">
      <c r="A272" s="40" t="s">
        <v>487</v>
      </c>
      <c r="B272" s="40" t="s">
        <v>90</v>
      </c>
      <c r="C272" s="40" t="s">
        <v>437</v>
      </c>
      <c r="D272" s="40">
        <v>830</v>
      </c>
      <c r="H272" s="40">
        <f t="shared" ref="H272:H279" si="29">D272-((F272+G272)/2)</f>
        <v>830</v>
      </c>
      <c r="I272" s="40">
        <v>1</v>
      </c>
      <c r="J272" s="62">
        <f t="shared" si="26"/>
        <v>0.83</v>
      </c>
    </row>
    <row r="273" spans="1:10" x14ac:dyDescent="0.3">
      <c r="A273" s="40" t="s">
        <v>488</v>
      </c>
      <c r="B273" s="40" t="s">
        <v>83</v>
      </c>
      <c r="C273" s="40" t="s">
        <v>489</v>
      </c>
      <c r="D273" s="40">
        <f>SQRT((1905^2)+(1905^2))</f>
        <v>2694.0768363207462</v>
      </c>
      <c r="F273" s="40">
        <v>305</v>
      </c>
      <c r="H273" s="40">
        <f t="shared" si="29"/>
        <v>2541.5768363207462</v>
      </c>
      <c r="I273" s="40">
        <v>5</v>
      </c>
      <c r="J273" s="62">
        <f t="shared" si="26"/>
        <v>12.707884181603731</v>
      </c>
    </row>
    <row r="274" spans="1:10" x14ac:dyDescent="0.3">
      <c r="A274" s="40" t="s">
        <v>490</v>
      </c>
      <c r="B274" s="40" t="s">
        <v>83</v>
      </c>
      <c r="C274" s="40" t="s">
        <v>489</v>
      </c>
      <c r="D274" s="40">
        <f>SQRT((1905^2)+(1905^2))</f>
        <v>2694.0768363207462</v>
      </c>
      <c r="F274" s="40">
        <v>305</v>
      </c>
      <c r="H274" s="40">
        <f t="shared" si="29"/>
        <v>2541.5768363207462</v>
      </c>
      <c r="I274" s="40">
        <v>6</v>
      </c>
      <c r="J274" s="62">
        <f t="shared" si="26"/>
        <v>15.249461017924478</v>
      </c>
    </row>
    <row r="275" spans="1:10" x14ac:dyDescent="0.3">
      <c r="A275" s="40" t="s">
        <v>491</v>
      </c>
      <c r="B275" s="40" t="s">
        <v>83</v>
      </c>
      <c r="C275" s="40" t="s">
        <v>489</v>
      </c>
      <c r="D275" s="40">
        <f>SQRT((1905^2)+(548^2))</f>
        <v>1982.2535155726171</v>
      </c>
      <c r="F275" s="40">
        <v>305</v>
      </c>
      <c r="H275" s="40">
        <f t="shared" si="29"/>
        <v>1829.7535155726171</v>
      </c>
      <c r="I275" s="40">
        <v>1</v>
      </c>
      <c r="J275" s="62">
        <f t="shared" si="26"/>
        <v>1.829753515572617</v>
      </c>
    </row>
    <row r="276" spans="1:10" x14ac:dyDescent="0.3">
      <c r="A276" s="40" t="s">
        <v>492</v>
      </c>
      <c r="B276" s="40" t="s">
        <v>83</v>
      </c>
      <c r="C276" s="40" t="s">
        <v>489</v>
      </c>
      <c r="D276" s="40">
        <f>SQRT((1905^2)+(1977.5^2))</f>
        <v>2745.8206878818582</v>
      </c>
      <c r="F276" s="40">
        <v>305</v>
      </c>
      <c r="H276" s="40">
        <f t="shared" si="29"/>
        <v>2593.3206878818582</v>
      </c>
      <c r="I276" s="40">
        <v>1</v>
      </c>
      <c r="J276" s="62">
        <f t="shared" si="26"/>
        <v>2.5933206878818584</v>
      </c>
    </row>
    <row r="277" spans="1:10" x14ac:dyDescent="0.3">
      <c r="A277" s="40" t="s">
        <v>493</v>
      </c>
      <c r="B277" s="40" t="s">
        <v>83</v>
      </c>
      <c r="C277" s="40" t="s">
        <v>489</v>
      </c>
      <c r="D277" s="40">
        <f>SQRT((1905^2)+(548^2))</f>
        <v>1982.2535155726171</v>
      </c>
      <c r="F277" s="40">
        <v>305</v>
      </c>
      <c r="H277" s="40">
        <f t="shared" si="29"/>
        <v>1829.7535155726171</v>
      </c>
      <c r="I277" s="40">
        <v>1</v>
      </c>
      <c r="J277" s="62">
        <f t="shared" si="26"/>
        <v>1.829753515572617</v>
      </c>
    </row>
    <row r="278" spans="1:10" x14ac:dyDescent="0.3">
      <c r="A278" s="40" t="s">
        <v>494</v>
      </c>
      <c r="B278" s="40" t="s">
        <v>83</v>
      </c>
      <c r="C278" s="40" t="s">
        <v>489</v>
      </c>
      <c r="D278" s="40">
        <f t="shared" ref="D278:D279" si="30">SQRT((1905^2)+(1905^2))</f>
        <v>2694.0768363207462</v>
      </c>
      <c r="F278" s="40">
        <v>305</v>
      </c>
      <c r="H278" s="40">
        <f t="shared" si="29"/>
        <v>2541.5768363207462</v>
      </c>
      <c r="I278" s="40">
        <v>3</v>
      </c>
      <c r="J278" s="62">
        <f t="shared" si="26"/>
        <v>7.624730508962239</v>
      </c>
    </row>
    <row r="279" spans="1:10" x14ac:dyDescent="0.3">
      <c r="A279" s="40" t="s">
        <v>495</v>
      </c>
      <c r="B279" s="40" t="s">
        <v>83</v>
      </c>
      <c r="C279" s="40" t="s">
        <v>489</v>
      </c>
      <c r="D279" s="40">
        <f t="shared" si="30"/>
        <v>2694.0768363207462</v>
      </c>
      <c r="F279" s="40">
        <v>305</v>
      </c>
      <c r="H279" s="40">
        <f t="shared" si="29"/>
        <v>2541.5768363207462</v>
      </c>
      <c r="I279" s="40">
        <v>3</v>
      </c>
      <c r="J279" s="62">
        <f t="shared" si="26"/>
        <v>7.624730508962239</v>
      </c>
    </row>
    <row r="280" spans="1:10" x14ac:dyDescent="0.3">
      <c r="A280" s="40" t="s">
        <v>496</v>
      </c>
      <c r="B280" s="40" t="s">
        <v>83</v>
      </c>
      <c r="C280" s="40" t="s">
        <v>489</v>
      </c>
      <c r="D280" s="40">
        <v>1905</v>
      </c>
      <c r="H280" s="40">
        <f t="shared" ref="H280:H282" si="31">D280-((F280+G280)/2)</f>
        <v>1905</v>
      </c>
      <c r="I280" s="40">
        <v>1</v>
      </c>
      <c r="J280" s="62">
        <f t="shared" si="26"/>
        <v>1.905</v>
      </c>
    </row>
    <row r="281" spans="1:10" x14ac:dyDescent="0.3">
      <c r="A281" s="40" t="s">
        <v>497</v>
      </c>
      <c r="B281" s="40" t="s">
        <v>83</v>
      </c>
      <c r="C281" s="40" t="s">
        <v>489</v>
      </c>
      <c r="D281" s="40">
        <f>SQRT((1905^2)+(952.5^2))</f>
        <v>2129.8547485685499</v>
      </c>
      <c r="F281" s="40">
        <v>305</v>
      </c>
      <c r="H281" s="40">
        <f t="shared" si="31"/>
        <v>1977.3547485685499</v>
      </c>
      <c r="I281" s="40">
        <v>1</v>
      </c>
      <c r="J281" s="62">
        <f t="shared" si="26"/>
        <v>1.9773547485685499</v>
      </c>
    </row>
    <row r="282" spans="1:10" x14ac:dyDescent="0.3">
      <c r="A282" s="40" t="s">
        <v>498</v>
      </c>
      <c r="B282" s="40" t="s">
        <v>83</v>
      </c>
      <c r="C282" s="40" t="s">
        <v>489</v>
      </c>
      <c r="D282" s="40">
        <f>SQRT((1905^2)+(952.5^2))</f>
        <v>2129.8547485685499</v>
      </c>
      <c r="F282" s="40">
        <v>305</v>
      </c>
      <c r="H282" s="40">
        <f t="shared" si="31"/>
        <v>1977.3547485685499</v>
      </c>
      <c r="I282" s="40">
        <v>1</v>
      </c>
      <c r="J282" s="62">
        <f t="shared" si="26"/>
        <v>1.9773547485685499</v>
      </c>
    </row>
    <row r="283" spans="1:10" x14ac:dyDescent="0.3">
      <c r="A283" s="40" t="s">
        <v>499</v>
      </c>
      <c r="B283" s="40" t="s">
        <v>83</v>
      </c>
      <c r="C283" s="40" t="s">
        <v>489</v>
      </c>
      <c r="D283" s="40">
        <v>1905</v>
      </c>
      <c r="H283" s="40">
        <f t="shared" ref="H283:H288" si="32">D283-((F283+G283)/2)</f>
        <v>1905</v>
      </c>
      <c r="I283" s="40">
        <v>1</v>
      </c>
      <c r="J283" s="62">
        <f t="shared" si="26"/>
        <v>1.905</v>
      </c>
    </row>
    <row r="284" spans="1:10" x14ac:dyDescent="0.3">
      <c r="A284" s="40" t="s">
        <v>500</v>
      </c>
      <c r="B284" s="40" t="s">
        <v>83</v>
      </c>
      <c r="C284" s="40" t="s">
        <v>489</v>
      </c>
      <c r="D284" s="40">
        <f>SQRT((1905^2)+(1522^2))</f>
        <v>2438.3414445069011</v>
      </c>
      <c r="F284" s="40">
        <v>305</v>
      </c>
      <c r="H284" s="40">
        <f t="shared" si="32"/>
        <v>2285.8414445069011</v>
      </c>
      <c r="I284" s="40">
        <v>1</v>
      </c>
      <c r="J284" s="62">
        <f t="shared" si="26"/>
        <v>2.2858414445069011</v>
      </c>
    </row>
    <row r="285" spans="1:10" x14ac:dyDescent="0.3">
      <c r="A285" s="40" t="s">
        <v>494</v>
      </c>
      <c r="B285" s="40" t="s">
        <v>83</v>
      </c>
      <c r="C285" s="40" t="s">
        <v>489</v>
      </c>
      <c r="D285" s="40">
        <f>SQRT((1905^2)+(383^2))</f>
        <v>1943.1196566346603</v>
      </c>
      <c r="F285" s="40">
        <v>305</v>
      </c>
      <c r="H285" s="40">
        <f t="shared" si="32"/>
        <v>1790.6196566346603</v>
      </c>
      <c r="I285" s="40">
        <v>1</v>
      </c>
      <c r="J285" s="62">
        <f t="shared" si="26"/>
        <v>1.7906196566346602</v>
      </c>
    </row>
    <row r="286" spans="1:10" x14ac:dyDescent="0.3">
      <c r="A286" s="40" t="s">
        <v>496</v>
      </c>
      <c r="B286" s="40" t="s">
        <v>83</v>
      </c>
      <c r="C286" s="40" t="s">
        <v>489</v>
      </c>
      <c r="D286" s="40">
        <v>1905</v>
      </c>
      <c r="H286" s="40">
        <f t="shared" si="32"/>
        <v>1905</v>
      </c>
      <c r="I286" s="40">
        <v>1</v>
      </c>
      <c r="J286" s="62">
        <f t="shared" si="26"/>
        <v>1.905</v>
      </c>
    </row>
    <row r="287" spans="1:10" x14ac:dyDescent="0.3">
      <c r="A287" s="40" t="s">
        <v>501</v>
      </c>
      <c r="B287" s="40" t="s">
        <v>83</v>
      </c>
      <c r="C287" s="40" t="s">
        <v>489</v>
      </c>
      <c r="D287" s="40">
        <f>SQRT((1905^2)+(952.5^2))</f>
        <v>2129.8547485685499</v>
      </c>
      <c r="F287" s="40">
        <v>305</v>
      </c>
      <c r="H287" s="40">
        <f t="shared" si="32"/>
        <v>1977.3547485685499</v>
      </c>
      <c r="I287" s="40">
        <v>1</v>
      </c>
      <c r="J287" s="62">
        <f t="shared" si="26"/>
        <v>1.9773547485685499</v>
      </c>
    </row>
    <row r="288" spans="1:10" x14ac:dyDescent="0.3">
      <c r="A288" s="40" t="s">
        <v>502</v>
      </c>
      <c r="B288" s="40" t="s">
        <v>83</v>
      </c>
      <c r="C288" s="40" t="s">
        <v>489</v>
      </c>
      <c r="D288" s="40">
        <f>SQRT((1905^2)+(952.5^2))</f>
        <v>2129.8547485685499</v>
      </c>
      <c r="F288" s="40">
        <v>305</v>
      </c>
      <c r="H288" s="40">
        <f t="shared" si="32"/>
        <v>1977.3547485685499</v>
      </c>
      <c r="I288" s="40">
        <v>1</v>
      </c>
      <c r="J288" s="62">
        <f t="shared" si="26"/>
        <v>1.9773547485685499</v>
      </c>
    </row>
    <row r="289" spans="1:10" x14ac:dyDescent="0.3">
      <c r="A289" s="40" t="s">
        <v>503</v>
      </c>
      <c r="B289" s="40" t="s">
        <v>83</v>
      </c>
      <c r="C289" s="40" t="s">
        <v>489</v>
      </c>
      <c r="D289" s="40">
        <v>1905</v>
      </c>
      <c r="H289" s="40">
        <f t="shared" ref="H289:H291" si="33">D289-((F289+G289)/2)</f>
        <v>1905</v>
      </c>
      <c r="I289" s="40">
        <v>1</v>
      </c>
      <c r="J289" s="62">
        <f t="shared" si="26"/>
        <v>1.905</v>
      </c>
    </row>
    <row r="290" spans="1:10" x14ac:dyDescent="0.3">
      <c r="A290" s="40" t="s">
        <v>504</v>
      </c>
      <c r="B290" s="40" t="s">
        <v>83</v>
      </c>
      <c r="C290" s="40" t="s">
        <v>489</v>
      </c>
      <c r="D290" s="40">
        <f>SQRT((1905^2)+(604^2))</f>
        <v>1998.459656835734</v>
      </c>
      <c r="F290" s="40">
        <v>305</v>
      </c>
      <c r="H290" s="40">
        <f t="shared" si="33"/>
        <v>1845.959656835734</v>
      </c>
      <c r="I290" s="40">
        <v>1</v>
      </c>
      <c r="J290" s="62">
        <f t="shared" si="26"/>
        <v>1.8459596568357339</v>
      </c>
    </row>
    <row r="291" spans="1:10" x14ac:dyDescent="0.3">
      <c r="A291" s="40" t="s">
        <v>505</v>
      </c>
      <c r="B291" s="40" t="s">
        <v>83</v>
      </c>
      <c r="C291" s="40" t="s">
        <v>489</v>
      </c>
      <c r="D291" s="40">
        <f>SQRT((1905^2)+(1301^2))</f>
        <v>2306.8649722079531</v>
      </c>
      <c r="F291" s="40">
        <v>305</v>
      </c>
      <c r="H291" s="40">
        <f t="shared" si="33"/>
        <v>2154.3649722079531</v>
      </c>
      <c r="I291" s="40">
        <v>1</v>
      </c>
      <c r="J291" s="62">
        <f t="shared" si="26"/>
        <v>2.154364972207953</v>
      </c>
    </row>
    <row r="292" spans="1:10" x14ac:dyDescent="0.3">
      <c r="A292" s="40" t="s">
        <v>503</v>
      </c>
      <c r="B292" s="40" t="s">
        <v>83</v>
      </c>
      <c r="C292" s="40" t="s">
        <v>489</v>
      </c>
      <c r="D292" s="40">
        <v>1905</v>
      </c>
      <c r="H292" s="40">
        <f t="shared" ref="H292:H294" si="34">D292-((F292+G292)/2)</f>
        <v>1905</v>
      </c>
      <c r="I292" s="40">
        <v>1</v>
      </c>
      <c r="J292" s="62">
        <f t="shared" si="26"/>
        <v>1.905</v>
      </c>
    </row>
    <row r="293" spans="1:10" x14ac:dyDescent="0.3">
      <c r="A293" s="40" t="s">
        <v>506</v>
      </c>
      <c r="B293" s="40" t="s">
        <v>83</v>
      </c>
      <c r="C293" s="40" t="s">
        <v>489</v>
      </c>
      <c r="D293" s="40">
        <f>SQRT((1905^2)+(1543^2))</f>
        <v>2451.5044360555416</v>
      </c>
      <c r="F293" s="40">
        <v>305</v>
      </c>
      <c r="H293" s="40">
        <f t="shared" si="34"/>
        <v>2299.0044360555416</v>
      </c>
      <c r="I293" s="40">
        <v>1</v>
      </c>
      <c r="J293" s="62">
        <f t="shared" si="26"/>
        <v>2.2990044360555415</v>
      </c>
    </row>
    <row r="294" spans="1:10" x14ac:dyDescent="0.3">
      <c r="A294" s="40" t="s">
        <v>507</v>
      </c>
      <c r="B294" s="40" t="s">
        <v>83</v>
      </c>
      <c r="C294" s="40" t="s">
        <v>489</v>
      </c>
      <c r="D294" s="40">
        <f>SQRT((1905^2)+(362^2))</f>
        <v>1939.0897349014047</v>
      </c>
      <c r="F294" s="40">
        <v>305</v>
      </c>
      <c r="H294" s="40">
        <f t="shared" si="34"/>
        <v>1786.5897349014047</v>
      </c>
      <c r="I294" s="40">
        <v>1</v>
      </c>
      <c r="J294" s="62">
        <f t="shared" si="26"/>
        <v>1.7865897349014046</v>
      </c>
    </row>
    <row r="295" spans="1:10" x14ac:dyDescent="0.3">
      <c r="A295" s="40" t="s">
        <v>503</v>
      </c>
      <c r="B295" s="40" t="s">
        <v>83</v>
      </c>
      <c r="C295" s="40" t="s">
        <v>489</v>
      </c>
      <c r="D295" s="40">
        <v>1905</v>
      </c>
      <c r="H295" s="40">
        <f t="shared" ref="H295:H297" si="35">D295-((F295+G295)/2)</f>
        <v>1905</v>
      </c>
      <c r="I295" s="40">
        <v>1</v>
      </c>
      <c r="J295" s="62">
        <f t="shared" si="26"/>
        <v>1.905</v>
      </c>
    </row>
    <row r="296" spans="1:10" x14ac:dyDescent="0.3">
      <c r="A296" s="40" t="s">
        <v>508</v>
      </c>
      <c r="B296" s="40" t="s">
        <v>83</v>
      </c>
      <c r="C296" s="40" t="s">
        <v>489</v>
      </c>
      <c r="D296" s="40">
        <f>SQRT((1905^2)+(952.5^2))</f>
        <v>2129.8547485685499</v>
      </c>
      <c r="F296" s="40">
        <v>305</v>
      </c>
      <c r="H296" s="40">
        <f t="shared" si="35"/>
        <v>1977.3547485685499</v>
      </c>
      <c r="I296" s="40">
        <v>1</v>
      </c>
      <c r="J296" s="62">
        <f t="shared" si="26"/>
        <v>1.9773547485685499</v>
      </c>
    </row>
    <row r="297" spans="1:10" x14ac:dyDescent="0.3">
      <c r="A297" s="40" t="s">
        <v>509</v>
      </c>
      <c r="B297" s="40" t="s">
        <v>83</v>
      </c>
      <c r="C297" s="40" t="s">
        <v>489</v>
      </c>
      <c r="D297" s="40">
        <f>SQRT((1905^2)+(952.5^2))</f>
        <v>2129.8547485685499</v>
      </c>
      <c r="F297" s="40">
        <v>305</v>
      </c>
      <c r="H297" s="40">
        <f t="shared" si="35"/>
        <v>1977.3547485685499</v>
      </c>
      <c r="I297" s="40">
        <v>1</v>
      </c>
      <c r="J297" s="62">
        <f t="shared" si="26"/>
        <v>1.9773547485685499</v>
      </c>
    </row>
    <row r="298" spans="1:10" x14ac:dyDescent="0.3">
      <c r="A298" s="40" t="s">
        <v>510</v>
      </c>
      <c r="B298" s="40" t="s">
        <v>83</v>
      </c>
      <c r="C298" s="40" t="s">
        <v>489</v>
      </c>
      <c r="D298" s="40">
        <v>1766</v>
      </c>
      <c r="H298" s="40">
        <f t="shared" ref="H298:H300" si="36">D298-((F298+G298)/2)</f>
        <v>1766</v>
      </c>
      <c r="I298" s="40">
        <v>1</v>
      </c>
      <c r="J298" s="62">
        <f t="shared" si="26"/>
        <v>1.766</v>
      </c>
    </row>
    <row r="299" spans="1:10" x14ac:dyDescent="0.3">
      <c r="A299" s="40" t="s">
        <v>511</v>
      </c>
      <c r="B299" s="40" t="s">
        <v>83</v>
      </c>
      <c r="C299" s="40" t="s">
        <v>489</v>
      </c>
      <c r="D299" s="40">
        <f>SQRT((1766^2)+(552^2))</f>
        <v>1850.2594412676294</v>
      </c>
      <c r="F299" s="40">
        <v>305</v>
      </c>
      <c r="H299" s="40">
        <f t="shared" si="36"/>
        <v>1697.7594412676294</v>
      </c>
      <c r="I299" s="40">
        <v>1</v>
      </c>
      <c r="J299" s="62">
        <f t="shared" si="26"/>
        <v>1.6977594412676293</v>
      </c>
    </row>
    <row r="300" spans="1:10" x14ac:dyDescent="0.3">
      <c r="A300" s="40" t="s">
        <v>512</v>
      </c>
      <c r="B300" s="40" t="s">
        <v>83</v>
      </c>
      <c r="C300" s="40" t="s">
        <v>489</v>
      </c>
      <c r="D300" s="40">
        <f>SQRT((1766^2)+(1214^2))</f>
        <v>2143.0240315964729</v>
      </c>
      <c r="F300" s="40">
        <v>305</v>
      </c>
      <c r="H300" s="40">
        <f t="shared" si="36"/>
        <v>1990.5240315964729</v>
      </c>
      <c r="I300" s="40">
        <v>1</v>
      </c>
      <c r="J300" s="62">
        <f t="shared" si="26"/>
        <v>1.990524031596473</v>
      </c>
    </row>
    <row r="301" spans="1:10" x14ac:dyDescent="0.3">
      <c r="A301" s="40" t="s">
        <v>513</v>
      </c>
      <c r="B301" s="40" t="s">
        <v>83</v>
      </c>
      <c r="C301" s="40" t="s">
        <v>489</v>
      </c>
      <c r="D301" s="40">
        <f>SQRT((1833^2)+(1833^2))</f>
        <v>2592.253459829883</v>
      </c>
      <c r="F301" s="40">
        <v>305</v>
      </c>
      <c r="H301" s="40">
        <f t="shared" ref="H301:H307" si="37">D301-((F301+G301)/2)</f>
        <v>2439.753459829883</v>
      </c>
      <c r="I301" s="40">
        <v>1</v>
      </c>
      <c r="J301" s="62">
        <f t="shared" si="26"/>
        <v>2.4397534598298831</v>
      </c>
    </row>
    <row r="302" spans="1:10" x14ac:dyDescent="0.3">
      <c r="A302" s="40" t="s">
        <v>514</v>
      </c>
      <c r="B302" s="40" t="s">
        <v>83</v>
      </c>
      <c r="C302" s="40" t="s">
        <v>489</v>
      </c>
      <c r="D302" s="40">
        <f>SQRT((1833^2)+((2381/2)^2))</f>
        <v>2185.6759252002571</v>
      </c>
      <c r="F302" s="40">
        <v>305</v>
      </c>
      <c r="H302" s="40">
        <f t="shared" si="37"/>
        <v>2033.1759252002571</v>
      </c>
      <c r="I302" s="40">
        <v>1</v>
      </c>
      <c r="J302" s="62">
        <f t="shared" si="26"/>
        <v>2.0331759252002573</v>
      </c>
    </row>
    <row r="303" spans="1:10" x14ac:dyDescent="0.3">
      <c r="A303" s="40" t="s">
        <v>515</v>
      </c>
      <c r="B303" s="40" t="s">
        <v>83</v>
      </c>
      <c r="C303" s="40" t="s">
        <v>489</v>
      </c>
      <c r="D303" s="40">
        <f>SQRT((1833^2)+((2381/2)^2))</f>
        <v>2185.6759252002571</v>
      </c>
      <c r="F303" s="40">
        <v>305</v>
      </c>
      <c r="H303" s="40">
        <f t="shared" si="37"/>
        <v>2033.1759252002571</v>
      </c>
      <c r="I303" s="40">
        <v>1</v>
      </c>
      <c r="J303" s="62">
        <f t="shared" si="26"/>
        <v>2.0331759252002573</v>
      </c>
    </row>
    <row r="304" spans="1:10" x14ac:dyDescent="0.3">
      <c r="A304" s="40" t="s">
        <v>516</v>
      </c>
      <c r="B304" s="40" t="s">
        <v>83</v>
      </c>
      <c r="C304" s="40" t="s">
        <v>489</v>
      </c>
      <c r="D304" s="40">
        <f>SQRT((1833^2)+(1833^2))</f>
        <v>2592.253459829883</v>
      </c>
      <c r="F304" s="40">
        <v>305</v>
      </c>
      <c r="H304" s="40">
        <f t="shared" si="37"/>
        <v>2439.753459829883</v>
      </c>
      <c r="I304" s="40">
        <v>1</v>
      </c>
      <c r="J304" s="62">
        <f t="shared" si="26"/>
        <v>2.4397534598298831</v>
      </c>
    </row>
    <row r="305" spans="1:10" x14ac:dyDescent="0.3">
      <c r="A305" s="40" t="s">
        <v>513</v>
      </c>
      <c r="B305" s="40" t="s">
        <v>83</v>
      </c>
      <c r="C305" s="40" t="s">
        <v>489</v>
      </c>
      <c r="D305" s="40">
        <f>SQRT((1833^2)+(1833^2))</f>
        <v>2592.253459829883</v>
      </c>
      <c r="F305" s="40">
        <v>305</v>
      </c>
      <c r="H305" s="40">
        <f t="shared" si="37"/>
        <v>2439.753459829883</v>
      </c>
      <c r="I305" s="40">
        <v>1</v>
      </c>
      <c r="J305" s="62">
        <f t="shared" si="26"/>
        <v>2.4397534598298831</v>
      </c>
    </row>
    <row r="306" spans="1:10" x14ac:dyDescent="0.3">
      <c r="A306" s="40" t="s">
        <v>517</v>
      </c>
      <c r="B306" s="40" t="s">
        <v>83</v>
      </c>
      <c r="C306" s="40" t="s">
        <v>489</v>
      </c>
      <c r="D306" s="40">
        <f>SQRT((1833^2)+(1833^2))</f>
        <v>2592.253459829883</v>
      </c>
      <c r="F306" s="40">
        <v>305</v>
      </c>
      <c r="H306" s="40">
        <f t="shared" si="37"/>
        <v>2439.753459829883</v>
      </c>
      <c r="I306" s="40">
        <v>1</v>
      </c>
      <c r="J306" s="62">
        <f t="shared" si="26"/>
        <v>2.4397534598298831</v>
      </c>
    </row>
    <row r="307" spans="1:10" x14ac:dyDescent="0.3">
      <c r="A307" s="40" t="s">
        <v>518</v>
      </c>
      <c r="B307" s="40" t="s">
        <v>82</v>
      </c>
      <c r="C307" s="40" t="s">
        <v>519</v>
      </c>
      <c r="D307" s="40">
        <v>415322</v>
      </c>
      <c r="H307" s="40">
        <f t="shared" si="37"/>
        <v>415322</v>
      </c>
      <c r="I307" s="40">
        <v>1</v>
      </c>
      <c r="J307" s="62">
        <f t="shared" si="26"/>
        <v>415.322</v>
      </c>
    </row>
  </sheetData>
  <autoFilter ref="A1:Q307" xr:uid="{18148155-B818-401F-A033-C8F187BB4BFB}"/>
  <phoneticPr fontId="1" type="noConversion"/>
  <dataValidations disablePrompts="1" count="2">
    <dataValidation type="list" allowBlank="1" showInputMessage="1" showErrorMessage="1" sqref="B2:B307" xr:uid="{9200D92C-00F0-4F34-9424-372FEFFBD1D9}">
      <formula1>$N$2:$N$24</formula1>
    </dataValidation>
    <dataValidation type="list" allowBlank="1" showInputMessage="1" showErrorMessage="1" sqref="C2:C189" xr:uid="{A315740D-B0A0-49FB-8B6B-940861686FB8}">
      <formula1>$P$2:$P$7</formula1>
    </dataValidation>
  </dataValidations>
  <pageMargins left="0.7" right="0.7" top="0.75" bottom="0.75" header="0.3" footer="0.3"/>
  <pageSetup orientation="portrait" horizontalDpi="1200" verticalDpi="1200" r:id="rId1"/>
  <ignoredErrors>
    <ignoredError sqref="D27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C650-9326-4DD8-AC31-2B4DC4BCE0C2}">
  <dimension ref="A1:AA95"/>
  <sheetViews>
    <sheetView topLeftCell="A83" zoomScale="115" zoomScaleNormal="115" workbookViewId="0">
      <selection activeCell="F91" sqref="F91"/>
    </sheetView>
  </sheetViews>
  <sheetFormatPr defaultRowHeight="30" customHeight="1" x14ac:dyDescent="0.3"/>
  <cols>
    <col min="1" max="6" width="15.33203125" customWidth="1"/>
    <col min="7" max="7" width="15" customWidth="1"/>
    <col min="8" max="8" width="11.33203125" customWidth="1"/>
    <col min="9" max="10" width="14.44140625" customWidth="1"/>
    <col min="11" max="11" width="21.109375" customWidth="1"/>
    <col min="12" max="12" width="21.88671875" customWidth="1"/>
    <col min="16" max="17" width="57.44140625" customWidth="1"/>
    <col min="21" max="21" width="28.44140625" customWidth="1"/>
    <col min="22" max="22" width="10.6640625" bestFit="1" customWidth="1"/>
    <col min="25" max="25" width="13" customWidth="1"/>
    <col min="27" max="27" width="13.5546875" customWidth="1"/>
  </cols>
  <sheetData>
    <row r="1" spans="1:27" ht="30" customHeight="1" x14ac:dyDescent="0.3">
      <c r="A1" s="11" t="s">
        <v>520</v>
      </c>
      <c r="P1" s="27" t="s">
        <v>38</v>
      </c>
      <c r="Q1" s="27"/>
      <c r="R1" s="28"/>
      <c r="S1" s="28"/>
      <c r="U1" s="94" t="s">
        <v>521</v>
      </c>
      <c r="V1" s="94" t="s">
        <v>237</v>
      </c>
      <c r="W1" s="94" t="s">
        <v>208</v>
      </c>
      <c r="X1" s="94" t="s">
        <v>522</v>
      </c>
      <c r="Y1" s="94" t="s">
        <v>15</v>
      </c>
      <c r="Z1" s="94" t="s">
        <v>522</v>
      </c>
      <c r="AA1" s="94" t="s">
        <v>15</v>
      </c>
    </row>
    <row r="2" spans="1:27" ht="30" customHeight="1" x14ac:dyDescent="0.3">
      <c r="A2" s="39" t="s">
        <v>44</v>
      </c>
      <c r="P2" s="32" t="s">
        <v>39</v>
      </c>
      <c r="Q2" s="32" t="s">
        <v>523</v>
      </c>
      <c r="R2" s="33">
        <f>F59</f>
        <v>3.7016760000000004</v>
      </c>
      <c r="S2" s="34" t="s">
        <v>41</v>
      </c>
      <c r="U2" s="95" t="s">
        <v>524</v>
      </c>
      <c r="V2" s="95">
        <v>710.04</v>
      </c>
      <c r="W2" s="95" t="s">
        <v>41</v>
      </c>
      <c r="X2" s="96">
        <v>107</v>
      </c>
      <c r="Y2" s="96">
        <f>V2*X2</f>
        <v>75974.28</v>
      </c>
      <c r="Z2" s="96">
        <v>112</v>
      </c>
      <c r="AA2" s="96">
        <f>Z2*V2</f>
        <v>79524.479999999996</v>
      </c>
    </row>
    <row r="3" spans="1:27" ht="30" customHeight="1" x14ac:dyDescent="0.3">
      <c r="A3" s="38"/>
      <c r="B3" s="116" t="s">
        <v>525</v>
      </c>
      <c r="C3" s="116"/>
      <c r="D3" s="116"/>
      <c r="E3" s="38" t="s">
        <v>526</v>
      </c>
      <c r="F3" s="38" t="s">
        <v>527</v>
      </c>
      <c r="G3" s="38" t="s">
        <v>528</v>
      </c>
      <c r="J3" s="40"/>
      <c r="P3" s="32" t="s">
        <v>42</v>
      </c>
      <c r="Q3" s="32" t="s">
        <v>523</v>
      </c>
      <c r="R3" s="33">
        <f>F63</f>
        <v>5.7768579999999998</v>
      </c>
      <c r="S3" s="34" t="s">
        <v>41</v>
      </c>
      <c r="U3" s="95" t="s">
        <v>529</v>
      </c>
      <c r="V3" s="95">
        <v>77.42</v>
      </c>
      <c r="W3" s="95" t="s">
        <v>41</v>
      </c>
      <c r="X3" s="96">
        <v>116</v>
      </c>
      <c r="Y3" s="96">
        <f t="shared" ref="Y3:Y7" si="0">V3*X3</f>
        <v>8980.7199999999993</v>
      </c>
      <c r="Z3" s="96">
        <v>117</v>
      </c>
      <c r="AA3" s="96">
        <f t="shared" ref="AA3:AA7" si="1">Z3*V3</f>
        <v>9058.14</v>
      </c>
    </row>
    <row r="4" spans="1:27" ht="30" customHeight="1" x14ac:dyDescent="0.3">
      <c r="A4" s="38" t="s">
        <v>530</v>
      </c>
      <c r="B4" s="38" t="s">
        <v>531</v>
      </c>
      <c r="C4" s="38" t="s">
        <v>532</v>
      </c>
      <c r="D4" s="38" t="s">
        <v>212</v>
      </c>
      <c r="E4" s="38"/>
      <c r="F4" s="64"/>
      <c r="G4" s="38"/>
      <c r="P4" s="32" t="s">
        <v>44</v>
      </c>
      <c r="Q4" s="32" t="s">
        <v>523</v>
      </c>
      <c r="R4" s="33">
        <f>F10</f>
        <v>129.46142913000003</v>
      </c>
      <c r="S4" s="34" t="s">
        <v>41</v>
      </c>
      <c r="U4" s="95" t="s">
        <v>533</v>
      </c>
      <c r="V4" s="95">
        <v>1235.3</v>
      </c>
      <c r="W4" s="95" t="s">
        <v>41</v>
      </c>
      <c r="X4" s="96">
        <v>127</v>
      </c>
      <c r="Y4" s="96">
        <f t="shared" si="0"/>
        <v>156883.1</v>
      </c>
      <c r="Z4" s="96">
        <v>122</v>
      </c>
      <c r="AA4" s="96">
        <f t="shared" si="1"/>
        <v>150706.6</v>
      </c>
    </row>
    <row r="5" spans="1:27" ht="30" customHeight="1" x14ac:dyDescent="0.3">
      <c r="A5" s="38" t="s">
        <v>534</v>
      </c>
      <c r="B5" s="38">
        <v>2440</v>
      </c>
      <c r="C5" s="38">
        <f>0.785*B5*B5</f>
        <v>4673576</v>
      </c>
      <c r="D5" s="38">
        <v>1400</v>
      </c>
      <c r="E5" s="38">
        <v>7</v>
      </c>
      <c r="F5" s="64">
        <f>(C5*D5*E5)/10^9</f>
        <v>45.8010448</v>
      </c>
      <c r="G5" s="38" t="s">
        <v>535</v>
      </c>
      <c r="P5" s="32" t="s">
        <v>46</v>
      </c>
      <c r="Q5" s="32" t="s">
        <v>523</v>
      </c>
      <c r="R5" s="33">
        <v>1235.3</v>
      </c>
      <c r="S5" s="34" t="s">
        <v>41</v>
      </c>
      <c r="U5" s="95" t="s">
        <v>53</v>
      </c>
      <c r="V5" s="95">
        <v>2022.76</v>
      </c>
      <c r="W5" s="95" t="s">
        <v>41</v>
      </c>
      <c r="X5" s="96">
        <v>8.65</v>
      </c>
      <c r="Y5" s="96">
        <f t="shared" si="0"/>
        <v>17496.874</v>
      </c>
      <c r="Z5" s="96">
        <v>9</v>
      </c>
      <c r="AA5" s="96">
        <f t="shared" si="1"/>
        <v>18204.84</v>
      </c>
    </row>
    <row r="6" spans="1:27" ht="30" customHeight="1" x14ac:dyDescent="0.3">
      <c r="A6" s="38" t="s">
        <v>536</v>
      </c>
      <c r="B6" s="38">
        <v>2130</v>
      </c>
      <c r="C6" s="38">
        <f t="shared" ref="C6:C8" si="2">0.785*B6*B6</f>
        <v>3561466.5</v>
      </c>
      <c r="D6" s="38">
        <v>1400</v>
      </c>
      <c r="E6" s="38">
        <v>7</v>
      </c>
      <c r="F6" s="64">
        <f>(C6*D6*E6)/10^9</f>
        <v>34.902371700000003</v>
      </c>
      <c r="G6" s="38" t="s">
        <v>535</v>
      </c>
      <c r="P6" s="32" t="s">
        <v>48</v>
      </c>
      <c r="Q6" s="32" t="s">
        <v>523</v>
      </c>
      <c r="R6" s="33">
        <f>F27</f>
        <v>431.03669718999998</v>
      </c>
      <c r="S6" s="34" t="s">
        <v>41</v>
      </c>
      <c r="U6" s="95" t="s">
        <v>54</v>
      </c>
      <c r="V6" s="95">
        <v>18529.560000000001</v>
      </c>
      <c r="W6" s="95" t="s">
        <v>30</v>
      </c>
      <c r="X6" s="96">
        <v>5.67</v>
      </c>
      <c r="Y6" s="96">
        <f t="shared" si="0"/>
        <v>105062.60520000001</v>
      </c>
      <c r="Z6" s="96">
        <v>5.33</v>
      </c>
      <c r="AA6" s="96">
        <f t="shared" si="1"/>
        <v>98762.554800000013</v>
      </c>
    </row>
    <row r="7" spans="1:27" ht="30" customHeight="1" x14ac:dyDescent="0.3">
      <c r="A7" s="38" t="s">
        <v>537</v>
      </c>
      <c r="B7" s="38">
        <v>2440</v>
      </c>
      <c r="C7" s="38">
        <f t="shared" si="2"/>
        <v>4673576</v>
      </c>
      <c r="D7" s="38">
        <v>1400</v>
      </c>
      <c r="E7" s="38">
        <v>5</v>
      </c>
      <c r="F7" s="64">
        <f t="shared" ref="F7:F8" si="3">C7*D7*E7/10^9</f>
        <v>32.715032000000001</v>
      </c>
      <c r="G7" s="38" t="s">
        <v>535</v>
      </c>
      <c r="P7" s="32" t="s">
        <v>49</v>
      </c>
      <c r="Q7" s="32" t="s">
        <v>523</v>
      </c>
      <c r="R7" s="33">
        <f>J95</f>
        <v>71.641754977601224</v>
      </c>
      <c r="S7" s="34" t="s">
        <v>41</v>
      </c>
      <c r="U7" s="95" t="s">
        <v>56</v>
      </c>
      <c r="V7" s="95">
        <v>1235.3</v>
      </c>
      <c r="W7" s="95" t="s">
        <v>41</v>
      </c>
      <c r="X7" s="96">
        <v>30</v>
      </c>
      <c r="Y7" s="96">
        <f t="shared" si="0"/>
        <v>37059</v>
      </c>
      <c r="Z7" s="96">
        <v>22</v>
      </c>
      <c r="AA7" s="96">
        <f t="shared" si="1"/>
        <v>27176.6</v>
      </c>
    </row>
    <row r="8" spans="1:27" ht="30" customHeight="1" x14ac:dyDescent="0.3">
      <c r="A8" s="38" t="s">
        <v>538</v>
      </c>
      <c r="B8" s="38">
        <v>2130</v>
      </c>
      <c r="C8" s="38">
        <f t="shared" si="2"/>
        <v>3561466.5</v>
      </c>
      <c r="D8" s="38">
        <v>1200</v>
      </c>
      <c r="E8" s="38">
        <v>1</v>
      </c>
      <c r="F8" s="64">
        <f t="shared" si="3"/>
        <v>4.2737597999999997</v>
      </c>
      <c r="G8" s="38" t="s">
        <v>535</v>
      </c>
      <c r="P8" s="32" t="s">
        <v>50</v>
      </c>
      <c r="Q8" s="32" t="s">
        <v>523</v>
      </c>
      <c r="R8" s="33">
        <f>F81</f>
        <v>138.01540500000002</v>
      </c>
      <c r="S8" s="34" t="s">
        <v>41</v>
      </c>
      <c r="U8" s="95" t="s">
        <v>539</v>
      </c>
      <c r="V8" s="95" t="s">
        <v>539</v>
      </c>
      <c r="W8" s="95" t="s">
        <v>539</v>
      </c>
      <c r="X8" s="95" t="s">
        <v>539</v>
      </c>
      <c r="Y8" s="95" t="s">
        <v>539</v>
      </c>
      <c r="Z8" s="95" t="s">
        <v>539</v>
      </c>
      <c r="AA8" s="95" t="s">
        <v>539</v>
      </c>
    </row>
    <row r="9" spans="1:27" ht="30" customHeight="1" x14ac:dyDescent="0.3">
      <c r="A9" s="59" t="s">
        <v>540</v>
      </c>
      <c r="B9" s="38"/>
      <c r="C9" s="38"/>
      <c r="D9" s="38"/>
      <c r="E9" s="38"/>
      <c r="F9" s="67">
        <f>SUM(F5:F8)</f>
        <v>117.6922083</v>
      </c>
      <c r="G9" s="38"/>
      <c r="P9" s="32" t="s">
        <v>51</v>
      </c>
      <c r="Q9" s="32" t="s">
        <v>523</v>
      </c>
      <c r="R9" s="33">
        <f>F35</f>
        <v>7.8219487499999998</v>
      </c>
      <c r="S9" s="34" t="s">
        <v>41</v>
      </c>
      <c r="U9" s="94" t="s">
        <v>541</v>
      </c>
      <c r="V9" s="94" t="s">
        <v>539</v>
      </c>
      <c r="W9" s="94" t="s">
        <v>539</v>
      </c>
      <c r="X9" s="94" t="s">
        <v>539</v>
      </c>
      <c r="Y9" s="98">
        <f>SUM(Y2:Y7)</f>
        <v>401456.57920000004</v>
      </c>
      <c r="Z9" s="94" t="s">
        <v>539</v>
      </c>
      <c r="AA9" s="98">
        <f>SUM(AA2:AA7)</f>
        <v>383433.21479999996</v>
      </c>
    </row>
    <row r="10" spans="1:27" ht="30" customHeight="1" x14ac:dyDescent="0.3">
      <c r="A10" s="85" t="s">
        <v>542</v>
      </c>
      <c r="B10" s="86"/>
      <c r="C10" s="86"/>
      <c r="D10" s="86"/>
      <c r="E10" s="87"/>
      <c r="F10" s="88">
        <f>F9*1.1</f>
        <v>129.46142913000003</v>
      </c>
      <c r="G10" s="38"/>
      <c r="P10" s="32" t="s">
        <v>53</v>
      </c>
      <c r="Q10" s="32" t="s">
        <v>523</v>
      </c>
      <c r="R10" s="33">
        <f>SUM(R2:R9)</f>
        <v>2022.7557690476015</v>
      </c>
      <c r="S10" s="34" t="s">
        <v>41</v>
      </c>
      <c r="U10" s="97" t="s">
        <v>539</v>
      </c>
    </row>
    <row r="11" spans="1:27" ht="30" customHeight="1" x14ac:dyDescent="0.3">
      <c r="A11" s="77"/>
      <c r="B11" s="40"/>
      <c r="C11" s="40"/>
      <c r="D11" s="40"/>
      <c r="E11" s="40"/>
      <c r="F11" s="77"/>
      <c r="G11" s="40"/>
      <c r="P11" s="32" t="s">
        <v>54</v>
      </c>
      <c r="Q11" s="32" t="s">
        <v>523</v>
      </c>
      <c r="R11" s="33"/>
      <c r="S11" s="34" t="s">
        <v>30</v>
      </c>
    </row>
    <row r="12" spans="1:27" ht="30" customHeight="1" x14ac:dyDescent="0.3">
      <c r="A12" s="117" t="s">
        <v>48</v>
      </c>
      <c r="B12" s="117"/>
      <c r="C12" s="117"/>
      <c r="D12" s="40"/>
      <c r="E12" s="40"/>
      <c r="F12" s="40"/>
      <c r="G12" s="40"/>
      <c r="P12" s="32" t="s">
        <v>56</v>
      </c>
      <c r="Q12" s="32" t="s">
        <v>523</v>
      </c>
      <c r="R12" s="33"/>
      <c r="S12" s="34" t="s">
        <v>41</v>
      </c>
    </row>
    <row r="13" spans="1:27" ht="30" customHeight="1" x14ac:dyDescent="0.3">
      <c r="A13" s="78"/>
      <c r="B13" s="116" t="s">
        <v>525</v>
      </c>
      <c r="C13" s="116"/>
      <c r="D13" s="116"/>
      <c r="E13" s="38" t="s">
        <v>526</v>
      </c>
      <c r="F13" s="38" t="s">
        <v>527</v>
      </c>
      <c r="G13" s="38" t="s">
        <v>528</v>
      </c>
      <c r="P13" s="11"/>
      <c r="Q13" s="11"/>
      <c r="R13" s="12"/>
      <c r="S13" s="13"/>
    </row>
    <row r="14" spans="1:27" ht="30" customHeight="1" x14ac:dyDescent="0.3">
      <c r="A14" s="78" t="s">
        <v>530</v>
      </c>
      <c r="B14" s="38" t="s">
        <v>531</v>
      </c>
      <c r="C14" s="38" t="s">
        <v>532</v>
      </c>
      <c r="D14" s="38" t="s">
        <v>212</v>
      </c>
      <c r="E14" s="38"/>
      <c r="F14" s="38"/>
      <c r="G14" s="38"/>
    </row>
    <row r="15" spans="1:27" ht="30" customHeight="1" x14ac:dyDescent="0.3">
      <c r="A15" s="38" t="s">
        <v>534</v>
      </c>
      <c r="B15" s="38">
        <v>2440</v>
      </c>
      <c r="C15" s="38">
        <f>0.785*B15*B15</f>
        <v>4673576</v>
      </c>
      <c r="D15" s="38">
        <v>1400</v>
      </c>
      <c r="E15" s="38">
        <v>5</v>
      </c>
      <c r="F15" s="64">
        <f>C15*D15*E15/10^9</f>
        <v>32.715032000000001</v>
      </c>
      <c r="G15" s="38" t="s">
        <v>535</v>
      </c>
    </row>
    <row r="16" spans="1:27" ht="30" customHeight="1" x14ac:dyDescent="0.3">
      <c r="A16" s="38" t="s">
        <v>543</v>
      </c>
      <c r="B16" s="38">
        <v>2440</v>
      </c>
      <c r="C16" s="38">
        <f t="shared" ref="C16:C23" si="4">0.785*B16*B16</f>
        <v>4673576</v>
      </c>
      <c r="D16" s="38">
        <v>2000</v>
      </c>
      <c r="E16" s="38">
        <v>2</v>
      </c>
      <c r="F16" s="64">
        <f t="shared" ref="F16:F23" si="5">C16*D16*E16/10^9</f>
        <v>18.694303999999999</v>
      </c>
      <c r="G16" s="38" t="s">
        <v>544</v>
      </c>
    </row>
    <row r="17" spans="1:9" ht="30" customHeight="1" x14ac:dyDescent="0.3">
      <c r="A17" s="38" t="s">
        <v>545</v>
      </c>
      <c r="B17" s="38">
        <v>2440</v>
      </c>
      <c r="C17" s="38">
        <f t="shared" si="4"/>
        <v>4673576</v>
      </c>
      <c r="D17" s="38">
        <v>3700</v>
      </c>
      <c r="E17" s="38">
        <v>2</v>
      </c>
      <c r="F17" s="64">
        <f t="shared" si="5"/>
        <v>34.5844624</v>
      </c>
      <c r="G17" s="38" t="s">
        <v>544</v>
      </c>
    </row>
    <row r="18" spans="1:9" ht="30" customHeight="1" x14ac:dyDescent="0.3">
      <c r="A18" s="38" t="s">
        <v>536</v>
      </c>
      <c r="B18" s="38">
        <v>2130</v>
      </c>
      <c r="C18" s="38">
        <f t="shared" si="4"/>
        <v>3561466.5</v>
      </c>
      <c r="D18" s="38">
        <v>1400</v>
      </c>
      <c r="E18" s="38">
        <v>7</v>
      </c>
      <c r="F18" s="64">
        <f t="shared" si="5"/>
        <v>34.902371700000003</v>
      </c>
      <c r="G18" s="38" t="s">
        <v>535</v>
      </c>
    </row>
    <row r="19" spans="1:9" ht="30" customHeight="1" x14ac:dyDescent="0.3">
      <c r="A19" s="38" t="s">
        <v>537</v>
      </c>
      <c r="B19" s="38">
        <v>2440</v>
      </c>
      <c r="C19" s="38">
        <f t="shared" si="4"/>
        <v>4673576</v>
      </c>
      <c r="D19" s="38">
        <v>1400</v>
      </c>
      <c r="E19" s="38">
        <v>3</v>
      </c>
      <c r="F19" s="64">
        <f t="shared" si="5"/>
        <v>19.629019199999998</v>
      </c>
      <c r="G19" s="38" t="s">
        <v>535</v>
      </c>
    </row>
    <row r="20" spans="1:9" ht="30" customHeight="1" x14ac:dyDescent="0.3">
      <c r="A20" s="38" t="s">
        <v>546</v>
      </c>
      <c r="B20" s="38">
        <v>2440</v>
      </c>
      <c r="C20" s="38">
        <f t="shared" si="4"/>
        <v>4673576</v>
      </c>
      <c r="D20" s="38">
        <v>2500</v>
      </c>
      <c r="E20" s="38">
        <v>5</v>
      </c>
      <c r="F20" s="64">
        <f t="shared" si="5"/>
        <v>58.419699999999999</v>
      </c>
      <c r="G20" s="38" t="s">
        <v>544</v>
      </c>
    </row>
    <row r="21" spans="1:9" ht="30" customHeight="1" x14ac:dyDescent="0.3">
      <c r="A21" s="38" t="s">
        <v>538</v>
      </c>
      <c r="B21" s="38">
        <v>2130</v>
      </c>
      <c r="C21" s="38">
        <f t="shared" si="4"/>
        <v>3561466.5</v>
      </c>
      <c r="D21" s="38">
        <v>1200</v>
      </c>
      <c r="E21" s="38">
        <v>20</v>
      </c>
      <c r="F21" s="64">
        <f t="shared" si="5"/>
        <v>85.475195999999997</v>
      </c>
      <c r="G21" s="38" t="s">
        <v>535</v>
      </c>
      <c r="I21" t="s">
        <v>547</v>
      </c>
    </row>
    <row r="22" spans="1:9" ht="30" customHeight="1" x14ac:dyDescent="0.3">
      <c r="A22" s="38" t="s">
        <v>548</v>
      </c>
      <c r="B22" s="38">
        <v>1830</v>
      </c>
      <c r="C22" s="38">
        <f t="shared" si="4"/>
        <v>2628886.5</v>
      </c>
      <c r="D22" s="38">
        <v>1200</v>
      </c>
      <c r="E22" s="38">
        <v>7</v>
      </c>
      <c r="F22" s="64">
        <f t="shared" si="5"/>
        <v>22.0826466</v>
      </c>
      <c r="G22" s="38" t="s">
        <v>535</v>
      </c>
    </row>
    <row r="23" spans="1:9" ht="30" customHeight="1" x14ac:dyDescent="0.3">
      <c r="A23" s="38" t="s">
        <v>549</v>
      </c>
      <c r="B23" s="38">
        <v>1675</v>
      </c>
      <c r="C23" s="38">
        <f t="shared" si="4"/>
        <v>2202415.625</v>
      </c>
      <c r="D23" s="38">
        <v>1200</v>
      </c>
      <c r="E23" s="38">
        <v>4</v>
      </c>
      <c r="F23" s="64">
        <f t="shared" si="5"/>
        <v>10.571595</v>
      </c>
      <c r="G23" s="38" t="s">
        <v>535</v>
      </c>
    </row>
    <row r="24" spans="1:9" ht="30" customHeight="1" x14ac:dyDescent="0.3">
      <c r="A24" s="38" t="s">
        <v>550</v>
      </c>
      <c r="B24" s="38">
        <v>2440</v>
      </c>
      <c r="C24" s="38">
        <f>0.785*B24*B24</f>
        <v>4673576</v>
      </c>
      <c r="D24" s="38">
        <v>8000</v>
      </c>
      <c r="E24" s="38">
        <v>2</v>
      </c>
      <c r="F24" s="64">
        <f>C24*D24*E24/10^9</f>
        <v>74.777215999999996</v>
      </c>
      <c r="G24" s="38" t="s">
        <v>535</v>
      </c>
    </row>
    <row r="25" spans="1:9" ht="30" customHeight="1" x14ac:dyDescent="0.3">
      <c r="A25" s="38" t="s">
        <v>551</v>
      </c>
      <c r="B25" s="38">
        <v>0</v>
      </c>
      <c r="C25" s="38">
        <v>0</v>
      </c>
      <c r="D25" s="38">
        <v>1900</v>
      </c>
      <c r="E25" s="38">
        <v>0</v>
      </c>
      <c r="F25" s="64">
        <v>0</v>
      </c>
      <c r="G25" s="38" t="s">
        <v>535</v>
      </c>
    </row>
    <row r="26" spans="1:9" ht="30" customHeight="1" x14ac:dyDescent="0.3">
      <c r="A26" s="59" t="s">
        <v>540</v>
      </c>
      <c r="B26" s="38"/>
      <c r="C26" s="38"/>
      <c r="D26" s="38"/>
      <c r="E26" s="38"/>
      <c r="F26" s="67">
        <f>SUM(F15:F25)</f>
        <v>391.85154289999997</v>
      </c>
      <c r="G26" s="38"/>
    </row>
    <row r="27" spans="1:9" ht="30" customHeight="1" x14ac:dyDescent="0.3">
      <c r="A27" s="85" t="s">
        <v>542</v>
      </c>
      <c r="B27" s="86"/>
      <c r="C27" s="86"/>
      <c r="D27" s="86"/>
      <c r="E27" s="87"/>
      <c r="F27" s="88">
        <f>F26*1.1</f>
        <v>431.03669718999998</v>
      </c>
      <c r="G27" s="38"/>
    </row>
    <row r="28" spans="1:9" ht="30" customHeight="1" x14ac:dyDescent="0.3">
      <c r="A28" s="117" t="s">
        <v>51</v>
      </c>
      <c r="B28" s="117"/>
      <c r="C28" s="117"/>
    </row>
    <row r="29" spans="1:9" ht="30" customHeight="1" x14ac:dyDescent="0.3">
      <c r="B29" s="116" t="s">
        <v>552</v>
      </c>
      <c r="C29" s="116"/>
      <c r="D29" s="116"/>
      <c r="E29" s="38" t="s">
        <v>237</v>
      </c>
      <c r="F29" s="38" t="s">
        <v>527</v>
      </c>
      <c r="G29" s="38" t="s">
        <v>528</v>
      </c>
    </row>
    <row r="30" spans="1:9" ht="30" customHeight="1" x14ac:dyDescent="0.3">
      <c r="A30" s="38"/>
      <c r="B30" s="38" t="s">
        <v>553</v>
      </c>
      <c r="C30" s="38" t="s">
        <v>554</v>
      </c>
      <c r="D30" s="38" t="s">
        <v>555</v>
      </c>
      <c r="E30" s="38"/>
      <c r="F30" s="38"/>
      <c r="G30" s="38"/>
    </row>
    <row r="31" spans="1:9" ht="30" customHeight="1" x14ac:dyDescent="0.3">
      <c r="A31" s="38" t="s">
        <v>556</v>
      </c>
      <c r="B31" s="38"/>
      <c r="C31" s="38"/>
      <c r="D31" s="38"/>
      <c r="E31" s="38"/>
      <c r="F31" s="38"/>
      <c r="G31" s="38"/>
    </row>
    <row r="32" spans="1:9" ht="30" customHeight="1" x14ac:dyDescent="0.3">
      <c r="A32" s="38" t="s">
        <v>557</v>
      </c>
      <c r="B32" s="38">
        <v>800</v>
      </c>
      <c r="C32" s="38">
        <v>800</v>
      </c>
      <c r="D32" s="38">
        <v>1050</v>
      </c>
      <c r="E32" s="38">
        <v>8</v>
      </c>
      <c r="F32" s="64">
        <f>(B32*C32*D32*E32)/(10)^9</f>
        <v>5.3760000000000003</v>
      </c>
      <c r="G32" s="38" t="s">
        <v>535</v>
      </c>
    </row>
    <row r="33" spans="1:7" ht="30" customHeight="1" x14ac:dyDescent="0.3">
      <c r="A33" s="38" t="s">
        <v>558</v>
      </c>
      <c r="B33" s="38">
        <v>650</v>
      </c>
      <c r="C33" s="38">
        <v>650</v>
      </c>
      <c r="D33" s="38">
        <v>1050</v>
      </c>
      <c r="E33" s="38">
        <v>5</v>
      </c>
      <c r="F33" s="64">
        <f>(B33*C33*D33*E33)/(10)^9</f>
        <v>2.2181250000000001</v>
      </c>
      <c r="G33" s="38" t="s">
        <v>535</v>
      </c>
    </row>
    <row r="34" spans="1:7" ht="30" customHeight="1" x14ac:dyDescent="0.3">
      <c r="A34" s="89"/>
      <c r="B34" s="89"/>
      <c r="C34" s="89"/>
      <c r="D34" s="89"/>
      <c r="E34" s="89"/>
      <c r="F34" s="91">
        <f>F32+F33</f>
        <v>7.594125</v>
      </c>
      <c r="G34" s="89"/>
    </row>
    <row r="35" spans="1:7" ht="30" customHeight="1" x14ac:dyDescent="0.3">
      <c r="A35" s="92" t="s">
        <v>559</v>
      </c>
      <c r="B35" s="90"/>
      <c r="C35" s="90"/>
      <c r="D35" s="90"/>
      <c r="E35" s="90"/>
      <c r="F35" s="93">
        <f>F34*1.03</f>
        <v>7.8219487499999998</v>
      </c>
      <c r="G35" s="53"/>
    </row>
    <row r="42" spans="1:7" ht="30" customHeight="1" x14ac:dyDescent="0.3">
      <c r="A42" s="39" t="s">
        <v>42</v>
      </c>
      <c r="D42" s="41"/>
    </row>
    <row r="43" spans="1:7" ht="30" customHeight="1" x14ac:dyDescent="0.3">
      <c r="A43" s="39" t="s">
        <v>560</v>
      </c>
      <c r="D43" s="41" t="s">
        <v>561</v>
      </c>
    </row>
    <row r="44" spans="1:7" ht="30" customHeight="1" x14ac:dyDescent="0.3">
      <c r="A44" s="51" t="s">
        <v>230</v>
      </c>
      <c r="B44" s="44" t="s">
        <v>562</v>
      </c>
      <c r="C44" s="45" t="s">
        <v>563</v>
      </c>
      <c r="D44" s="52" t="s">
        <v>230</v>
      </c>
      <c r="E44" s="44" t="s">
        <v>562</v>
      </c>
      <c r="F44" s="45" t="s">
        <v>564</v>
      </c>
    </row>
    <row r="45" spans="1:7" ht="30" customHeight="1" x14ac:dyDescent="0.3">
      <c r="A45" s="46" t="s">
        <v>565</v>
      </c>
      <c r="B45" s="42" t="s">
        <v>566</v>
      </c>
      <c r="C45" s="47">
        <f>400+14326+18289+15240+2509+134</f>
        <v>50898</v>
      </c>
      <c r="D45" s="53" t="s">
        <v>567</v>
      </c>
      <c r="E45" s="42"/>
      <c r="F45" s="47"/>
    </row>
    <row r="46" spans="1:7" ht="30" customHeight="1" x14ac:dyDescent="0.3">
      <c r="A46" s="46" t="s">
        <v>568</v>
      </c>
      <c r="B46" s="42" t="s">
        <v>569</v>
      </c>
      <c r="C46" s="47">
        <f>400+6096+23775+134</f>
        <v>30405</v>
      </c>
      <c r="D46" s="53" t="s">
        <v>570</v>
      </c>
      <c r="E46" s="42"/>
      <c r="F46" s="47">
        <v>5406</v>
      </c>
    </row>
    <row r="47" spans="1:7" ht="30" customHeight="1" x14ac:dyDescent="0.3">
      <c r="A47" s="46" t="s">
        <v>570</v>
      </c>
      <c r="B47" s="42" t="s">
        <v>571</v>
      </c>
      <c r="C47" s="47">
        <f>188+8724+28303+4615+16459+16459+548+4615+2655+201</f>
        <v>82767</v>
      </c>
      <c r="D47" s="53" t="s">
        <v>568</v>
      </c>
      <c r="E47" s="42"/>
      <c r="F47" s="47">
        <f>4166+6959+200</f>
        <v>11325</v>
      </c>
    </row>
    <row r="48" spans="1:7" ht="30" customHeight="1" x14ac:dyDescent="0.3">
      <c r="A48" s="46" t="s">
        <v>572</v>
      </c>
      <c r="B48" s="42" t="s">
        <v>573</v>
      </c>
      <c r="C48" s="47">
        <f>130444+400+400</f>
        <v>131244</v>
      </c>
      <c r="D48" s="53" t="s">
        <v>574</v>
      </c>
      <c r="E48" s="42"/>
      <c r="F48" s="47">
        <v>5406</v>
      </c>
    </row>
    <row r="49" spans="1:7" ht="30" customHeight="1" x14ac:dyDescent="0.3">
      <c r="A49" s="46" t="s">
        <v>575</v>
      </c>
      <c r="B49" s="42" t="s">
        <v>576</v>
      </c>
      <c r="C49" s="47">
        <f>189+36190+146</f>
        <v>36525</v>
      </c>
      <c r="D49" s="53" t="s">
        <v>577</v>
      </c>
      <c r="E49" s="42"/>
      <c r="F49" s="47">
        <v>5406</v>
      </c>
    </row>
    <row r="50" spans="1:7" ht="30" customHeight="1" x14ac:dyDescent="0.3">
      <c r="A50" s="46" t="s">
        <v>578</v>
      </c>
      <c r="B50" s="42" t="s">
        <v>579</v>
      </c>
      <c r="C50" s="47">
        <f>42699+134+199</f>
        <v>43032</v>
      </c>
      <c r="D50" s="53"/>
      <c r="E50" s="42"/>
      <c r="F50" s="47"/>
    </row>
    <row r="51" spans="1:7" ht="30" customHeight="1" x14ac:dyDescent="0.3">
      <c r="A51" s="46" t="s">
        <v>580</v>
      </c>
      <c r="B51" s="42" t="s">
        <v>581</v>
      </c>
      <c r="C51" s="47">
        <f>2*(8040+6424)</f>
        <v>28928</v>
      </c>
      <c r="D51" s="53"/>
      <c r="E51" s="42"/>
      <c r="F51" s="47"/>
    </row>
    <row r="52" spans="1:7" ht="30" customHeight="1" x14ac:dyDescent="0.3">
      <c r="A52" s="46" t="s">
        <v>582</v>
      </c>
      <c r="B52" s="42"/>
      <c r="C52" s="47">
        <f>SUM(C45:C51)</f>
        <v>403799</v>
      </c>
      <c r="D52" s="53" t="s">
        <v>582</v>
      </c>
      <c r="E52" s="42"/>
      <c r="F52" s="47">
        <f>SUM(F45:F51)</f>
        <v>27543</v>
      </c>
    </row>
    <row r="53" spans="1:7" ht="30" customHeight="1" x14ac:dyDescent="0.3">
      <c r="A53" s="46" t="s">
        <v>583</v>
      </c>
      <c r="B53" s="43" t="s">
        <v>584</v>
      </c>
      <c r="C53" s="47">
        <f>4*400</f>
        <v>1600</v>
      </c>
      <c r="D53" s="53" t="s">
        <v>585</v>
      </c>
      <c r="E53" s="43" t="s">
        <v>586</v>
      </c>
      <c r="F53" s="47">
        <f>100*5</f>
        <v>500</v>
      </c>
    </row>
    <row r="54" spans="1:7" ht="30" customHeight="1" x14ac:dyDescent="0.3">
      <c r="A54" s="48" t="s">
        <v>587</v>
      </c>
      <c r="B54" s="49"/>
      <c r="C54" s="50">
        <f>C52-C53</f>
        <v>402199</v>
      </c>
      <c r="D54" s="54" t="s">
        <v>587</v>
      </c>
      <c r="E54" s="49"/>
      <c r="F54" s="50">
        <f>F52+F53</f>
        <v>28043</v>
      </c>
    </row>
    <row r="56" spans="1:7" ht="30" customHeight="1" x14ac:dyDescent="0.3">
      <c r="A56" s="41" t="s">
        <v>39</v>
      </c>
    </row>
    <row r="57" spans="1:7" ht="30" customHeight="1" x14ac:dyDescent="0.3">
      <c r="A57" s="55" t="s">
        <v>230</v>
      </c>
      <c r="B57" s="55" t="s">
        <v>237</v>
      </c>
      <c r="C57" s="55" t="s">
        <v>587</v>
      </c>
      <c r="D57" s="55" t="s">
        <v>211</v>
      </c>
      <c r="E57" s="55" t="s">
        <v>588</v>
      </c>
      <c r="F57" s="55" t="s">
        <v>540</v>
      </c>
      <c r="G57" s="55" t="s">
        <v>589</v>
      </c>
    </row>
    <row r="58" spans="1:7" ht="30" customHeight="1" x14ac:dyDescent="0.3">
      <c r="A58" s="70" t="s">
        <v>590</v>
      </c>
      <c r="B58" s="70">
        <v>1</v>
      </c>
      <c r="C58" s="70">
        <f>F54</f>
        <v>28043</v>
      </c>
      <c r="D58" s="70">
        <v>600</v>
      </c>
      <c r="E58" s="70">
        <v>200</v>
      </c>
      <c r="F58" s="58">
        <f>B58*C58*D58*E58/1000^3</f>
        <v>3.3651599999999999</v>
      </c>
      <c r="G58" s="42" t="s">
        <v>591</v>
      </c>
    </row>
    <row r="59" spans="1:7" ht="30" customHeight="1" x14ac:dyDescent="0.3">
      <c r="A59" s="73" t="s">
        <v>542</v>
      </c>
      <c r="B59" s="71"/>
      <c r="C59" s="71"/>
      <c r="D59" s="71"/>
      <c r="E59" s="72"/>
      <c r="F59" s="74">
        <f>F58*1.1</f>
        <v>3.7016760000000004</v>
      </c>
      <c r="G59" s="42"/>
    </row>
    <row r="60" spans="1:7" ht="30" customHeight="1" x14ac:dyDescent="0.3">
      <c r="A60" s="41" t="s">
        <v>42</v>
      </c>
    </row>
    <row r="61" spans="1:7" ht="30" customHeight="1" x14ac:dyDescent="0.3">
      <c r="A61" s="55" t="s">
        <v>230</v>
      </c>
      <c r="B61" s="55" t="s">
        <v>237</v>
      </c>
      <c r="C61" s="55" t="s">
        <v>587</v>
      </c>
      <c r="D61" s="55" t="s">
        <v>211</v>
      </c>
      <c r="E61" s="55" t="s">
        <v>588</v>
      </c>
      <c r="F61" s="55" t="s">
        <v>540</v>
      </c>
      <c r="G61" s="55" t="s">
        <v>589</v>
      </c>
    </row>
    <row r="62" spans="1:7" ht="30" customHeight="1" x14ac:dyDescent="0.3">
      <c r="A62" s="42" t="s">
        <v>592</v>
      </c>
      <c r="B62" s="42">
        <v>1</v>
      </c>
      <c r="C62" s="42">
        <f>F54</f>
        <v>28043</v>
      </c>
      <c r="D62" s="42">
        <v>200</v>
      </c>
      <c r="E62" s="42">
        <v>1000</v>
      </c>
      <c r="F62" s="42">
        <f>B62*C62*D62*E62/1000^3</f>
        <v>5.6086</v>
      </c>
      <c r="G62" s="42" t="s">
        <v>591</v>
      </c>
    </row>
    <row r="63" spans="1:7" ht="30" customHeight="1" x14ac:dyDescent="0.3">
      <c r="A63" s="73" t="s">
        <v>559</v>
      </c>
      <c r="B63" s="71"/>
      <c r="C63" s="71"/>
      <c r="D63" s="71"/>
      <c r="E63" s="72"/>
      <c r="F63" s="74">
        <f>F62*1.03</f>
        <v>5.7768579999999998</v>
      </c>
      <c r="G63" s="42"/>
    </row>
    <row r="65" spans="1:7" ht="30" customHeight="1" x14ac:dyDescent="0.3">
      <c r="A65" s="41" t="s">
        <v>50</v>
      </c>
    </row>
    <row r="66" spans="1:7" ht="30" customHeight="1" x14ac:dyDescent="0.3">
      <c r="A66" s="55" t="s">
        <v>230</v>
      </c>
      <c r="B66" s="55" t="s">
        <v>237</v>
      </c>
      <c r="C66" s="55" t="s">
        <v>587</v>
      </c>
      <c r="D66" s="55" t="s">
        <v>211</v>
      </c>
      <c r="E66" s="55" t="s">
        <v>588</v>
      </c>
      <c r="F66" s="55" t="s">
        <v>540</v>
      </c>
      <c r="G66" s="55" t="s">
        <v>589</v>
      </c>
    </row>
    <row r="67" spans="1:7" ht="30" customHeight="1" x14ac:dyDescent="0.3">
      <c r="A67" s="56" t="s">
        <v>593</v>
      </c>
      <c r="B67" s="42">
        <v>1</v>
      </c>
      <c r="C67" s="42">
        <f>C54</f>
        <v>402199</v>
      </c>
      <c r="D67" s="42">
        <v>500</v>
      </c>
      <c r="E67" s="42">
        <v>900</v>
      </c>
      <c r="F67" s="58">
        <f>B67*C67*D67*E67/1000^3</f>
        <v>180.98955000000001</v>
      </c>
      <c r="G67" s="42" t="s">
        <v>591</v>
      </c>
    </row>
    <row r="68" spans="1:7" ht="30" customHeight="1" x14ac:dyDescent="0.3">
      <c r="A68" s="56" t="s">
        <v>594</v>
      </c>
      <c r="B68" s="42"/>
      <c r="C68" s="42"/>
      <c r="D68" s="42"/>
      <c r="E68" s="42"/>
      <c r="F68" s="58"/>
      <c r="G68" s="42"/>
    </row>
    <row r="69" spans="1:7" ht="30" customHeight="1" x14ac:dyDescent="0.3">
      <c r="A69" s="56" t="str">
        <f>A15</f>
        <v>F1</v>
      </c>
      <c r="B69" s="42">
        <f>E15</f>
        <v>5</v>
      </c>
      <c r="C69" s="42">
        <f>B15</f>
        <v>2440</v>
      </c>
      <c r="D69" s="42">
        <v>500</v>
      </c>
      <c r="E69" s="42">
        <v>900</v>
      </c>
      <c r="F69" s="58">
        <f t="shared" ref="F69:F79" si="6">B69*C69*D69*E69/1000^3</f>
        <v>5.49</v>
      </c>
      <c r="G69" s="42"/>
    </row>
    <row r="70" spans="1:7" ht="30" customHeight="1" x14ac:dyDescent="0.3">
      <c r="A70" s="56" t="str">
        <f t="shared" ref="A70:A79" si="7">A16</f>
        <v>F1(a)</v>
      </c>
      <c r="B70" s="42">
        <f t="shared" ref="B70:B79" si="8">E16</f>
        <v>2</v>
      </c>
      <c r="C70" s="42">
        <f t="shared" ref="C70:C79" si="9">B16</f>
        <v>2440</v>
      </c>
      <c r="D70" s="42">
        <v>500</v>
      </c>
      <c r="E70" s="42">
        <v>900</v>
      </c>
      <c r="F70" s="58">
        <f t="shared" si="6"/>
        <v>2.1960000000000002</v>
      </c>
      <c r="G70" s="42"/>
    </row>
    <row r="71" spans="1:7" ht="30" customHeight="1" x14ac:dyDescent="0.3">
      <c r="A71" s="56" t="str">
        <f t="shared" si="7"/>
        <v>F1(B)</v>
      </c>
      <c r="B71" s="42">
        <f t="shared" si="8"/>
        <v>2</v>
      </c>
      <c r="C71" s="42">
        <f t="shared" si="9"/>
        <v>2440</v>
      </c>
      <c r="D71" s="42">
        <v>500</v>
      </c>
      <c r="E71" s="42">
        <v>900</v>
      </c>
      <c r="F71" s="58">
        <f t="shared" si="6"/>
        <v>2.1960000000000002</v>
      </c>
      <c r="G71" s="42"/>
    </row>
    <row r="72" spans="1:7" ht="30" customHeight="1" x14ac:dyDescent="0.3">
      <c r="A72" s="56" t="str">
        <f t="shared" si="7"/>
        <v>F2</v>
      </c>
      <c r="B72" s="42">
        <f t="shared" si="8"/>
        <v>7</v>
      </c>
      <c r="C72" s="42">
        <f t="shared" si="9"/>
        <v>2130</v>
      </c>
      <c r="D72" s="42">
        <v>500</v>
      </c>
      <c r="E72" s="42">
        <v>900</v>
      </c>
      <c r="F72" s="58">
        <f t="shared" si="6"/>
        <v>6.7095000000000002</v>
      </c>
      <c r="G72" s="42"/>
    </row>
    <row r="73" spans="1:7" ht="30" customHeight="1" x14ac:dyDescent="0.3">
      <c r="A73" s="56" t="str">
        <f t="shared" si="7"/>
        <v>F3</v>
      </c>
      <c r="B73" s="42">
        <f t="shared" si="8"/>
        <v>3</v>
      </c>
      <c r="C73" s="42">
        <f t="shared" si="9"/>
        <v>2440</v>
      </c>
      <c r="D73" s="42">
        <v>500</v>
      </c>
      <c r="E73" s="42">
        <v>900</v>
      </c>
      <c r="F73" s="58">
        <f t="shared" si="6"/>
        <v>3.294</v>
      </c>
      <c r="G73" s="42"/>
    </row>
    <row r="74" spans="1:7" ht="30" customHeight="1" x14ac:dyDescent="0.3">
      <c r="A74" s="56" t="str">
        <f t="shared" si="7"/>
        <v>F3(a)</v>
      </c>
      <c r="B74" s="42">
        <f t="shared" si="8"/>
        <v>5</v>
      </c>
      <c r="C74" s="42">
        <f t="shared" si="9"/>
        <v>2440</v>
      </c>
      <c r="D74" s="42">
        <v>500</v>
      </c>
      <c r="E74" s="42">
        <v>900</v>
      </c>
      <c r="F74" s="58">
        <f t="shared" si="6"/>
        <v>5.49</v>
      </c>
      <c r="G74" s="42"/>
    </row>
    <row r="75" spans="1:7" ht="30" customHeight="1" x14ac:dyDescent="0.3">
      <c r="A75" s="56" t="str">
        <f t="shared" si="7"/>
        <v>F4</v>
      </c>
      <c r="B75" s="42">
        <f t="shared" si="8"/>
        <v>20</v>
      </c>
      <c r="C75" s="42">
        <f t="shared" si="9"/>
        <v>2130</v>
      </c>
      <c r="D75" s="42">
        <v>500</v>
      </c>
      <c r="E75" s="42">
        <v>900</v>
      </c>
      <c r="F75" s="58">
        <f t="shared" si="6"/>
        <v>19.170000000000002</v>
      </c>
      <c r="G75" s="42"/>
    </row>
    <row r="76" spans="1:7" ht="30" customHeight="1" x14ac:dyDescent="0.3">
      <c r="A76" s="56" t="str">
        <f t="shared" si="7"/>
        <v>F5</v>
      </c>
      <c r="B76" s="42">
        <f t="shared" si="8"/>
        <v>7</v>
      </c>
      <c r="C76" s="42">
        <f t="shared" si="9"/>
        <v>1830</v>
      </c>
      <c r="D76" s="42">
        <v>500</v>
      </c>
      <c r="E76" s="42">
        <v>900</v>
      </c>
      <c r="F76" s="58">
        <f t="shared" si="6"/>
        <v>5.7645</v>
      </c>
      <c r="G76" s="42"/>
    </row>
    <row r="77" spans="1:7" ht="30" customHeight="1" x14ac:dyDescent="0.3">
      <c r="A77" s="56" t="str">
        <f t="shared" si="7"/>
        <v>F6</v>
      </c>
      <c r="B77" s="42">
        <f t="shared" si="8"/>
        <v>4</v>
      </c>
      <c r="C77" s="42">
        <f t="shared" si="9"/>
        <v>1675</v>
      </c>
      <c r="D77" s="42">
        <v>500</v>
      </c>
      <c r="E77" s="42">
        <v>900</v>
      </c>
      <c r="F77" s="58">
        <f t="shared" si="6"/>
        <v>3.0150000000000001</v>
      </c>
      <c r="G77" s="42"/>
    </row>
    <row r="78" spans="1:7" ht="30" customHeight="1" x14ac:dyDescent="0.3">
      <c r="A78" s="56" t="str">
        <f t="shared" si="7"/>
        <v>F7</v>
      </c>
      <c r="B78" s="42">
        <f t="shared" si="8"/>
        <v>2</v>
      </c>
      <c r="C78" s="42">
        <f t="shared" si="9"/>
        <v>2440</v>
      </c>
      <c r="D78" s="42">
        <v>500</v>
      </c>
      <c r="E78" s="42">
        <v>900</v>
      </c>
      <c r="F78" s="58">
        <f t="shared" si="6"/>
        <v>2.1960000000000002</v>
      </c>
      <c r="G78" s="42"/>
    </row>
    <row r="79" spans="1:7" ht="30" customHeight="1" x14ac:dyDescent="0.3">
      <c r="A79" s="56" t="str">
        <f t="shared" si="7"/>
        <v>F8</v>
      </c>
      <c r="B79" s="42">
        <f t="shared" si="8"/>
        <v>0</v>
      </c>
      <c r="C79" s="42">
        <f t="shared" si="9"/>
        <v>0</v>
      </c>
      <c r="D79" s="42">
        <v>500</v>
      </c>
      <c r="E79" s="42">
        <v>900</v>
      </c>
      <c r="F79" s="58">
        <f t="shared" si="6"/>
        <v>0</v>
      </c>
      <c r="G79" s="42"/>
    </row>
    <row r="80" spans="1:7" ht="30" customHeight="1" x14ac:dyDescent="0.3">
      <c r="A80" s="56" t="s">
        <v>540</v>
      </c>
      <c r="B80" s="42"/>
      <c r="C80" s="42"/>
      <c r="D80" s="42"/>
      <c r="E80" s="42"/>
      <c r="F80" s="58">
        <f>F67-(SUM(F69:F79))</f>
        <v>125.46855000000001</v>
      </c>
      <c r="G80" s="42"/>
    </row>
    <row r="81" spans="1:12" ht="30" customHeight="1" x14ac:dyDescent="0.3">
      <c r="A81" s="73" t="s">
        <v>542</v>
      </c>
      <c r="B81" s="71"/>
      <c r="C81" s="71"/>
      <c r="D81" s="71"/>
      <c r="E81" s="72"/>
      <c r="F81" s="74">
        <f>F80*1.1</f>
        <v>138.01540500000002</v>
      </c>
      <c r="G81" s="42"/>
    </row>
    <row r="82" spans="1:12" ht="30" customHeight="1" x14ac:dyDescent="0.3">
      <c r="A82" s="57"/>
    </row>
    <row r="83" spans="1:12" ht="60" customHeight="1" x14ac:dyDescent="0.3">
      <c r="A83" s="41" t="s">
        <v>49</v>
      </c>
    </row>
    <row r="84" spans="1:12" ht="30" customHeight="1" x14ac:dyDescent="0.3">
      <c r="A84" s="63" t="s">
        <v>230</v>
      </c>
      <c r="B84" s="63" t="s">
        <v>595</v>
      </c>
      <c r="C84" s="63" t="s">
        <v>237</v>
      </c>
      <c r="D84" s="63" t="s">
        <v>587</v>
      </c>
      <c r="E84" s="63" t="s">
        <v>211</v>
      </c>
      <c r="F84" s="63" t="s">
        <v>233</v>
      </c>
      <c r="G84" s="63" t="s">
        <v>596</v>
      </c>
      <c r="H84" s="63" t="s">
        <v>597</v>
      </c>
      <c r="I84" s="63" t="s">
        <v>598</v>
      </c>
      <c r="J84" s="63" t="s">
        <v>540</v>
      </c>
      <c r="K84" s="63" t="s">
        <v>589</v>
      </c>
      <c r="L84" s="63" t="s">
        <v>599</v>
      </c>
    </row>
    <row r="85" spans="1:12" ht="30" customHeight="1" x14ac:dyDescent="0.3">
      <c r="A85" s="38"/>
      <c r="B85" s="38" t="s">
        <v>600</v>
      </c>
      <c r="C85" s="38">
        <v>1</v>
      </c>
      <c r="D85" s="38">
        <f>SUM(C45:C46,C48:C51)-D86</f>
        <v>302182</v>
      </c>
      <c r="E85" s="38">
        <v>230</v>
      </c>
      <c r="F85" s="38">
        <v>211.58</v>
      </c>
      <c r="G85" s="38">
        <v>211.56</v>
      </c>
      <c r="H85" s="38">
        <v>152</v>
      </c>
      <c r="I85" s="38">
        <f>F85-G85+0.3</f>
        <v>0.32000000000001022</v>
      </c>
      <c r="J85" s="64">
        <f>C85*D85*E85*I85/1000^2</f>
        <v>22.240595200000712</v>
      </c>
      <c r="K85" s="38" t="s">
        <v>601</v>
      </c>
      <c r="L85" s="65" t="s">
        <v>602</v>
      </c>
    </row>
    <row r="86" spans="1:12" ht="30" customHeight="1" x14ac:dyDescent="0.3">
      <c r="A86" s="38"/>
      <c r="B86" s="38" t="s">
        <v>603</v>
      </c>
      <c r="C86" s="38">
        <v>1</v>
      </c>
      <c r="D86" s="38">
        <f>3175+12500+3175</f>
        <v>18850</v>
      </c>
      <c r="E86" s="38">
        <v>230</v>
      </c>
      <c r="F86" s="38">
        <v>211.58</v>
      </c>
      <c r="G86" s="38">
        <v>211.56</v>
      </c>
      <c r="H86" s="38">
        <v>152</v>
      </c>
      <c r="I86" s="38">
        <f>F86-G86+0.3-(H86/1000)</f>
        <v>0.16800000000001022</v>
      </c>
      <c r="J86" s="64">
        <f t="shared" ref="J86:J89" si="10">C86*D86*E86*I86/1000^2</f>
        <v>0.72836400000004431</v>
      </c>
      <c r="K86" s="38" t="s">
        <v>604</v>
      </c>
      <c r="L86" s="66"/>
    </row>
    <row r="87" spans="1:12" ht="30" customHeight="1" x14ac:dyDescent="0.3">
      <c r="A87" s="38"/>
      <c r="B87" s="38" t="s">
        <v>605</v>
      </c>
      <c r="C87" s="38">
        <v>12</v>
      </c>
      <c r="D87" s="38">
        <v>2160</v>
      </c>
      <c r="E87" s="38">
        <v>230</v>
      </c>
      <c r="F87" s="38">
        <v>211.58</v>
      </c>
      <c r="G87" s="38">
        <v>210.38</v>
      </c>
      <c r="H87" s="38">
        <v>152</v>
      </c>
      <c r="I87" s="38">
        <f>F87-G87+0.3-0.508-0.15</f>
        <v>0.84200000000001707</v>
      </c>
      <c r="J87" s="64">
        <f t="shared" si="10"/>
        <v>5.0196672000001019</v>
      </c>
      <c r="K87" s="65" t="s">
        <v>606</v>
      </c>
      <c r="L87" s="66"/>
    </row>
    <row r="88" spans="1:12" ht="30" customHeight="1" x14ac:dyDescent="0.3">
      <c r="A88" s="38"/>
      <c r="B88" s="38" t="s">
        <v>607</v>
      </c>
      <c r="C88" s="38">
        <v>12</v>
      </c>
      <c r="D88" s="38">
        <f>2160+(2*230)</f>
        <v>2620</v>
      </c>
      <c r="E88" s="38">
        <f>250*1.5</f>
        <v>375</v>
      </c>
      <c r="F88" s="38"/>
      <c r="G88" s="38"/>
      <c r="H88" s="38">
        <v>150</v>
      </c>
      <c r="I88" s="38">
        <f>(508+12+H88)/1000</f>
        <v>0.67</v>
      </c>
      <c r="J88" s="64">
        <f t="shared" si="10"/>
        <v>7.8993000000000011</v>
      </c>
      <c r="K88" s="65" t="s">
        <v>608</v>
      </c>
      <c r="L88" s="66"/>
    </row>
    <row r="89" spans="1:12" ht="30" customHeight="1" x14ac:dyDescent="0.3">
      <c r="A89" s="38"/>
      <c r="B89" s="65" t="s">
        <v>609</v>
      </c>
      <c r="C89" s="38">
        <v>24</v>
      </c>
      <c r="D89" s="38">
        <f>2464-230</f>
        <v>2234</v>
      </c>
      <c r="E89" s="38">
        <v>230</v>
      </c>
      <c r="F89" s="38">
        <v>211.58</v>
      </c>
      <c r="G89" s="38"/>
      <c r="H89" s="38">
        <v>150</v>
      </c>
      <c r="I89" s="38">
        <f>(508+6+H89)/1000</f>
        <v>0.66400000000000003</v>
      </c>
      <c r="J89" s="64">
        <f t="shared" si="10"/>
        <v>8.188235520000001</v>
      </c>
      <c r="K89" s="65" t="s">
        <v>608</v>
      </c>
      <c r="L89" s="66"/>
    </row>
    <row r="90" spans="1:12" ht="30" customHeight="1" x14ac:dyDescent="0.3">
      <c r="A90" s="66"/>
      <c r="B90" s="38" t="s">
        <v>610</v>
      </c>
      <c r="C90" s="38">
        <v>1</v>
      </c>
      <c r="D90" s="38">
        <f>C47-D87</f>
        <v>80607</v>
      </c>
      <c r="E90" s="38">
        <v>230</v>
      </c>
      <c r="F90" s="38">
        <v>211.58</v>
      </c>
      <c r="G90" s="38">
        <v>210.38</v>
      </c>
      <c r="H90" s="38">
        <v>152</v>
      </c>
      <c r="I90" s="38">
        <f>F90-G90+0.3</f>
        <v>1.5000000000000171</v>
      </c>
      <c r="J90" s="64">
        <f t="shared" ref="J90:J93" si="11">C90*D90*E90*I90/1000^2</f>
        <v>27.809415000000318</v>
      </c>
      <c r="K90" s="38" t="s">
        <v>611</v>
      </c>
      <c r="L90" s="66"/>
    </row>
    <row r="91" spans="1:12" ht="30" customHeight="1" x14ac:dyDescent="0.3">
      <c r="A91" s="38" t="s">
        <v>594</v>
      </c>
      <c r="B91" s="38"/>
      <c r="C91" s="38"/>
      <c r="D91" s="38"/>
      <c r="E91" s="38"/>
      <c r="F91" s="38"/>
      <c r="G91" s="38"/>
      <c r="H91" s="38"/>
      <c r="I91" s="38"/>
      <c r="J91" s="64"/>
      <c r="K91" s="38"/>
      <c r="L91" s="66"/>
    </row>
    <row r="92" spans="1:12" ht="30" customHeight="1" x14ac:dyDescent="0.3">
      <c r="A92" s="66"/>
      <c r="B92" s="38" t="s">
        <v>557</v>
      </c>
      <c r="C92" s="38">
        <v>8</v>
      </c>
      <c r="D92" s="38">
        <v>800</v>
      </c>
      <c r="E92" s="38">
        <v>230</v>
      </c>
      <c r="F92" s="66"/>
      <c r="G92" s="66"/>
      <c r="H92" s="66"/>
      <c r="I92" s="38">
        <f>D32/1000</f>
        <v>1.05</v>
      </c>
      <c r="J92" s="64">
        <f t="shared" si="11"/>
        <v>1.5456000000000001</v>
      </c>
      <c r="K92" s="66"/>
      <c r="L92" s="66"/>
    </row>
    <row r="93" spans="1:12" ht="30" customHeight="1" x14ac:dyDescent="0.3">
      <c r="A93" s="66"/>
      <c r="B93" s="38" t="s">
        <v>558</v>
      </c>
      <c r="C93" s="38">
        <v>5</v>
      </c>
      <c r="D93" s="38">
        <v>650</v>
      </c>
      <c r="E93" s="38">
        <v>230</v>
      </c>
      <c r="F93" s="66"/>
      <c r="G93" s="66"/>
      <c r="H93" s="66"/>
      <c r="I93" s="38">
        <f>D33/1000</f>
        <v>1.05</v>
      </c>
      <c r="J93" s="64">
        <f t="shared" si="11"/>
        <v>0.78487499999999999</v>
      </c>
      <c r="K93" s="66"/>
      <c r="L93" s="66"/>
    </row>
    <row r="94" spans="1:12" ht="30" customHeight="1" x14ac:dyDescent="0.3">
      <c r="A94" s="38" t="s">
        <v>612</v>
      </c>
      <c r="B94" s="66"/>
      <c r="C94" s="66"/>
      <c r="D94" s="66"/>
      <c r="E94" s="66"/>
      <c r="F94" s="66"/>
      <c r="G94" s="66"/>
      <c r="H94" s="66"/>
      <c r="I94" s="66"/>
      <c r="J94" s="64">
        <f>SUM(J85:J90)-SUM(J92:J93)</f>
        <v>69.555101920001192</v>
      </c>
      <c r="K94" s="66"/>
      <c r="L94" s="66"/>
    </row>
    <row r="95" spans="1:12" ht="30" customHeight="1" x14ac:dyDescent="0.3">
      <c r="A95" s="75" t="s">
        <v>559</v>
      </c>
      <c r="B95" s="76"/>
      <c r="C95" s="76"/>
      <c r="D95" s="76"/>
      <c r="E95" s="76"/>
      <c r="F95" s="76"/>
      <c r="G95" s="76"/>
      <c r="H95" s="76"/>
      <c r="I95" s="76"/>
      <c r="J95" s="67">
        <f>J94*1.03</f>
        <v>71.641754977601224</v>
      </c>
      <c r="K95" s="53"/>
      <c r="L95" s="66"/>
    </row>
  </sheetData>
  <mergeCells count="5">
    <mergeCell ref="B29:D29"/>
    <mergeCell ref="B3:D3"/>
    <mergeCell ref="A12:C12"/>
    <mergeCell ref="B13:D13"/>
    <mergeCell ref="A28:C2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D1:D148"/>
  <sheetViews>
    <sheetView workbookViewId="0"/>
  </sheetViews>
  <sheetFormatPr defaultRowHeight="14.4" x14ac:dyDescent="0.3"/>
  <sheetData>
    <row r="1" spans="4:4" x14ac:dyDescent="0.3">
      <c r="D1" t="s">
        <v>613</v>
      </c>
    </row>
    <row r="2" spans="4:4" x14ac:dyDescent="0.3">
      <c r="D2" t="s">
        <v>614</v>
      </c>
    </row>
    <row r="3" spans="4:4" x14ac:dyDescent="0.3">
      <c r="D3" t="s">
        <v>615</v>
      </c>
    </row>
    <row r="4" spans="4:4" x14ac:dyDescent="0.3">
      <c r="D4" t="s">
        <v>616</v>
      </c>
    </row>
    <row r="5" spans="4:4" x14ac:dyDescent="0.3">
      <c r="D5" t="s">
        <v>617</v>
      </c>
    </row>
    <row r="6" spans="4:4" x14ac:dyDescent="0.3">
      <c r="D6" t="s">
        <v>618</v>
      </c>
    </row>
    <row r="7" spans="4:4" x14ac:dyDescent="0.3">
      <c r="D7" t="s">
        <v>619</v>
      </c>
    </row>
    <row r="8" spans="4:4" x14ac:dyDescent="0.3">
      <c r="D8" t="s">
        <v>620</v>
      </c>
    </row>
    <row r="9" spans="4:4" x14ac:dyDescent="0.3">
      <c r="D9" t="s">
        <v>621</v>
      </c>
    </row>
    <row r="10" spans="4:4" x14ac:dyDescent="0.3">
      <c r="D10" t="s">
        <v>622</v>
      </c>
    </row>
    <row r="11" spans="4:4" x14ac:dyDescent="0.3">
      <c r="D11" t="s">
        <v>623</v>
      </c>
    </row>
    <row r="12" spans="4:4" x14ac:dyDescent="0.3">
      <c r="D12" t="s">
        <v>624</v>
      </c>
    </row>
    <row r="13" spans="4:4" x14ac:dyDescent="0.3">
      <c r="D13" t="s">
        <v>625</v>
      </c>
    </row>
    <row r="14" spans="4:4" x14ac:dyDescent="0.3">
      <c r="D14" t="s">
        <v>626</v>
      </c>
    </row>
    <row r="15" spans="4:4" x14ac:dyDescent="0.3">
      <c r="D15" t="s">
        <v>627</v>
      </c>
    </row>
    <row r="16" spans="4:4" x14ac:dyDescent="0.3">
      <c r="D16" t="s">
        <v>628</v>
      </c>
    </row>
    <row r="17" spans="4:4" x14ac:dyDescent="0.3">
      <c r="D17" t="s">
        <v>629</v>
      </c>
    </row>
    <row r="18" spans="4:4" x14ac:dyDescent="0.3">
      <c r="D18" t="s">
        <v>630</v>
      </c>
    </row>
    <row r="19" spans="4:4" x14ac:dyDescent="0.3">
      <c r="D19" t="s">
        <v>631</v>
      </c>
    </row>
    <row r="20" spans="4:4" x14ac:dyDescent="0.3">
      <c r="D20" t="s">
        <v>632</v>
      </c>
    </row>
    <row r="21" spans="4:4" x14ac:dyDescent="0.3">
      <c r="D21" t="s">
        <v>633</v>
      </c>
    </row>
    <row r="22" spans="4:4" x14ac:dyDescent="0.3">
      <c r="D22" t="s">
        <v>634</v>
      </c>
    </row>
    <row r="23" spans="4:4" x14ac:dyDescent="0.3">
      <c r="D23" t="s">
        <v>635</v>
      </c>
    </row>
    <row r="24" spans="4:4" x14ac:dyDescent="0.3">
      <c r="D24" t="s">
        <v>636</v>
      </c>
    </row>
    <row r="25" spans="4:4" x14ac:dyDescent="0.3">
      <c r="D25" t="s">
        <v>637</v>
      </c>
    </row>
    <row r="26" spans="4:4" x14ac:dyDescent="0.3">
      <c r="D26" t="s">
        <v>638</v>
      </c>
    </row>
    <row r="27" spans="4:4" x14ac:dyDescent="0.3">
      <c r="D27" t="s">
        <v>145</v>
      </c>
    </row>
    <row r="28" spans="4:4" x14ac:dyDescent="0.3">
      <c r="D28" t="s">
        <v>639</v>
      </c>
    </row>
    <row r="29" spans="4:4" x14ac:dyDescent="0.3">
      <c r="D29" t="s">
        <v>640</v>
      </c>
    </row>
    <row r="30" spans="4:4" x14ac:dyDescent="0.3">
      <c r="D30" t="s">
        <v>641</v>
      </c>
    </row>
    <row r="31" spans="4:4" x14ac:dyDescent="0.3">
      <c r="D31" t="s">
        <v>642</v>
      </c>
    </row>
    <row r="32" spans="4:4" x14ac:dyDescent="0.3">
      <c r="D32" t="s">
        <v>643</v>
      </c>
    </row>
    <row r="33" spans="4:4" x14ac:dyDescent="0.3">
      <c r="D33" t="s">
        <v>644</v>
      </c>
    </row>
    <row r="34" spans="4:4" x14ac:dyDescent="0.3">
      <c r="D34" t="s">
        <v>645</v>
      </c>
    </row>
    <row r="35" spans="4:4" x14ac:dyDescent="0.3">
      <c r="D35" t="s">
        <v>646</v>
      </c>
    </row>
    <row r="36" spans="4:4" x14ac:dyDescent="0.3">
      <c r="D36" t="s">
        <v>647</v>
      </c>
    </row>
    <row r="37" spans="4:4" x14ac:dyDescent="0.3">
      <c r="D37" t="s">
        <v>648</v>
      </c>
    </row>
    <row r="38" spans="4:4" x14ac:dyDescent="0.3">
      <c r="D38" t="s">
        <v>649</v>
      </c>
    </row>
    <row r="39" spans="4:4" x14ac:dyDescent="0.3">
      <c r="D39" t="s">
        <v>650</v>
      </c>
    </row>
    <row r="40" spans="4:4" x14ac:dyDescent="0.3">
      <c r="D40" t="s">
        <v>651</v>
      </c>
    </row>
    <row r="41" spans="4:4" x14ac:dyDescent="0.3">
      <c r="D41" t="s">
        <v>652</v>
      </c>
    </row>
    <row r="42" spans="4:4" x14ac:dyDescent="0.3">
      <c r="D42" t="s">
        <v>653</v>
      </c>
    </row>
    <row r="43" spans="4:4" x14ac:dyDescent="0.3">
      <c r="D43" t="s">
        <v>654</v>
      </c>
    </row>
    <row r="44" spans="4:4" x14ac:dyDescent="0.3">
      <c r="D44" t="s">
        <v>655</v>
      </c>
    </row>
    <row r="45" spans="4:4" x14ac:dyDescent="0.3">
      <c r="D45" t="s">
        <v>656</v>
      </c>
    </row>
    <row r="46" spans="4:4" x14ac:dyDescent="0.3">
      <c r="D46" t="s">
        <v>657</v>
      </c>
    </row>
    <row r="47" spans="4:4" x14ac:dyDescent="0.3">
      <c r="D47" t="s">
        <v>658</v>
      </c>
    </row>
    <row r="48" spans="4:4" x14ac:dyDescent="0.3">
      <c r="D48" t="s">
        <v>659</v>
      </c>
    </row>
    <row r="49" spans="4:4" x14ac:dyDescent="0.3">
      <c r="D49" t="s">
        <v>660</v>
      </c>
    </row>
    <row r="50" spans="4:4" x14ac:dyDescent="0.3">
      <c r="D50" t="s">
        <v>30</v>
      </c>
    </row>
    <row r="51" spans="4:4" x14ac:dyDescent="0.3">
      <c r="D51" t="s">
        <v>661</v>
      </c>
    </row>
    <row r="52" spans="4:4" x14ac:dyDescent="0.3">
      <c r="D52" t="s">
        <v>662</v>
      </c>
    </row>
    <row r="53" spans="4:4" x14ac:dyDescent="0.3">
      <c r="D53" t="s">
        <v>663</v>
      </c>
    </row>
    <row r="54" spans="4:4" x14ac:dyDescent="0.3">
      <c r="D54" t="s">
        <v>664</v>
      </c>
    </row>
    <row r="55" spans="4:4" x14ac:dyDescent="0.3">
      <c r="D55" t="s">
        <v>665</v>
      </c>
    </row>
    <row r="56" spans="4:4" x14ac:dyDescent="0.3">
      <c r="D56" t="s">
        <v>666</v>
      </c>
    </row>
    <row r="57" spans="4:4" x14ac:dyDescent="0.3">
      <c r="D57" t="s">
        <v>667</v>
      </c>
    </row>
    <row r="58" spans="4:4" x14ac:dyDescent="0.3">
      <c r="D58" t="s">
        <v>668</v>
      </c>
    </row>
    <row r="59" spans="4:4" x14ac:dyDescent="0.3">
      <c r="D59" t="s">
        <v>669</v>
      </c>
    </row>
    <row r="60" spans="4:4" x14ac:dyDescent="0.3">
      <c r="D60" t="s">
        <v>670</v>
      </c>
    </row>
    <row r="61" spans="4:4" x14ac:dyDescent="0.3">
      <c r="D61" t="s">
        <v>671</v>
      </c>
    </row>
    <row r="62" spans="4:4" x14ac:dyDescent="0.3">
      <c r="D62" t="s">
        <v>62</v>
      </c>
    </row>
    <row r="63" spans="4:4" x14ac:dyDescent="0.3">
      <c r="D63" t="s">
        <v>672</v>
      </c>
    </row>
    <row r="64" spans="4:4" x14ac:dyDescent="0.3">
      <c r="D64" t="s">
        <v>673</v>
      </c>
    </row>
    <row r="65" spans="4:4" x14ac:dyDescent="0.3">
      <c r="D65" t="s">
        <v>674</v>
      </c>
    </row>
    <row r="66" spans="4:4" x14ac:dyDescent="0.3">
      <c r="D66" t="s">
        <v>675</v>
      </c>
    </row>
    <row r="67" spans="4:4" x14ac:dyDescent="0.3">
      <c r="D67" t="s">
        <v>676</v>
      </c>
    </row>
    <row r="68" spans="4:4" x14ac:dyDescent="0.3">
      <c r="D68" t="s">
        <v>267</v>
      </c>
    </row>
    <row r="69" spans="4:4" x14ac:dyDescent="0.3">
      <c r="D69" t="s">
        <v>677</v>
      </c>
    </row>
    <row r="70" spans="4:4" x14ac:dyDescent="0.3">
      <c r="D70" t="s">
        <v>678</v>
      </c>
    </row>
    <row r="71" spans="4:4" x14ac:dyDescent="0.3">
      <c r="D71" t="s">
        <v>679</v>
      </c>
    </row>
    <row r="72" spans="4:4" x14ac:dyDescent="0.3">
      <c r="D72" t="s">
        <v>680</v>
      </c>
    </row>
    <row r="73" spans="4:4" x14ac:dyDescent="0.3">
      <c r="D73" t="s">
        <v>681</v>
      </c>
    </row>
    <row r="74" spans="4:4" x14ac:dyDescent="0.3">
      <c r="D74" t="s">
        <v>682</v>
      </c>
    </row>
    <row r="75" spans="4:4" x14ac:dyDescent="0.3">
      <c r="D75" t="s">
        <v>683</v>
      </c>
    </row>
    <row r="76" spans="4:4" x14ac:dyDescent="0.3">
      <c r="D76" t="s">
        <v>684</v>
      </c>
    </row>
    <row r="77" spans="4:4" x14ac:dyDescent="0.3">
      <c r="D77" t="s">
        <v>685</v>
      </c>
    </row>
    <row r="78" spans="4:4" x14ac:dyDescent="0.3">
      <c r="D78" t="s">
        <v>686</v>
      </c>
    </row>
    <row r="79" spans="4:4" x14ac:dyDescent="0.3">
      <c r="D79" t="s">
        <v>687</v>
      </c>
    </row>
    <row r="80" spans="4:4" x14ac:dyDescent="0.3">
      <c r="D80" t="s">
        <v>688</v>
      </c>
    </row>
    <row r="81" spans="4:4" x14ac:dyDescent="0.3">
      <c r="D81" t="s">
        <v>689</v>
      </c>
    </row>
    <row r="82" spans="4:4" x14ac:dyDescent="0.3">
      <c r="D82" t="s">
        <v>690</v>
      </c>
    </row>
    <row r="83" spans="4:4" x14ac:dyDescent="0.3">
      <c r="D83" t="s">
        <v>691</v>
      </c>
    </row>
    <row r="84" spans="4:4" x14ac:dyDescent="0.3">
      <c r="D84" t="s">
        <v>692</v>
      </c>
    </row>
    <row r="85" spans="4:4" x14ac:dyDescent="0.3">
      <c r="D85" t="s">
        <v>693</v>
      </c>
    </row>
    <row r="86" spans="4:4" x14ac:dyDescent="0.3">
      <c r="D86" t="s">
        <v>41</v>
      </c>
    </row>
    <row r="87" spans="4:4" x14ac:dyDescent="0.3">
      <c r="D87" t="s">
        <v>694</v>
      </c>
    </row>
    <row r="88" spans="4:4" x14ac:dyDescent="0.3">
      <c r="D88" t="s">
        <v>695</v>
      </c>
    </row>
    <row r="89" spans="4:4" x14ac:dyDescent="0.3">
      <c r="D89" t="s">
        <v>696</v>
      </c>
    </row>
    <row r="90" spans="4:4" x14ac:dyDescent="0.3">
      <c r="D90" t="s">
        <v>697</v>
      </c>
    </row>
    <row r="91" spans="4:4" x14ac:dyDescent="0.3">
      <c r="D91" t="s">
        <v>698</v>
      </c>
    </row>
    <row r="92" spans="4:4" x14ac:dyDescent="0.3">
      <c r="D92" t="s">
        <v>699</v>
      </c>
    </row>
    <row r="93" spans="4:4" x14ac:dyDescent="0.3">
      <c r="D93" t="s">
        <v>700</v>
      </c>
    </row>
    <row r="94" spans="4:4" x14ac:dyDescent="0.3">
      <c r="D94" t="s">
        <v>701</v>
      </c>
    </row>
    <row r="95" spans="4:4" x14ac:dyDescent="0.3">
      <c r="D95" t="s">
        <v>702</v>
      </c>
    </row>
    <row r="96" spans="4:4" x14ac:dyDescent="0.3">
      <c r="D96" t="s">
        <v>703</v>
      </c>
    </row>
    <row r="97" spans="4:4" x14ac:dyDescent="0.3">
      <c r="D97" t="s">
        <v>704</v>
      </c>
    </row>
    <row r="98" spans="4:4" x14ac:dyDescent="0.3">
      <c r="D98" t="s">
        <v>705</v>
      </c>
    </row>
    <row r="99" spans="4:4" x14ac:dyDescent="0.3">
      <c r="D99" t="s">
        <v>706</v>
      </c>
    </row>
    <row r="100" spans="4:4" x14ac:dyDescent="0.3">
      <c r="D100" t="s">
        <v>707</v>
      </c>
    </row>
    <row r="101" spans="4:4" x14ac:dyDescent="0.3">
      <c r="D101" t="s">
        <v>708</v>
      </c>
    </row>
    <row r="102" spans="4:4" x14ac:dyDescent="0.3">
      <c r="D102" t="s">
        <v>709</v>
      </c>
    </row>
    <row r="103" spans="4:4" x14ac:dyDescent="0.3">
      <c r="D103" t="s">
        <v>710</v>
      </c>
    </row>
    <row r="104" spans="4:4" x14ac:dyDescent="0.3">
      <c r="D104" t="s">
        <v>711</v>
      </c>
    </row>
    <row r="105" spans="4:4" x14ac:dyDescent="0.3">
      <c r="D105" t="s">
        <v>712</v>
      </c>
    </row>
    <row r="106" spans="4:4" x14ac:dyDescent="0.3">
      <c r="D106" t="s">
        <v>713</v>
      </c>
    </row>
    <row r="107" spans="4:4" x14ac:dyDescent="0.3">
      <c r="D107" t="s">
        <v>714</v>
      </c>
    </row>
    <row r="108" spans="4:4" x14ac:dyDescent="0.3">
      <c r="D108" t="s">
        <v>715</v>
      </c>
    </row>
    <row r="109" spans="4:4" x14ac:dyDescent="0.3">
      <c r="D109" t="s">
        <v>716</v>
      </c>
    </row>
    <row r="110" spans="4:4" x14ac:dyDescent="0.3">
      <c r="D110" t="s">
        <v>717</v>
      </c>
    </row>
    <row r="111" spans="4:4" x14ac:dyDescent="0.3">
      <c r="D111" t="s">
        <v>718</v>
      </c>
    </row>
    <row r="112" spans="4:4" x14ac:dyDescent="0.3">
      <c r="D112" t="s">
        <v>719</v>
      </c>
    </row>
    <row r="113" spans="4:4" x14ac:dyDescent="0.3">
      <c r="D113" t="s">
        <v>720</v>
      </c>
    </row>
    <row r="114" spans="4:4" x14ac:dyDescent="0.3">
      <c r="D114" t="s">
        <v>721</v>
      </c>
    </row>
    <row r="115" spans="4:4" x14ac:dyDescent="0.3">
      <c r="D115" t="s">
        <v>722</v>
      </c>
    </row>
    <row r="116" spans="4:4" x14ac:dyDescent="0.3">
      <c r="D116" t="s">
        <v>723</v>
      </c>
    </row>
    <row r="117" spans="4:4" x14ac:dyDescent="0.3">
      <c r="D117" t="s">
        <v>724</v>
      </c>
    </row>
    <row r="118" spans="4:4" x14ac:dyDescent="0.3">
      <c r="D118" t="s">
        <v>725</v>
      </c>
    </row>
    <row r="119" spans="4:4" x14ac:dyDescent="0.3">
      <c r="D119" t="s">
        <v>231</v>
      </c>
    </row>
    <row r="120" spans="4:4" x14ac:dyDescent="0.3">
      <c r="D120" t="s">
        <v>726</v>
      </c>
    </row>
    <row r="121" spans="4:4" x14ac:dyDescent="0.3">
      <c r="D121" t="s">
        <v>59</v>
      </c>
    </row>
    <row r="122" spans="4:4" x14ac:dyDescent="0.3">
      <c r="D122" t="s">
        <v>22</v>
      </c>
    </row>
    <row r="123" spans="4:4" x14ac:dyDescent="0.3">
      <c r="D123" t="s">
        <v>727</v>
      </c>
    </row>
    <row r="124" spans="4:4" x14ac:dyDescent="0.3">
      <c r="D124" t="s">
        <v>728</v>
      </c>
    </row>
    <row r="125" spans="4:4" x14ac:dyDescent="0.3">
      <c r="D125" t="s">
        <v>729</v>
      </c>
    </row>
    <row r="126" spans="4:4" x14ac:dyDescent="0.3">
      <c r="D126" t="s">
        <v>730</v>
      </c>
    </row>
    <row r="127" spans="4:4" x14ac:dyDescent="0.3">
      <c r="D127" t="s">
        <v>731</v>
      </c>
    </row>
    <row r="128" spans="4:4" x14ac:dyDescent="0.3">
      <c r="D128" t="s">
        <v>732</v>
      </c>
    </row>
    <row r="129" spans="4:4" x14ac:dyDescent="0.3">
      <c r="D129" t="s">
        <v>733</v>
      </c>
    </row>
    <row r="130" spans="4:4" x14ac:dyDescent="0.3">
      <c r="D130" t="s">
        <v>734</v>
      </c>
    </row>
    <row r="131" spans="4:4" x14ac:dyDescent="0.3">
      <c r="D131" t="s">
        <v>735</v>
      </c>
    </row>
    <row r="132" spans="4:4" x14ac:dyDescent="0.3">
      <c r="D132" t="s">
        <v>736</v>
      </c>
    </row>
    <row r="133" spans="4:4" x14ac:dyDescent="0.3">
      <c r="D133" t="s">
        <v>737</v>
      </c>
    </row>
    <row r="134" spans="4:4" x14ac:dyDescent="0.3">
      <c r="D134" t="s">
        <v>738</v>
      </c>
    </row>
    <row r="135" spans="4:4" x14ac:dyDescent="0.3">
      <c r="D135" t="s">
        <v>739</v>
      </c>
    </row>
    <row r="136" spans="4:4" x14ac:dyDescent="0.3">
      <c r="D136" t="s">
        <v>740</v>
      </c>
    </row>
    <row r="137" spans="4:4" x14ac:dyDescent="0.3">
      <c r="D137" t="s">
        <v>612</v>
      </c>
    </row>
    <row r="138" spans="4:4" x14ac:dyDescent="0.3">
      <c r="D138" t="s">
        <v>741</v>
      </c>
    </row>
    <row r="139" spans="4:4" x14ac:dyDescent="0.3">
      <c r="D139" t="s">
        <v>742</v>
      </c>
    </row>
    <row r="140" spans="4:4" x14ac:dyDescent="0.3">
      <c r="D140" t="s">
        <v>743</v>
      </c>
    </row>
    <row r="141" spans="4:4" x14ac:dyDescent="0.3">
      <c r="D141" t="s">
        <v>744</v>
      </c>
    </row>
    <row r="142" spans="4:4" x14ac:dyDescent="0.3">
      <c r="D142" t="s">
        <v>208</v>
      </c>
    </row>
    <row r="143" spans="4:4" x14ac:dyDescent="0.3">
      <c r="D143" t="s">
        <v>745</v>
      </c>
    </row>
    <row r="144" spans="4:4" x14ac:dyDescent="0.3">
      <c r="D144" t="s">
        <v>746</v>
      </c>
    </row>
    <row r="145" spans="4:4" x14ac:dyDescent="0.3">
      <c r="D145" t="s">
        <v>747</v>
      </c>
    </row>
    <row r="146" spans="4:4" x14ac:dyDescent="0.3">
      <c r="D146" t="s">
        <v>748</v>
      </c>
    </row>
    <row r="147" spans="4:4" x14ac:dyDescent="0.3">
      <c r="D147" t="s">
        <v>749</v>
      </c>
    </row>
    <row r="148" spans="4:4" x14ac:dyDescent="0.3">
      <c r="D148" t="s">
        <v>750</v>
      </c>
    </row>
  </sheetData>
  <pageMargins left="0.7" right="0.7" top="0.75" bottom="0.75" header="0.3" footer="0.3"/>
  <pageSetup fitToWidth="0" fitToHeight="0" errors="blank"/>
  <ignoredErrors>
    <ignoredError sqref="D1:D14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CC4E-E3EA-40BB-9C04-88037B37DB99}">
  <dimension ref="A2:H24"/>
  <sheetViews>
    <sheetView topLeftCell="A18" workbookViewId="0">
      <selection activeCell="R19" sqref="R19"/>
    </sheetView>
  </sheetViews>
  <sheetFormatPr defaultColWidth="9.109375" defaultRowHeight="15.6" x14ac:dyDescent="0.3"/>
  <cols>
    <col min="1" max="1" width="9.109375" style="84"/>
    <col min="2" max="2" width="39.33203125" style="103" bestFit="1" customWidth="1"/>
    <col min="3" max="3" width="9.109375" style="84"/>
    <col min="4" max="4" width="13" style="84" bestFit="1" customWidth="1"/>
    <col min="5" max="5" width="8" style="84" bestFit="1" customWidth="1"/>
    <col min="6" max="7" width="6.88671875" style="84" bestFit="1" customWidth="1"/>
    <col min="8" max="16384" width="9.109375" style="84"/>
  </cols>
  <sheetData>
    <row r="2" spans="1:8" ht="31.2" x14ac:dyDescent="0.3">
      <c r="A2" s="100" t="s">
        <v>207</v>
      </c>
      <c r="B2" s="104" t="s">
        <v>7</v>
      </c>
      <c r="C2" s="100" t="s">
        <v>208</v>
      </c>
      <c r="D2" s="100" t="s">
        <v>209</v>
      </c>
      <c r="E2" s="100" t="s">
        <v>210</v>
      </c>
      <c r="F2" s="100" t="s">
        <v>211</v>
      </c>
      <c r="G2" s="100" t="s">
        <v>212</v>
      </c>
      <c r="H2" s="100" t="s">
        <v>9</v>
      </c>
    </row>
    <row r="3" spans="1:8" x14ac:dyDescent="0.3">
      <c r="A3" s="101"/>
      <c r="B3" s="105"/>
      <c r="C3" s="101"/>
      <c r="D3" s="101"/>
      <c r="E3" s="101"/>
      <c r="F3" s="101"/>
      <c r="G3" s="101"/>
      <c r="H3" s="101"/>
    </row>
    <row r="4" spans="1:8" x14ac:dyDescent="0.3">
      <c r="A4" s="101" t="s">
        <v>213</v>
      </c>
      <c r="B4" s="105" t="s">
        <v>214</v>
      </c>
      <c r="C4" s="101"/>
      <c r="D4" s="101"/>
      <c r="E4" s="101"/>
      <c r="F4" s="101"/>
      <c r="G4" s="101"/>
      <c r="H4" s="101"/>
    </row>
    <row r="5" spans="1:8" x14ac:dyDescent="0.3">
      <c r="A5" s="101" t="s">
        <v>215</v>
      </c>
      <c r="B5" s="104" t="s">
        <v>216</v>
      </c>
      <c r="C5" s="101"/>
      <c r="D5" s="101"/>
      <c r="E5" s="101"/>
      <c r="F5" s="101"/>
      <c r="G5" s="101"/>
      <c r="H5" s="101"/>
    </row>
    <row r="6" spans="1:8" x14ac:dyDescent="0.3">
      <c r="A6" s="101"/>
      <c r="B6" s="104" t="s">
        <v>217</v>
      </c>
      <c r="C6" s="101"/>
      <c r="D6" s="101"/>
      <c r="E6" s="101"/>
      <c r="F6" s="101"/>
      <c r="G6" s="101"/>
      <c r="H6" s="101"/>
    </row>
    <row r="7" spans="1:8" ht="46.8" x14ac:dyDescent="0.3">
      <c r="A7" s="101"/>
      <c r="B7" s="105" t="s">
        <v>218</v>
      </c>
      <c r="C7" s="101" t="s">
        <v>59</v>
      </c>
      <c r="D7" s="101">
        <v>1</v>
      </c>
      <c r="E7" s="101">
        <v>23.736999999999998</v>
      </c>
      <c r="F7" s="101"/>
      <c r="G7" s="101">
        <v>0.2</v>
      </c>
      <c r="H7" s="101">
        <v>51.02</v>
      </c>
    </row>
    <row r="8" spans="1:8" ht="46.8" x14ac:dyDescent="0.3">
      <c r="A8" s="101"/>
      <c r="B8" s="105" t="s">
        <v>219</v>
      </c>
      <c r="C8" s="101" t="s">
        <v>59</v>
      </c>
      <c r="D8" s="101">
        <v>1</v>
      </c>
      <c r="E8" s="101">
        <v>31.149000000000001</v>
      </c>
      <c r="F8" s="101"/>
      <c r="G8" s="101">
        <v>0.2</v>
      </c>
      <c r="H8" s="101">
        <v>66.95</v>
      </c>
    </row>
    <row r="9" spans="1:8" x14ac:dyDescent="0.3">
      <c r="A9" s="101"/>
      <c r="B9" s="105"/>
      <c r="C9" s="101"/>
      <c r="D9" s="101"/>
      <c r="E9" s="101"/>
      <c r="F9" s="101"/>
      <c r="G9" s="101"/>
      <c r="H9" s="100">
        <v>118.15</v>
      </c>
    </row>
    <row r="10" spans="1:8" x14ac:dyDescent="0.3">
      <c r="A10" s="101"/>
      <c r="B10" s="104" t="s">
        <v>23</v>
      </c>
      <c r="C10" s="101"/>
      <c r="D10" s="101"/>
      <c r="E10" s="101"/>
      <c r="F10" s="101"/>
      <c r="G10" s="101"/>
      <c r="H10" s="101"/>
    </row>
    <row r="11" spans="1:8" x14ac:dyDescent="0.3">
      <c r="A11" s="101"/>
      <c r="B11" s="105" t="s">
        <v>220</v>
      </c>
      <c r="C11" s="101" t="s">
        <v>59</v>
      </c>
      <c r="D11" s="101">
        <v>8</v>
      </c>
      <c r="E11" s="101">
        <v>3.2</v>
      </c>
      <c r="F11" s="101"/>
      <c r="G11" s="101">
        <v>1.05</v>
      </c>
      <c r="H11" s="101">
        <v>289.33</v>
      </c>
    </row>
    <row r="12" spans="1:8" x14ac:dyDescent="0.3">
      <c r="A12" s="101"/>
      <c r="B12" s="105" t="s">
        <v>221</v>
      </c>
      <c r="C12" s="101" t="s">
        <v>59</v>
      </c>
      <c r="D12" s="101">
        <v>5</v>
      </c>
      <c r="E12" s="101">
        <v>2.6</v>
      </c>
      <c r="F12" s="101"/>
      <c r="G12" s="101">
        <v>1.05</v>
      </c>
      <c r="H12" s="101">
        <v>146.91999999999999</v>
      </c>
    </row>
    <row r="13" spans="1:8" x14ac:dyDescent="0.3">
      <c r="A13" s="101"/>
      <c r="B13" s="105"/>
      <c r="C13" s="101"/>
      <c r="D13" s="101"/>
      <c r="E13" s="101"/>
      <c r="F13" s="101"/>
      <c r="G13" s="101"/>
      <c r="H13" s="100">
        <v>436.26</v>
      </c>
    </row>
    <row r="14" spans="1:8" x14ac:dyDescent="0.3">
      <c r="A14" s="101"/>
      <c r="B14" s="105"/>
      <c r="C14" s="101"/>
      <c r="D14" s="101"/>
      <c r="E14" s="101"/>
      <c r="F14" s="101"/>
      <c r="G14" s="101"/>
      <c r="H14" s="101"/>
    </row>
    <row r="15" spans="1:8" x14ac:dyDescent="0.3">
      <c r="A15" s="101"/>
      <c r="B15" s="104" t="s">
        <v>222</v>
      </c>
      <c r="C15" s="101"/>
      <c r="D15" s="101"/>
      <c r="E15" s="101"/>
      <c r="F15" s="101"/>
      <c r="G15" s="101"/>
      <c r="H15" s="101"/>
    </row>
    <row r="16" spans="1:8" x14ac:dyDescent="0.3">
      <c r="A16" s="101"/>
      <c r="B16" s="105" t="s">
        <v>223</v>
      </c>
      <c r="C16" s="101" t="s">
        <v>59</v>
      </c>
      <c r="D16" s="101">
        <v>1</v>
      </c>
      <c r="E16" s="101">
        <v>130.78399999999999</v>
      </c>
      <c r="F16" s="101"/>
      <c r="G16" s="101">
        <v>1.35</v>
      </c>
      <c r="H16" s="101" t="s">
        <v>224</v>
      </c>
    </row>
    <row r="17" spans="1:8" x14ac:dyDescent="0.3">
      <c r="A17" s="101"/>
      <c r="B17" s="105" t="s">
        <v>225</v>
      </c>
      <c r="C17" s="101" t="s">
        <v>59</v>
      </c>
      <c r="D17" s="101">
        <v>1</v>
      </c>
      <c r="E17" s="101">
        <v>131.244</v>
      </c>
      <c r="F17" s="101"/>
      <c r="G17" s="101">
        <v>1.35</v>
      </c>
      <c r="H17" s="102">
        <v>1907.04</v>
      </c>
    </row>
    <row r="18" spans="1:8" ht="31.2" x14ac:dyDescent="0.3">
      <c r="A18" s="101"/>
      <c r="B18" s="105" t="s">
        <v>226</v>
      </c>
      <c r="C18" s="101" t="s">
        <v>59</v>
      </c>
      <c r="D18" s="101">
        <v>1</v>
      </c>
      <c r="E18" s="101">
        <v>256.71800000000002</v>
      </c>
      <c r="F18" s="101"/>
      <c r="G18" s="101">
        <v>0.3</v>
      </c>
      <c r="H18" s="101">
        <v>829</v>
      </c>
    </row>
    <row r="19" spans="1:8" ht="31.2" x14ac:dyDescent="0.3">
      <c r="A19" s="101"/>
      <c r="B19" s="105" t="s">
        <v>227</v>
      </c>
      <c r="C19" s="101" t="s">
        <v>59</v>
      </c>
      <c r="D19" s="101">
        <v>1</v>
      </c>
      <c r="E19" s="101">
        <v>257.40800000000002</v>
      </c>
      <c r="F19" s="101"/>
      <c r="G19" s="101">
        <v>0.3</v>
      </c>
      <c r="H19" s="101">
        <v>831.18</v>
      </c>
    </row>
    <row r="20" spans="1:8" x14ac:dyDescent="0.3">
      <c r="A20" s="101"/>
      <c r="B20" s="105"/>
      <c r="C20" s="101"/>
      <c r="D20" s="101"/>
      <c r="E20" s="101"/>
      <c r="F20" s="101"/>
      <c r="G20" s="101"/>
      <c r="H20" s="100">
        <v>5467.71</v>
      </c>
    </row>
    <row r="23" spans="1:8" x14ac:dyDescent="0.3">
      <c r="A23" s="100" t="s">
        <v>228</v>
      </c>
      <c r="B23" s="104" t="s">
        <v>229</v>
      </c>
      <c r="C23" s="101"/>
      <c r="D23" s="101"/>
      <c r="E23" s="101"/>
      <c r="F23" s="101"/>
      <c r="G23" s="101"/>
      <c r="H23" s="101"/>
    </row>
    <row r="24" spans="1:8" x14ac:dyDescent="0.3">
      <c r="A24" s="101"/>
      <c r="B24" s="105" t="s">
        <v>67</v>
      </c>
      <c r="C24" s="101" t="s">
        <v>59</v>
      </c>
      <c r="D24" s="101">
        <v>1</v>
      </c>
      <c r="E24" s="101">
        <v>283.60199999999998</v>
      </c>
      <c r="F24" s="101"/>
      <c r="G24" s="101">
        <v>11.288</v>
      </c>
      <c r="H24" s="100">
        <v>34458.5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4738-8566-47B3-907F-ED0D1ED0D5B6}">
  <dimension ref="A2:H23"/>
  <sheetViews>
    <sheetView workbookViewId="0"/>
  </sheetViews>
  <sheetFormatPr defaultRowHeight="14.4" x14ac:dyDescent="0.3"/>
  <cols>
    <col min="1" max="1" width="65.5546875" customWidth="1"/>
    <col min="4" max="4" width="9.33203125" bestFit="1" customWidth="1"/>
    <col min="7" max="7" width="9.33203125" bestFit="1" customWidth="1"/>
    <col min="8" max="8" width="12" customWidth="1"/>
  </cols>
  <sheetData>
    <row r="2" spans="1:8" x14ac:dyDescent="0.3">
      <c r="A2" s="60" t="s">
        <v>751</v>
      </c>
    </row>
    <row r="3" spans="1:8" x14ac:dyDescent="0.3">
      <c r="A3" t="s">
        <v>752</v>
      </c>
      <c r="B3" t="s">
        <v>208</v>
      </c>
      <c r="C3" t="s">
        <v>753</v>
      </c>
      <c r="D3" t="s">
        <v>210</v>
      </c>
      <c r="E3" t="s">
        <v>754</v>
      </c>
      <c r="F3" t="s">
        <v>212</v>
      </c>
      <c r="G3" t="s">
        <v>755</v>
      </c>
      <c r="H3" t="s">
        <v>756</v>
      </c>
    </row>
    <row r="4" spans="1:8" x14ac:dyDescent="0.3">
      <c r="A4" t="s">
        <v>757</v>
      </c>
      <c r="B4" t="s">
        <v>59</v>
      </c>
      <c r="C4">
        <v>1</v>
      </c>
      <c r="D4">
        <v>91119.47</v>
      </c>
      <c r="G4">
        <v>91119.47</v>
      </c>
      <c r="H4" t="s">
        <v>758</v>
      </c>
    </row>
    <row r="5" spans="1:8" x14ac:dyDescent="0.3">
      <c r="A5" t="s">
        <v>759</v>
      </c>
      <c r="B5" t="s">
        <v>59</v>
      </c>
      <c r="C5">
        <v>1</v>
      </c>
      <c r="D5">
        <v>818.76700000000005</v>
      </c>
      <c r="G5">
        <v>818.76700000000005</v>
      </c>
      <c r="H5" t="s">
        <v>758</v>
      </c>
    </row>
    <row r="7" spans="1:8" x14ac:dyDescent="0.3">
      <c r="A7" s="60" t="s">
        <v>760</v>
      </c>
    </row>
    <row r="8" spans="1:8" x14ac:dyDescent="0.3">
      <c r="A8" t="s">
        <v>761</v>
      </c>
      <c r="B8" t="s">
        <v>762</v>
      </c>
      <c r="C8">
        <v>9</v>
      </c>
      <c r="G8">
        <v>9</v>
      </c>
      <c r="H8" t="s">
        <v>763</v>
      </c>
    </row>
    <row r="9" spans="1:8" x14ac:dyDescent="0.3">
      <c r="A9" t="s">
        <v>764</v>
      </c>
      <c r="B9" t="s">
        <v>762</v>
      </c>
      <c r="C9">
        <v>9</v>
      </c>
      <c r="G9">
        <v>9</v>
      </c>
      <c r="H9" t="s">
        <v>763</v>
      </c>
    </row>
    <row r="10" spans="1:8" x14ac:dyDescent="0.3">
      <c r="A10" s="60" t="s">
        <v>765</v>
      </c>
    </row>
    <row r="11" spans="1:8" x14ac:dyDescent="0.3">
      <c r="A11" t="s">
        <v>151</v>
      </c>
      <c r="B11" t="s">
        <v>762</v>
      </c>
      <c r="C11">
        <v>2</v>
      </c>
      <c r="G11">
        <v>2</v>
      </c>
      <c r="H11" t="s">
        <v>763</v>
      </c>
    </row>
    <row r="12" spans="1:8" x14ac:dyDescent="0.3">
      <c r="A12" t="s">
        <v>153</v>
      </c>
      <c r="B12" t="s">
        <v>762</v>
      </c>
      <c r="C12">
        <v>12</v>
      </c>
      <c r="G12">
        <v>12</v>
      </c>
      <c r="H12" t="s">
        <v>763</v>
      </c>
    </row>
    <row r="13" spans="1:8" x14ac:dyDescent="0.3">
      <c r="A13" s="60" t="s">
        <v>766</v>
      </c>
    </row>
    <row r="14" spans="1:8" x14ac:dyDescent="0.3">
      <c r="A14" t="s">
        <v>767</v>
      </c>
      <c r="B14" t="s">
        <v>762</v>
      </c>
      <c r="C14">
        <v>4</v>
      </c>
      <c r="G14">
        <v>4</v>
      </c>
      <c r="H14" t="s">
        <v>763</v>
      </c>
    </row>
    <row r="15" spans="1:8" x14ac:dyDescent="0.3">
      <c r="A15" s="60" t="s">
        <v>768</v>
      </c>
    </row>
    <row r="16" spans="1:8" x14ac:dyDescent="0.3">
      <c r="A16" s="61" t="s">
        <v>769</v>
      </c>
    </row>
    <row r="17" spans="1:8" x14ac:dyDescent="0.3">
      <c r="A17" t="s">
        <v>770</v>
      </c>
      <c r="B17" t="s">
        <v>762</v>
      </c>
      <c r="C17">
        <v>3</v>
      </c>
      <c r="G17">
        <v>27</v>
      </c>
      <c r="H17" t="s">
        <v>763</v>
      </c>
    </row>
    <row r="18" spans="1:8" x14ac:dyDescent="0.3">
      <c r="A18" t="s">
        <v>771</v>
      </c>
      <c r="B18" t="s">
        <v>762</v>
      </c>
      <c r="C18">
        <v>9</v>
      </c>
      <c r="G18">
        <v>9</v>
      </c>
      <c r="H18" t="s">
        <v>772</v>
      </c>
    </row>
    <row r="19" spans="1:8" x14ac:dyDescent="0.3">
      <c r="A19" t="s">
        <v>773</v>
      </c>
      <c r="B19" t="s">
        <v>762</v>
      </c>
      <c r="C19">
        <v>13</v>
      </c>
      <c r="G19">
        <v>13</v>
      </c>
      <c r="H19" t="s">
        <v>772</v>
      </c>
    </row>
    <row r="20" spans="1:8" x14ac:dyDescent="0.3">
      <c r="A20" t="s">
        <v>774</v>
      </c>
      <c r="B20" t="s">
        <v>762</v>
      </c>
      <c r="C20">
        <v>9</v>
      </c>
      <c r="G20">
        <v>9</v>
      </c>
      <c r="H20" t="s">
        <v>772</v>
      </c>
    </row>
    <row r="21" spans="1:8" x14ac:dyDescent="0.3">
      <c r="A21" t="s">
        <v>775</v>
      </c>
      <c r="B21" t="s">
        <v>762</v>
      </c>
      <c r="C21">
        <v>9</v>
      </c>
      <c r="G21">
        <v>9</v>
      </c>
      <c r="H21" t="s">
        <v>772</v>
      </c>
    </row>
    <row r="22" spans="1:8" x14ac:dyDescent="0.3">
      <c r="A22" t="s">
        <v>776</v>
      </c>
      <c r="B22" t="s">
        <v>762</v>
      </c>
      <c r="C22">
        <v>9</v>
      </c>
      <c r="G22">
        <v>9</v>
      </c>
      <c r="H22" t="s">
        <v>772</v>
      </c>
    </row>
    <row r="23" spans="1:8" x14ac:dyDescent="0.3">
      <c r="A23" t="s">
        <v>777</v>
      </c>
      <c r="B23" t="s">
        <v>762</v>
      </c>
      <c r="C23">
        <v>9</v>
      </c>
      <c r="G23">
        <v>9</v>
      </c>
      <c r="H23" t="s">
        <v>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F288026B24F549BEA97EC924714979" ma:contentTypeVersion="4" ma:contentTypeDescription="Create a new document." ma:contentTypeScope="" ma:versionID="2beec3f3296308f133c733bd3345457e">
  <xsd:schema xmlns:xsd="http://www.w3.org/2001/XMLSchema" xmlns:xs="http://www.w3.org/2001/XMLSchema" xmlns:p="http://schemas.microsoft.com/office/2006/metadata/properties" xmlns:ns2="e7b2451c-47d4-4879-8e0a-d7376d99a2a8" xmlns:ns3="9e2f1f4a-c498-4739-8a0c-73cbdf02c1e4" targetNamespace="http://schemas.microsoft.com/office/2006/metadata/properties" ma:root="true" ma:fieldsID="36411df1376de541081270803e1a1e66" ns2:_="" ns3:_="">
    <xsd:import namespace="e7b2451c-47d4-4879-8e0a-d7376d99a2a8"/>
    <xsd:import namespace="9e2f1f4a-c498-4739-8a0c-73cbdf02c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2451c-47d4-4879-8e0a-d7376d99a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2f1f4a-c498-4739-8a0c-73cbdf02c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F009CE-C67E-49EF-B33E-E805E8FA24CF}">
  <ds:schemaRefs>
    <ds:schemaRef ds:uri="9e2f1f4a-c498-4739-8a0c-73cbdf02c1e4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e7b2451c-47d4-4879-8e0a-d7376d99a2a8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25175A8-D42D-4BFC-BE80-283AACC33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BF2B71-7977-449C-BF0B-178755CDD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2451c-47d4-4879-8e0a-d7376d99a2a8"/>
    <ds:schemaRef ds:uri="9e2f1f4a-c498-4739-8a0c-73cbdf02c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Project Cost Breakdown</vt:lpstr>
      <vt:lpstr>05 12 00 Structural Steel Frami</vt:lpstr>
      <vt:lpstr>03 31 00 Structural Concrete</vt:lpstr>
      <vt:lpstr>Sheet2</vt:lpstr>
      <vt:lpstr>03 11 00 Concrete Forming</vt:lpstr>
      <vt:lpstr>Sheet3</vt:lpstr>
      <vt:lpstr>DvListSource1</vt:lpstr>
      <vt:lpstr>'03 31 00 Structural Concrete'!Print_Area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Fresco</dc:creator>
  <cp:keywords/>
  <dc:description/>
  <cp:lastModifiedBy>Vikas Vaghasiya</cp:lastModifiedBy>
  <cp:revision/>
  <dcterms:created xsi:type="dcterms:W3CDTF">2021-09-15T18:27:48Z</dcterms:created>
  <dcterms:modified xsi:type="dcterms:W3CDTF">2023-05-01T20:02:00Z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17.1.5.0</vt:lpwstr>
  </property>
  <property fmtid="{D5CDD505-2E9C-101B-9397-08002B2CF9AE}" pid="3" name="ContentTypeId">
    <vt:lpwstr>0x01010097F288026B24F549BEA97EC924714979</vt:lpwstr>
  </property>
</Properties>
</file>