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.chapin/Library/CloudStorage/Dropbox/HappyFew_1.0Go/"/>
    </mc:Choice>
  </mc:AlternateContent>
  <xr:revisionPtr revIDLastSave="0" documentId="13_ncr:1_{D68CC68E-16ED-D840-B725-2BCF9C9D6ABA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Data" sheetId="28" r:id="rId1"/>
    <sheet name="Bilan" sheetId="30" r:id="rId2"/>
    <sheet name="Trajectoire" sheetId="31" r:id="rId3"/>
    <sheet name="Explications" sheetId="29" r:id="rId4"/>
  </sheets>
  <externalReferences>
    <externalReference r:id="rId5"/>
  </externalReferences>
  <definedNames>
    <definedName name="a">[1]NACA6!$I$62</definedName>
    <definedName name="a1_">'[1]2013'!$B$38</definedName>
    <definedName name="a2_">'[1]2013'!$B$39</definedName>
    <definedName name="a3_">'[1]2013'!$B$40</definedName>
    <definedName name="b">'[1]2013'!$B$41</definedName>
    <definedName name="Cpmin">[1]NACA6!$I$61</definedName>
    <definedName name="rho">[1]Design!$E$4</definedName>
    <definedName name="S">[1]Design!$E$10</definedName>
    <definedName name="V">[1]Design!$E$18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0" l="1"/>
  <c r="A7" i="30"/>
  <c r="C5" i="30"/>
  <c r="A5" i="30"/>
  <c r="I9" i="29"/>
  <c r="I10" i="29"/>
  <c r="I13" i="29" s="1"/>
  <c r="J9" i="29" s="1"/>
  <c r="I11" i="29"/>
  <c r="J11" i="29" s="1"/>
  <c r="I12" i="29"/>
  <c r="J12" i="29" s="1"/>
  <c r="A26" i="28"/>
  <c r="B13" i="28"/>
  <c r="A13" i="28"/>
  <c r="B14" i="28"/>
  <c r="A14" i="28"/>
  <c r="A15" i="28"/>
  <c r="A12" i="28"/>
  <c r="A11" i="28"/>
  <c r="B15" i="28"/>
  <c r="B12" i="28"/>
  <c r="B11" i="28"/>
  <c r="E23" i="28"/>
  <c r="A23" i="28" s="1"/>
  <c r="A6" i="30" s="1"/>
  <c r="G19" i="28"/>
  <c r="F19" i="28"/>
  <c r="B19" i="28" s="1"/>
  <c r="C9" i="28"/>
  <c r="A9" i="28" s="1"/>
  <c r="C10" i="28"/>
  <c r="A10" i="28" s="1"/>
  <c r="C8" i="28"/>
  <c r="B8" i="28" s="1"/>
  <c r="C7" i="28"/>
  <c r="A7" i="28" s="1"/>
  <c r="J10" i="29" l="1"/>
  <c r="B10" i="28"/>
  <c r="C4" i="30" s="1"/>
  <c r="C10" i="30" s="1"/>
  <c r="C12" i="30" s="1"/>
  <c r="B9" i="28"/>
  <c r="A8" i="28"/>
  <c r="A4" i="30" s="1"/>
  <c r="A10" i="30" s="1"/>
  <c r="B7" i="30" s="1"/>
  <c r="B7" i="28"/>
  <c r="A19" i="28"/>
  <c r="B4" i="30" l="1"/>
  <c r="B5" i="30"/>
  <c r="A12" i="30"/>
  <c r="B8" i="30"/>
  <c r="B6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FE89BC4-421F-1F43-A8D0-173E84F0CB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à partir de ma slide Bilan CO2 dans S1_Exponentielle.pptx/slide 332</t>
        </r>
      </text>
    </comment>
  </commentList>
</comments>
</file>

<file path=xl/sharedStrings.xml><?xml version="1.0" encoding="utf-8"?>
<sst xmlns="http://schemas.openxmlformats.org/spreadsheetml/2006/main" count="103" uniqueCount="79">
  <si>
    <t>TCO2/an</t>
  </si>
  <si>
    <t>kWh/an</t>
  </si>
  <si>
    <t>km/an</t>
  </si>
  <si>
    <t>Treajectoire GIEC : Neutralité carbone en 2050</t>
  </si>
  <si>
    <t>TCO2/an/p</t>
  </si>
  <si>
    <t xml:space="preserve">Les   1% les plus riches </t>
  </si>
  <si>
    <t xml:space="preserve">Les 40% classes moyennes </t>
  </si>
  <si>
    <t>Les 50% les plus pauvres</t>
  </si>
  <si>
    <t>Nombre de km/an et consommation moyenne de votre voiture électrique</t>
  </si>
  <si>
    <t>L/100km</t>
  </si>
  <si>
    <t>kWh/100km</t>
  </si>
  <si>
    <t>Nombre de km/an et consommation moyenne de votre VAE</t>
  </si>
  <si>
    <t>Nombre de km/an et consommation moyenne de votre voiture Thermique</t>
  </si>
  <si>
    <t>Shab [m2]</t>
  </si>
  <si>
    <t>classe Energétique</t>
  </si>
  <si>
    <t>kWh/m2/an</t>
  </si>
  <si>
    <t>Type</t>
  </si>
  <si>
    <t>kgCO2/kWh</t>
  </si>
  <si>
    <t>Mobilité</t>
  </si>
  <si>
    <t>B</t>
  </si>
  <si>
    <t>PAC</t>
  </si>
  <si>
    <t>% repas avec viande rouge</t>
  </si>
  <si>
    <t>% repas avec viande blanche</t>
  </si>
  <si>
    <t>% repas végétarien</t>
  </si>
  <si>
    <t>Consommation</t>
  </si>
  <si>
    <t>Bilan CO2 et énergétique annuel</t>
  </si>
  <si>
    <t>Logement</t>
  </si>
  <si>
    <t>Alimentation</t>
  </si>
  <si>
    <t>Services Publics</t>
  </si>
  <si>
    <t xml:space="preserve">Alimentation </t>
  </si>
  <si>
    <t>Catégorie de revenus (1%, 9%, 40%, 50%)</t>
  </si>
  <si>
    <t xml:space="preserve">Nombre de vols A/R Internationaux/an en jet privé </t>
  </si>
  <si>
    <t xml:space="preserve">Nombre de vols A/R Internationaux/an en avion de ligne </t>
  </si>
  <si>
    <t>Nombre de vols A/R Nationaux/an en jet privé</t>
  </si>
  <si>
    <t xml:space="preserve">Nombre de vols A/R Nationaux/an en avion de ligne </t>
  </si>
  <si>
    <t>Nombre de km/an et consommation moyenne de votre VI électrique</t>
  </si>
  <si>
    <t>Nombre de km/an et consommation moyenne de votre SUV électrique</t>
  </si>
  <si>
    <t>Durée de vie</t>
  </si>
  <si>
    <t>Votre usage des énergies fossiles chaque année (TCO2/an, kWh/an)</t>
  </si>
  <si>
    <t>Votre usage quotidien des énergies fossiles (kgCO2/jour, kWh/jour)</t>
  </si>
  <si>
    <t>% repas viande rouge, % repas viande blanche, % repas végétarien</t>
  </si>
  <si>
    <t>TCO2</t>
  </si>
  <si>
    <t>%CO2</t>
  </si>
  <si>
    <t>Catégorie</t>
  </si>
  <si>
    <t>TCO2/an en moyenne</t>
  </si>
  <si>
    <t xml:space="preserve">Ce rapport révèle notamment qu’entre 1990 et 2015, </t>
  </si>
  <si>
    <t xml:space="preserve">les 10% les plus riches de la population mondiale ont été responsables de 52% des émissions de CO2 cumulées </t>
  </si>
  <si>
    <t>les 1% les plus riches sont responsables de deux fois plus d’émissions que la moitié la plus pauvre de l’humanité.</t>
  </si>
  <si>
    <t xml:space="preserve">Les   9% les plus riches </t>
  </si>
  <si>
    <t>%</t>
  </si>
  <si>
    <t>300 TCO2/an c'est : 65% pour sa mobilité avec 10 vols Internationaux et 25 vols nationaux en jet privé + 30 000 km/an avec une voiture thermique qui consomme 20L/100km et une maison de 300m2 classe D chauffée au fioul et une côte de bœuf à tous les repas !!!</t>
  </si>
  <si>
    <t>28 TCO2/an c'est : 45% pour sa mobilité avec 7 vols Internatinoaux et 15 vols Nationaux en avion de ligne + 30 000 km/an avec son SUV électrique, une maison de 250m2 classe D chauffage électrique</t>
  </si>
  <si>
    <t>9 TCO2/an c'est : 12% pour sa mobilité avec 1 vol International tous les 3 ans, 2 vols nationaux/an en avion de ligne + 20 000 km/an en voiture électrique et une maison de 150m2 classe D chauffée à l'électricité</t>
  </si>
  <si>
    <t>3 TCO2/an c'est impossible avec 2T de services publics + 1T de consommation, il ne peut rien faire d'autre !!!</t>
  </si>
  <si>
    <t>Trajectoire CO2 2020-2050</t>
  </si>
  <si>
    <t>classe D à B</t>
  </si>
  <si>
    <t>Voiture thermique à électrique</t>
  </si>
  <si>
    <t>Effort de déconsommation</t>
  </si>
  <si>
    <t>Services publics - Forfait 2TCO2/an (The Shift Project)</t>
  </si>
  <si>
    <t>Actions vers la neutralité CO2 en 2050</t>
  </si>
  <si>
    <t>Emissions CO2/an</t>
  </si>
  <si>
    <t>Action 1</t>
  </si>
  <si>
    <t>Action 2</t>
  </si>
  <si>
    <t>Action 3</t>
  </si>
  <si>
    <t>Plus d'avion</t>
  </si>
  <si>
    <t>Action 4</t>
  </si>
  <si>
    <t>VAE Trajet job</t>
  </si>
  <si>
    <t>Action 5</t>
  </si>
  <si>
    <t>déconsommation</t>
  </si>
  <si>
    <t>Service public</t>
  </si>
  <si>
    <t>Alimentation 0% viande</t>
  </si>
  <si>
    <t>Bilan CO2</t>
  </si>
  <si>
    <t>Guide : remplir les cases en jaune et lire le résultat dans l'onglet bilan</t>
  </si>
  <si>
    <t>kWh/an/p</t>
  </si>
  <si>
    <t>TCO2/jour/p</t>
  </si>
  <si>
    <t>kWh/jour/p</t>
  </si>
  <si>
    <r>
      <t>Objectifs</t>
    </r>
    <r>
      <rPr>
        <b/>
        <sz val="14"/>
        <color rgb="FF000000"/>
        <rFont val="Calibri"/>
        <family val="2"/>
        <scheme val="minor"/>
      </rPr>
      <t xml:space="preserve"> / réchauffement climatique T &lt; 2°C</t>
    </r>
  </si>
  <si>
    <r>
      <t xml:space="preserve">12, </t>
    </r>
    <r>
      <rPr>
        <b/>
        <sz val="14"/>
        <color rgb="FFED7D31"/>
        <rFont val="Calibri"/>
        <family val="2"/>
        <scheme val="minor"/>
      </rPr>
      <t>6</t>
    </r>
    <r>
      <rPr>
        <b/>
        <sz val="14"/>
        <color rgb="FF000000"/>
        <rFont val="Calibri"/>
        <family val="2"/>
        <scheme val="minor"/>
      </rPr>
      <t xml:space="preserve">, </t>
    </r>
    <r>
      <rPr>
        <b/>
        <sz val="14"/>
        <color rgb="FF00B0F0"/>
        <rFont val="Calibri"/>
        <family val="2"/>
        <scheme val="minor"/>
      </rPr>
      <t>4</t>
    </r>
    <r>
      <rPr>
        <b/>
        <sz val="14"/>
        <color rgb="FF000000"/>
        <rFont val="Calibri"/>
        <family val="2"/>
        <scheme val="minor"/>
      </rPr>
      <t xml:space="preserve">, </t>
    </r>
    <r>
      <rPr>
        <b/>
        <sz val="14"/>
        <color rgb="FF00B050"/>
        <rFont val="Calibri"/>
        <family val="2"/>
        <scheme val="minor"/>
      </rPr>
      <t>2</t>
    </r>
    <r>
      <rPr>
        <b/>
        <sz val="14"/>
        <color rgb="FF000000"/>
        <rFont val="Calibri"/>
        <family val="2"/>
        <scheme val="minor"/>
      </rPr>
      <t xml:space="preserve"> </t>
    </r>
    <r>
      <rPr>
        <sz val="14"/>
        <color rgb="FF000000"/>
        <rFont val="Calibri"/>
        <family val="2"/>
        <scheme val="minor"/>
      </rPr>
      <t xml:space="preserve">TCO2/an/p en 2020, </t>
    </r>
    <r>
      <rPr>
        <sz val="14"/>
        <color rgb="FFED7D31"/>
        <rFont val="Calibri"/>
        <family val="2"/>
        <scheme val="minor"/>
      </rPr>
      <t>2030</t>
    </r>
    <r>
      <rPr>
        <sz val="14"/>
        <color rgb="FF000000"/>
        <rFont val="Calibri"/>
        <family val="2"/>
        <scheme val="minor"/>
      </rPr>
      <t>,</t>
    </r>
    <r>
      <rPr>
        <sz val="14"/>
        <color rgb="FF00B0F0"/>
        <rFont val="Calibri"/>
        <family val="2"/>
        <scheme val="minor"/>
      </rPr>
      <t xml:space="preserve"> 2040,</t>
    </r>
    <r>
      <rPr>
        <sz val="14"/>
        <color rgb="FF00B050"/>
        <rFont val="Calibri"/>
        <family val="2"/>
        <scheme val="minor"/>
      </rPr>
      <t xml:space="preserve"> 2050</t>
    </r>
  </si>
  <si>
    <r>
      <t xml:space="preserve">Bilan CO2 de la France </t>
    </r>
    <r>
      <rPr>
        <sz val="14"/>
        <color rgb="FF000000"/>
        <rFont val="Calibri"/>
        <family val="2"/>
        <scheme val="minor"/>
      </rPr>
      <t>2015 (rapport Oxfam)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</si>
</sst>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ED7D31"/>
      <name val="Calibri"/>
      <family val="2"/>
      <scheme val="minor"/>
    </font>
    <font>
      <b/>
      <shadow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ED7D3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color rgb="FFED7D31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0" fontId="12" fillId="0" borderId="0" xfId="0" applyFont="1"/>
    <xf numFmtId="0" fontId="12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quotePrefix="1" applyFont="1" applyAlignment="1">
      <alignment horizontal="left" vertical="center" readingOrder="1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readingOrder="1"/>
    </xf>
    <xf numFmtId="1" fontId="13" fillId="0" borderId="0" xfId="0" applyNumberFormat="1" applyFont="1" applyAlignment="1">
      <alignment horizontal="center" vertical="center" readingOrder="1"/>
    </xf>
    <xf numFmtId="0" fontId="11" fillId="2" borderId="0" xfId="0" applyFont="1" applyFill="1" applyAlignment="1">
      <alignment horizontal="center" vertical="center" readingOrder="1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 vertical="center" readingOrder="1"/>
    </xf>
    <xf numFmtId="164" fontId="11" fillId="2" borderId="0" xfId="0" applyNumberFormat="1" applyFont="1" applyFill="1" applyAlignment="1">
      <alignment horizontal="center"/>
    </xf>
    <xf numFmtId="0" fontId="0" fillId="2" borderId="0" xfId="0" applyFill="1"/>
    <xf numFmtId="0" fontId="12" fillId="2" borderId="0" xfId="0" applyFont="1" applyFill="1"/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/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readingOrder="1"/>
    </xf>
    <xf numFmtId="38" fontId="5" fillId="2" borderId="1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readingOrder="1"/>
    </xf>
    <xf numFmtId="9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</cellXfs>
  <cellStyles count="136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5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16</xdr:row>
      <xdr:rowOff>38100</xdr:rowOff>
    </xdr:from>
    <xdr:to>
      <xdr:col>15</xdr:col>
      <xdr:colOff>469901</xdr:colOff>
      <xdr:row>24</xdr:row>
      <xdr:rowOff>150019</xdr:rowOff>
    </xdr:to>
    <xdr:pic>
      <xdr:nvPicPr>
        <xdr:cNvPr id="2" name="Image 1" descr="Comprendre la classe énergétique de sa maison | MaisonSûr">
          <a:extLst>
            <a:ext uri="{FF2B5EF4-FFF2-40B4-BE49-F238E27FC236}">
              <a16:creationId xmlns:a16="http://schemas.microsoft.com/office/drawing/2014/main" id="{79ED6BF2-64FB-582F-E9B7-99E8A7682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5943600"/>
          <a:ext cx="3721100" cy="209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.chapin/VIK/RB/Enseignement/Cours_Aero_ENSICA/Exo_Cours_A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TPM"/>
      <sheetName val="2D"/>
      <sheetName val="NACA6"/>
      <sheetName val="D"/>
      <sheetName val="Tu"/>
      <sheetName val="BE1"/>
      <sheetName val="BE3"/>
      <sheetName val="BE5"/>
      <sheetName val="LP"/>
      <sheetName val="2013"/>
      <sheetName val="2014"/>
      <sheetName val="LowRe"/>
      <sheetName val="Cruise"/>
      <sheetName val="PPPT"/>
    </sheetNames>
    <sheetDataSet>
      <sheetData sheetId="0" refreshError="1">
        <row r="4">
          <cell r="E4">
            <v>1.1767711962833913</v>
          </cell>
        </row>
        <row r="10">
          <cell r="E10">
            <v>12</v>
          </cell>
        </row>
        <row r="18">
          <cell r="E18">
            <v>14.668551857344569</v>
          </cell>
        </row>
      </sheetData>
      <sheetData sheetId="1" refreshError="1"/>
      <sheetData sheetId="2" refreshError="1"/>
      <sheetData sheetId="3" refreshError="1">
        <row r="61">
          <cell r="I61">
            <v>-0.4</v>
          </cell>
        </row>
        <row r="62">
          <cell r="I62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8">
          <cell r="B38">
            <v>0.30503999999999998</v>
          </cell>
        </row>
        <row r="39">
          <cell r="B39">
            <v>-1.6155999999999999</v>
          </cell>
        </row>
        <row r="40">
          <cell r="B40">
            <v>2.6595</v>
          </cell>
        </row>
        <row r="41">
          <cell r="B41">
            <v>2.2079999999999999E-2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7EAA-5CC9-6947-BEFB-803634551652}">
  <dimension ref="A1:M64"/>
  <sheetViews>
    <sheetView tabSelected="1" zoomScaleNormal="100" workbookViewId="0">
      <selection activeCell="A3" sqref="A3"/>
    </sheetView>
  </sheetViews>
  <sheetFormatPr baseColWidth="10" defaultRowHeight="16" x14ac:dyDescent="0.2"/>
  <cols>
    <col min="1" max="1" width="12.6640625" customWidth="1"/>
    <col min="5" max="5" width="13" customWidth="1"/>
    <col min="6" max="6" width="13.33203125" customWidth="1"/>
    <col min="7" max="7" width="17.83203125" customWidth="1"/>
  </cols>
  <sheetData>
    <row r="1" spans="1:13" x14ac:dyDescent="0.2">
      <c r="A1" s="2"/>
    </row>
    <row r="3" spans="1:13" ht="24" x14ac:dyDescent="0.25">
      <c r="A3" s="8" t="s">
        <v>71</v>
      </c>
      <c r="C3" s="29" t="s">
        <v>72</v>
      </c>
      <c r="D3" s="28"/>
      <c r="E3" s="28"/>
      <c r="F3" s="28"/>
      <c r="G3" s="28"/>
    </row>
    <row r="4" spans="1:13" ht="24" x14ac:dyDescent="0.2">
      <c r="A4" s="8"/>
    </row>
    <row r="5" spans="1:13" ht="21" x14ac:dyDescent="0.2">
      <c r="A5" s="20" t="s">
        <v>18</v>
      </c>
    </row>
    <row r="6" spans="1:13" ht="19" customHeight="1" x14ac:dyDescent="0.25">
      <c r="A6" s="9" t="s">
        <v>0</v>
      </c>
      <c r="B6" s="13" t="s">
        <v>1</v>
      </c>
      <c r="C6" s="13" t="s">
        <v>2</v>
      </c>
      <c r="M6" s="13" t="s">
        <v>37</v>
      </c>
    </row>
    <row r="7" spans="1:13" ht="19" x14ac:dyDescent="0.25">
      <c r="A7" s="21">
        <f>C7/100*30*0.8*3/1000</f>
        <v>0</v>
      </c>
      <c r="B7" s="13">
        <f>C7/100*30*10</f>
        <v>0</v>
      </c>
      <c r="C7" s="12">
        <f>E7*20000</f>
        <v>0</v>
      </c>
      <c r="D7" s="1"/>
      <c r="E7" s="22">
        <v>0</v>
      </c>
      <c r="F7" s="14" t="s">
        <v>31</v>
      </c>
      <c r="G7" s="11"/>
      <c r="H7" s="11"/>
    </row>
    <row r="8" spans="1:13" ht="19" x14ac:dyDescent="0.25">
      <c r="A8" s="26">
        <f>C8/100*3*0.8*3/1000</f>
        <v>0</v>
      </c>
      <c r="B8" s="13">
        <f>C8/100*3*10</f>
        <v>0</v>
      </c>
      <c r="C8" s="12">
        <f>E8*20000</f>
        <v>0</v>
      </c>
      <c r="D8" s="13"/>
      <c r="E8" s="22">
        <v>0</v>
      </c>
      <c r="F8" s="14" t="s">
        <v>32</v>
      </c>
      <c r="G8" s="11"/>
      <c r="H8" s="11"/>
    </row>
    <row r="9" spans="1:13" ht="19" x14ac:dyDescent="0.25">
      <c r="A9" s="21">
        <f>C9/100*30*0.8*3/1000</f>
        <v>0</v>
      </c>
      <c r="B9" s="13">
        <f>C9/100*30*10</f>
        <v>0</v>
      </c>
      <c r="C9" s="12">
        <f>E9*2000</f>
        <v>0</v>
      </c>
      <c r="D9" s="13"/>
      <c r="E9" s="23">
        <v>0</v>
      </c>
      <c r="F9" s="14" t="s">
        <v>33</v>
      </c>
      <c r="G9" s="11"/>
      <c r="H9" s="11"/>
    </row>
    <row r="10" spans="1:13" ht="19" x14ac:dyDescent="0.25">
      <c r="A10" s="26">
        <f>C10/100*3*0.8*3/1000</f>
        <v>0</v>
      </c>
      <c r="B10" s="13">
        <f>C10/100*3*10</f>
        <v>0</v>
      </c>
      <c r="C10" s="12">
        <f>E10*2000</f>
        <v>0</v>
      </c>
      <c r="D10" s="13"/>
      <c r="E10" s="23">
        <v>0</v>
      </c>
      <c r="F10" s="14" t="s">
        <v>34</v>
      </c>
      <c r="G10" s="11"/>
      <c r="H10" s="11"/>
    </row>
    <row r="11" spans="1:13" ht="19" x14ac:dyDescent="0.25">
      <c r="A11" s="21">
        <f>C11/100*D11*0.8*3/1000</f>
        <v>0</v>
      </c>
      <c r="B11" s="13">
        <f>C11*D11/100*10</f>
        <v>0</v>
      </c>
      <c r="C11" s="23">
        <v>0</v>
      </c>
      <c r="D11" s="23">
        <v>4.5</v>
      </c>
      <c r="E11" s="13" t="s">
        <v>9</v>
      </c>
      <c r="F11" s="14" t="s">
        <v>12</v>
      </c>
      <c r="G11" s="11"/>
      <c r="H11" s="11"/>
      <c r="M11" s="24">
        <v>7</v>
      </c>
    </row>
    <row r="12" spans="1:13" ht="19" x14ac:dyDescent="0.25">
      <c r="A12" s="26">
        <f>C12/100*D12*0.08/1000</f>
        <v>0</v>
      </c>
      <c r="B12" s="13">
        <f>C12*D12/100</f>
        <v>0</v>
      </c>
      <c r="C12" s="23">
        <v>0</v>
      </c>
      <c r="D12" s="23">
        <v>25</v>
      </c>
      <c r="E12" s="13" t="s">
        <v>10</v>
      </c>
      <c r="F12" s="14" t="s">
        <v>36</v>
      </c>
      <c r="G12" s="11"/>
      <c r="H12" s="11"/>
      <c r="M12" s="24">
        <v>7</v>
      </c>
    </row>
    <row r="13" spans="1:13" ht="19" x14ac:dyDescent="0.25">
      <c r="A13" s="26">
        <f>C13/100*D13*0.08/1000</f>
        <v>0.48</v>
      </c>
      <c r="B13" s="13">
        <f>C13*D13/100</f>
        <v>6000</v>
      </c>
      <c r="C13" s="23">
        <v>30000</v>
      </c>
      <c r="D13" s="23">
        <v>20</v>
      </c>
      <c r="E13" s="13" t="s">
        <v>10</v>
      </c>
      <c r="F13" s="14" t="s">
        <v>8</v>
      </c>
      <c r="G13" s="11"/>
      <c r="H13" s="11"/>
      <c r="M13" s="24">
        <v>7</v>
      </c>
    </row>
    <row r="14" spans="1:13" ht="19" x14ac:dyDescent="0.25">
      <c r="A14" s="21">
        <f>C14/100*D14*0.08/1000</f>
        <v>0</v>
      </c>
      <c r="B14" s="13">
        <f>C14*D14/100</f>
        <v>0</v>
      </c>
      <c r="C14" s="23">
        <v>0</v>
      </c>
      <c r="D14" s="23">
        <v>6</v>
      </c>
      <c r="E14" s="13" t="s">
        <v>10</v>
      </c>
      <c r="F14" s="14" t="s">
        <v>35</v>
      </c>
      <c r="G14" s="11"/>
      <c r="H14" s="11"/>
      <c r="M14" s="24">
        <v>7</v>
      </c>
    </row>
    <row r="15" spans="1:13" ht="19" x14ac:dyDescent="0.25">
      <c r="A15" s="21">
        <f>C15/100*D15*0.08/1000</f>
        <v>8.0000000000000004E-4</v>
      </c>
      <c r="B15" s="13">
        <f>C15*D15/100</f>
        <v>10</v>
      </c>
      <c r="C15" s="23">
        <v>5000</v>
      </c>
      <c r="D15" s="23">
        <v>0.2</v>
      </c>
      <c r="E15" s="13" t="s">
        <v>10</v>
      </c>
      <c r="F15" s="14" t="s">
        <v>11</v>
      </c>
      <c r="G15" s="11"/>
      <c r="H15" s="11"/>
      <c r="M15" s="24">
        <v>7</v>
      </c>
    </row>
    <row r="16" spans="1:13" x14ac:dyDescent="0.2">
      <c r="A16" s="1"/>
      <c r="B16" s="1"/>
      <c r="C16" s="1"/>
      <c r="D16" s="1"/>
    </row>
    <row r="17" spans="1:12" ht="21" x14ac:dyDescent="0.2">
      <c r="A17" s="19" t="s">
        <v>26</v>
      </c>
      <c r="C17" s="1"/>
      <c r="D17" s="1"/>
    </row>
    <row r="18" spans="1:12" ht="19" x14ac:dyDescent="0.25">
      <c r="A18" s="13" t="s">
        <v>0</v>
      </c>
      <c r="B18" s="13" t="s">
        <v>1</v>
      </c>
      <c r="C18" s="13" t="s">
        <v>13</v>
      </c>
      <c r="D18" s="15" t="s">
        <v>14</v>
      </c>
      <c r="E18" s="13" t="s">
        <v>16</v>
      </c>
      <c r="F18" s="11" t="s">
        <v>15</v>
      </c>
      <c r="G18" s="11" t="s">
        <v>17</v>
      </c>
      <c r="H18" s="11"/>
      <c r="I18" s="11"/>
      <c r="J18" s="11"/>
    </row>
    <row r="19" spans="1:12" ht="19" x14ac:dyDescent="0.25">
      <c r="A19" s="10">
        <f>B19*G19/1000</f>
        <v>0.33600000000000002</v>
      </c>
      <c r="B19" s="13">
        <f>C19*F19</f>
        <v>11200</v>
      </c>
      <c r="C19" s="23">
        <v>160</v>
      </c>
      <c r="D19" s="23" t="s">
        <v>19</v>
      </c>
      <c r="E19" s="23" t="s">
        <v>20</v>
      </c>
      <c r="F19" s="13">
        <f>IF(D19="G",600,IF(D19="F",400,IF(D19="E",300,IF(D19="D",200,IF(D19="C",120,IF(D19="B",70,IF(D19="A",35,200)))))))</f>
        <v>70</v>
      </c>
      <c r="G19" s="13">
        <f>IF(E19="Fioul",0.3,IF(E19="Electricité",0.08,IF(E19="PAC",0.03,IF(E19="Gaz",0.3,IF(E19="Bois",0.3,IF(E19="B",70,IF(E19="A",35,0.3)))))))</f>
        <v>0.03</v>
      </c>
      <c r="H19" s="17"/>
      <c r="I19" s="13"/>
      <c r="J19" s="13"/>
    </row>
    <row r="20" spans="1:12" ht="19" x14ac:dyDescent="0.25">
      <c r="A20" s="10"/>
      <c r="B20" s="11"/>
      <c r="C20" s="11"/>
      <c r="D20" s="11"/>
      <c r="E20" s="11"/>
      <c r="F20" s="11"/>
      <c r="G20" s="11"/>
      <c r="H20" s="14"/>
      <c r="I20" s="13"/>
      <c r="J20" s="13"/>
    </row>
    <row r="21" spans="1:12" ht="21" x14ac:dyDescent="0.25">
      <c r="A21" s="6" t="s">
        <v>29</v>
      </c>
      <c r="C21" s="11"/>
      <c r="D21" s="11"/>
      <c r="E21" s="11"/>
      <c r="F21" s="11"/>
      <c r="G21" s="11"/>
      <c r="H21" s="14"/>
      <c r="I21" s="11"/>
      <c r="J21" s="11"/>
    </row>
    <row r="22" spans="1:12" ht="19" x14ac:dyDescent="0.25">
      <c r="A22" s="13" t="s">
        <v>0</v>
      </c>
      <c r="B22" s="13" t="s">
        <v>1</v>
      </c>
      <c r="C22" s="11" t="s">
        <v>21</v>
      </c>
      <c r="D22" s="11" t="s">
        <v>22</v>
      </c>
      <c r="E22" s="11" t="s">
        <v>23</v>
      </c>
      <c r="F22" s="11"/>
      <c r="G22" s="11"/>
      <c r="H22" s="11"/>
      <c r="I22" s="11"/>
      <c r="J22" s="11"/>
    </row>
    <row r="23" spans="1:12" ht="19" x14ac:dyDescent="0.25">
      <c r="A23" s="21">
        <f>730*(C23*5.5+D23*1.6+E23*0.5)/1000</f>
        <v>2.3506000000000005</v>
      </c>
      <c r="B23" s="11"/>
      <c r="C23" s="23">
        <v>0.5</v>
      </c>
      <c r="D23" s="23">
        <v>0.2</v>
      </c>
      <c r="E23" s="13">
        <f>1-D23-C23</f>
        <v>0.30000000000000004</v>
      </c>
      <c r="F23" s="14" t="s">
        <v>40</v>
      </c>
      <c r="J23" s="11"/>
    </row>
    <row r="24" spans="1:12" ht="19" x14ac:dyDescent="0.25">
      <c r="A24" s="10"/>
      <c r="B24" s="11"/>
      <c r="C24" s="13"/>
      <c r="D24" s="13"/>
      <c r="E24" s="13"/>
      <c r="F24" s="11"/>
      <c r="I24" s="11"/>
      <c r="J24" s="11"/>
    </row>
    <row r="25" spans="1:12" ht="21" x14ac:dyDescent="0.25">
      <c r="A25" s="7" t="s">
        <v>24</v>
      </c>
      <c r="B25" s="11"/>
      <c r="C25" s="13"/>
      <c r="D25" s="13"/>
      <c r="E25" s="13"/>
      <c r="F25" s="11"/>
      <c r="G25" s="11"/>
      <c r="H25" s="14"/>
      <c r="I25" s="11"/>
      <c r="J25" s="11"/>
    </row>
    <row r="26" spans="1:12" ht="19" x14ac:dyDescent="0.25">
      <c r="A26" s="13">
        <f>IF(B26=1,80,IF(B26=9,6,IF(B26=40,2,IF(B26=50,1,2))))*D26</f>
        <v>1</v>
      </c>
      <c r="B26" s="23">
        <v>50</v>
      </c>
      <c r="C26" s="11" t="s">
        <v>30</v>
      </c>
      <c r="D26" s="27">
        <v>1</v>
      </c>
      <c r="E26" s="11" t="s">
        <v>57</v>
      </c>
      <c r="G26" s="11"/>
      <c r="H26" s="14"/>
      <c r="I26" s="11"/>
      <c r="J26" s="11"/>
    </row>
    <row r="27" spans="1:12" ht="19" x14ac:dyDescent="0.25">
      <c r="A27" s="11"/>
      <c r="B27" s="11"/>
      <c r="C27" s="13"/>
      <c r="D27" s="13"/>
      <c r="E27" s="13"/>
      <c r="F27" s="11"/>
      <c r="G27" s="11"/>
      <c r="H27" s="14"/>
      <c r="I27" s="11"/>
      <c r="L27" s="11"/>
    </row>
    <row r="28" spans="1:12" ht="21" x14ac:dyDescent="0.25">
      <c r="A28" s="4" t="s">
        <v>58</v>
      </c>
      <c r="C28" s="1"/>
      <c r="D28" s="1"/>
      <c r="E28" s="1"/>
      <c r="G28" s="11"/>
      <c r="H28" s="16"/>
      <c r="I28" s="11"/>
      <c r="J28" s="11"/>
      <c r="K28" s="11"/>
      <c r="L28" s="11"/>
    </row>
    <row r="29" spans="1:12" ht="19" x14ac:dyDescent="0.25">
      <c r="A29" s="13">
        <v>2</v>
      </c>
      <c r="C29" s="1"/>
      <c r="D29" s="1"/>
      <c r="E29" s="1"/>
      <c r="G29" s="11"/>
      <c r="H29" s="11"/>
      <c r="I29" s="11"/>
      <c r="J29" s="11"/>
      <c r="K29" s="11"/>
      <c r="L29" s="11"/>
    </row>
    <row r="30" spans="1:12" ht="19" x14ac:dyDescent="0.25">
      <c r="J30" s="11"/>
      <c r="K30" s="11"/>
      <c r="L30" s="11"/>
    </row>
    <row r="31" spans="1:12" ht="19" x14ac:dyDescent="0.25">
      <c r="J31" s="11"/>
      <c r="K31" s="11"/>
      <c r="L31" s="11"/>
    </row>
    <row r="32" spans="1:12" ht="19" x14ac:dyDescent="0.25">
      <c r="J32" s="11"/>
      <c r="K32" s="11"/>
      <c r="L32" s="11"/>
    </row>
    <row r="33" spans="10:11" ht="19" x14ac:dyDescent="0.25">
      <c r="J33" s="11"/>
      <c r="K33" s="11"/>
    </row>
    <row r="55" spans="1:8" ht="19" x14ac:dyDescent="0.25">
      <c r="A55" s="11"/>
      <c r="B55" s="11"/>
      <c r="C55" s="11"/>
      <c r="D55" s="11"/>
    </row>
    <row r="64" spans="1:8" ht="19" x14ac:dyDescent="0.25">
      <c r="A64" s="11"/>
      <c r="B64" s="11"/>
      <c r="C64" s="11"/>
      <c r="D64" s="11"/>
      <c r="E64" s="11"/>
      <c r="F64" s="11"/>
      <c r="G64" s="11"/>
      <c r="H64" s="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CFFB-9B87-8C46-9710-42FD174CB3FE}">
  <dimension ref="A2:M16"/>
  <sheetViews>
    <sheetView workbookViewId="0">
      <selection activeCell="C20" sqref="C20"/>
    </sheetView>
  </sheetViews>
  <sheetFormatPr baseColWidth="10" defaultRowHeight="16" x14ac:dyDescent="0.2"/>
  <cols>
    <col min="1" max="1" width="14.1640625" customWidth="1"/>
    <col min="2" max="2" width="17.5" customWidth="1"/>
    <col min="3" max="3" width="14.33203125" customWidth="1"/>
    <col min="4" max="4" width="16.1640625" customWidth="1"/>
  </cols>
  <sheetData>
    <row r="2" spans="1:13" ht="19" x14ac:dyDescent="0.25">
      <c r="A2" s="3" t="s">
        <v>25</v>
      </c>
      <c r="B2" s="11"/>
      <c r="C2" s="13"/>
      <c r="D2" s="13"/>
      <c r="E2" s="13"/>
      <c r="F2" s="11"/>
      <c r="G2" s="11"/>
      <c r="H2" s="11"/>
      <c r="I2" s="11"/>
      <c r="J2" s="11"/>
      <c r="K2" s="11"/>
      <c r="L2" s="11"/>
      <c r="M2" s="11"/>
    </row>
    <row r="3" spans="1:13" ht="19" x14ac:dyDescent="0.25">
      <c r="A3" s="5" t="s">
        <v>0</v>
      </c>
      <c r="B3" s="5" t="s">
        <v>49</v>
      </c>
      <c r="C3" s="3" t="s">
        <v>1</v>
      </c>
      <c r="D3" s="5" t="s">
        <v>49</v>
      </c>
      <c r="E3" s="11"/>
      <c r="F3" s="11"/>
      <c r="G3" s="11"/>
      <c r="H3" s="11"/>
      <c r="I3" s="11"/>
      <c r="J3" s="11"/>
      <c r="K3" s="11"/>
      <c r="L3" s="11"/>
      <c r="M3" s="11"/>
    </row>
    <row r="4" spans="1:13" ht="19" x14ac:dyDescent="0.25">
      <c r="A4" s="30">
        <f>SUM(Data!A7:A15)</f>
        <v>0.48080000000000001</v>
      </c>
      <c r="B4" s="25">
        <f>A4/A10</f>
        <v>7.7958296851185258E-2</v>
      </c>
      <c r="C4" s="31">
        <f>SUM(Data!B7:B15)</f>
        <v>6010</v>
      </c>
      <c r="D4" s="11"/>
      <c r="E4" s="32" t="s">
        <v>18</v>
      </c>
      <c r="F4" s="11"/>
      <c r="G4" s="11"/>
      <c r="H4" s="11"/>
      <c r="I4" s="11"/>
      <c r="J4" s="11"/>
      <c r="K4" s="11"/>
      <c r="L4" s="11"/>
      <c r="M4" s="11"/>
    </row>
    <row r="5" spans="1:13" ht="19" x14ac:dyDescent="0.25">
      <c r="A5" s="30">
        <f>Data!A19</f>
        <v>0.33600000000000002</v>
      </c>
      <c r="B5" s="25">
        <f>A5/A10</f>
        <v>5.4480007782858254E-2</v>
      </c>
      <c r="C5" s="31">
        <f>Data!B19</f>
        <v>11200</v>
      </c>
      <c r="D5" s="11"/>
      <c r="E5" s="33" t="s">
        <v>26</v>
      </c>
      <c r="F5" s="11"/>
      <c r="G5" s="11"/>
      <c r="H5" s="11"/>
      <c r="I5" s="11"/>
      <c r="J5" s="11"/>
      <c r="K5" s="11"/>
      <c r="L5" s="11"/>
      <c r="M5" s="11"/>
    </row>
    <row r="6" spans="1:13" ht="19" x14ac:dyDescent="0.25">
      <c r="A6" s="30">
        <f>Data!A23</f>
        <v>2.3506000000000005</v>
      </c>
      <c r="B6" s="25">
        <f>A6/A10</f>
        <v>0.38113305444757922</v>
      </c>
      <c r="C6" s="13"/>
      <c r="D6" s="11"/>
      <c r="E6" s="34" t="s">
        <v>27</v>
      </c>
      <c r="F6" s="11"/>
      <c r="G6" s="11"/>
      <c r="H6" s="11"/>
      <c r="I6" s="11"/>
      <c r="J6" s="11"/>
      <c r="K6" s="11"/>
      <c r="L6" s="11"/>
      <c r="M6" s="11"/>
    </row>
    <row r="7" spans="1:13" ht="19" x14ac:dyDescent="0.25">
      <c r="A7" s="30">
        <f>Data!A26</f>
        <v>1</v>
      </c>
      <c r="B7" s="25">
        <f>A7/A10</f>
        <v>0.16214288030612575</v>
      </c>
      <c r="C7" s="13"/>
      <c r="D7" s="11"/>
      <c r="E7" s="3" t="s">
        <v>24</v>
      </c>
      <c r="F7" s="11"/>
      <c r="G7" s="11"/>
      <c r="H7" s="11"/>
      <c r="I7" s="11"/>
      <c r="J7" s="11"/>
      <c r="K7" s="11"/>
      <c r="L7" s="11"/>
      <c r="M7" s="11"/>
    </row>
    <row r="8" spans="1:13" ht="19" x14ac:dyDescent="0.25">
      <c r="A8" s="30">
        <f>Data!A29</f>
        <v>2</v>
      </c>
      <c r="B8" s="25">
        <f>A8/A10</f>
        <v>0.32428576061225151</v>
      </c>
      <c r="C8" s="13"/>
      <c r="D8" s="11"/>
      <c r="E8" s="3" t="s">
        <v>28</v>
      </c>
      <c r="F8" s="11"/>
      <c r="G8" s="11"/>
      <c r="H8" s="11"/>
      <c r="I8" s="11"/>
      <c r="J8" s="11"/>
      <c r="K8" s="11"/>
      <c r="L8" s="11"/>
      <c r="M8" s="11"/>
    </row>
    <row r="9" spans="1:13" ht="20" thickBo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20" thickBot="1" x14ac:dyDescent="0.3">
      <c r="A10" s="35">
        <f>SUM(A4:A8)</f>
        <v>6.1674000000000007</v>
      </c>
      <c r="B10" s="3" t="s">
        <v>4</v>
      </c>
      <c r="C10" s="31">
        <f>SUM(C4:C8)</f>
        <v>17210</v>
      </c>
      <c r="D10" s="3" t="s">
        <v>73</v>
      </c>
      <c r="E10" s="11"/>
      <c r="F10" s="3" t="s">
        <v>38</v>
      </c>
      <c r="G10" s="11"/>
      <c r="H10" s="11"/>
      <c r="I10" s="11"/>
      <c r="J10" s="11"/>
      <c r="K10" s="11"/>
      <c r="L10" s="11"/>
      <c r="M10" s="11"/>
    </row>
    <row r="11" spans="1:13" ht="19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t="19" x14ac:dyDescent="0.25">
      <c r="A12" s="31">
        <f>A10*1000/365</f>
        <v>16.896986301369864</v>
      </c>
      <c r="B12" s="3" t="s">
        <v>74</v>
      </c>
      <c r="C12" s="31">
        <f>C10/365</f>
        <v>47.150684931506852</v>
      </c>
      <c r="D12" s="3" t="s">
        <v>75</v>
      </c>
      <c r="E12" s="11"/>
      <c r="F12" s="3" t="s">
        <v>39</v>
      </c>
      <c r="G12" s="11"/>
      <c r="H12" s="11"/>
      <c r="I12" s="11"/>
      <c r="J12" s="11"/>
      <c r="K12" s="11"/>
      <c r="L12" s="11"/>
      <c r="M12" s="11"/>
    </row>
    <row r="13" spans="1:13" ht="19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9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9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71E6-124E-7341-84AE-D9DB71A7AF55}">
  <dimension ref="A3:L11"/>
  <sheetViews>
    <sheetView workbookViewId="0">
      <selection activeCell="D20" sqref="D20"/>
    </sheetView>
  </sheetViews>
  <sheetFormatPr baseColWidth="10" defaultRowHeight="16" x14ac:dyDescent="0.2"/>
  <sheetData>
    <row r="3" spans="1:12" ht="19" x14ac:dyDescent="0.25">
      <c r="A3" s="3" t="s">
        <v>54</v>
      </c>
      <c r="B3" s="11"/>
      <c r="C3" s="11"/>
      <c r="D3" s="11"/>
      <c r="E3" s="11"/>
      <c r="F3" s="11"/>
      <c r="H3" s="3" t="s">
        <v>59</v>
      </c>
      <c r="I3" s="11"/>
      <c r="J3" s="11"/>
      <c r="K3" s="11"/>
      <c r="L3" s="11"/>
    </row>
    <row r="5" spans="1:12" ht="19" x14ac:dyDescent="0.25">
      <c r="A5" s="5">
        <v>2020</v>
      </c>
      <c r="B5" s="5">
        <v>2030</v>
      </c>
      <c r="C5" s="5">
        <v>2040</v>
      </c>
      <c r="D5" s="5">
        <v>2050</v>
      </c>
      <c r="E5" s="11"/>
      <c r="F5" s="11"/>
      <c r="H5" s="11"/>
      <c r="I5" s="5">
        <v>2020</v>
      </c>
      <c r="J5" s="5">
        <v>2030</v>
      </c>
      <c r="K5" s="5">
        <v>2040</v>
      </c>
      <c r="L5" s="5">
        <v>2050</v>
      </c>
    </row>
    <row r="6" spans="1:12" ht="19" x14ac:dyDescent="0.25">
      <c r="A6" s="18">
        <v>5</v>
      </c>
      <c r="B6" s="13">
        <v>2</v>
      </c>
      <c r="C6" s="13">
        <v>0.6</v>
      </c>
      <c r="D6" s="13"/>
      <c r="E6" s="32" t="s">
        <v>18</v>
      </c>
      <c r="F6" s="11"/>
      <c r="H6" s="3" t="s">
        <v>60</v>
      </c>
      <c r="I6" s="5">
        <v>18</v>
      </c>
      <c r="J6" s="5">
        <v>8</v>
      </c>
      <c r="K6" s="5">
        <v>4</v>
      </c>
      <c r="L6" s="11"/>
    </row>
    <row r="7" spans="1:12" ht="19" x14ac:dyDescent="0.25">
      <c r="A7" s="13">
        <v>2</v>
      </c>
      <c r="B7" s="13">
        <v>1</v>
      </c>
      <c r="C7" s="13">
        <v>0.3</v>
      </c>
      <c r="D7" s="13"/>
      <c r="E7" s="33" t="s">
        <v>26</v>
      </c>
      <c r="F7" s="11"/>
      <c r="H7" s="11" t="s">
        <v>61</v>
      </c>
      <c r="I7" s="11"/>
      <c r="J7" s="11" t="s">
        <v>64</v>
      </c>
      <c r="K7" s="11"/>
      <c r="L7" s="11"/>
    </row>
    <row r="8" spans="1:12" ht="19" x14ac:dyDescent="0.25">
      <c r="A8" s="13">
        <v>2</v>
      </c>
      <c r="B8" s="13">
        <v>1</v>
      </c>
      <c r="C8" s="13">
        <v>1.5</v>
      </c>
      <c r="D8" s="13"/>
      <c r="E8" s="34" t="s">
        <v>27</v>
      </c>
      <c r="F8" s="11"/>
      <c r="H8" s="11" t="s">
        <v>62</v>
      </c>
      <c r="I8" s="11"/>
      <c r="J8" s="11" t="s">
        <v>56</v>
      </c>
      <c r="K8" s="11"/>
      <c r="L8" s="11"/>
    </row>
    <row r="9" spans="1:12" ht="19" x14ac:dyDescent="0.25">
      <c r="A9" s="13">
        <v>2</v>
      </c>
      <c r="B9" s="13">
        <v>2</v>
      </c>
      <c r="C9" s="13">
        <v>1</v>
      </c>
      <c r="D9" s="13"/>
      <c r="E9" s="3" t="s">
        <v>24</v>
      </c>
      <c r="F9" s="11"/>
      <c r="H9" s="11" t="s">
        <v>63</v>
      </c>
      <c r="I9" s="11"/>
      <c r="J9" s="11" t="s">
        <v>66</v>
      </c>
      <c r="K9" s="11"/>
      <c r="L9" s="11" t="s">
        <v>55</v>
      </c>
    </row>
    <row r="10" spans="1:12" ht="19" x14ac:dyDescent="0.25">
      <c r="A10" s="13">
        <v>2</v>
      </c>
      <c r="B10" s="13">
        <v>1.5</v>
      </c>
      <c r="C10" s="13">
        <v>1</v>
      </c>
      <c r="D10" s="13">
        <v>0.5</v>
      </c>
      <c r="E10" s="3" t="s">
        <v>28</v>
      </c>
      <c r="F10" s="11"/>
      <c r="H10" s="11" t="s">
        <v>65</v>
      </c>
      <c r="I10" s="11"/>
      <c r="J10" s="11" t="s">
        <v>27</v>
      </c>
      <c r="K10" s="11" t="s">
        <v>70</v>
      </c>
      <c r="L10" s="11"/>
    </row>
    <row r="11" spans="1:12" ht="19" x14ac:dyDescent="0.25">
      <c r="A11" s="5">
        <v>13</v>
      </c>
      <c r="B11" s="5">
        <v>8</v>
      </c>
      <c r="C11" s="5">
        <v>4</v>
      </c>
      <c r="D11" s="11"/>
      <c r="E11" s="11"/>
      <c r="F11" s="11"/>
      <c r="H11" s="11" t="s">
        <v>67</v>
      </c>
      <c r="I11" s="11"/>
      <c r="J11" s="11" t="s">
        <v>68</v>
      </c>
      <c r="K11" s="11" t="s">
        <v>69</v>
      </c>
      <c r="L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974E-1004-8F4A-AB7E-D3FAB4287A3A}">
  <dimension ref="A2:X20"/>
  <sheetViews>
    <sheetView workbookViewId="0">
      <selection activeCell="D32" sqref="D32"/>
    </sheetView>
  </sheetViews>
  <sheetFormatPr baseColWidth="10" defaultRowHeight="16" x14ac:dyDescent="0.2"/>
  <sheetData>
    <row r="2" spans="1:24" ht="1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9" x14ac:dyDescent="0.25">
      <c r="A3" s="36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9" x14ac:dyDescent="0.25">
      <c r="A4" s="34" t="s">
        <v>76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9" x14ac:dyDescent="0.25">
      <c r="A5" s="37" t="s">
        <v>77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3" t="s">
        <v>45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9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 t="s">
        <v>46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9" x14ac:dyDescent="0.25">
      <c r="A7" s="38" t="s">
        <v>78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 t="s">
        <v>47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5">
      <c r="A8" s="11"/>
      <c r="B8" s="11"/>
      <c r="C8" s="11"/>
      <c r="D8" s="11"/>
      <c r="E8" s="11"/>
      <c r="F8" s="11"/>
      <c r="G8" s="13" t="s">
        <v>43</v>
      </c>
      <c r="H8" s="13" t="s">
        <v>0</v>
      </c>
      <c r="I8" s="13" t="s">
        <v>41</v>
      </c>
      <c r="J8" s="13" t="s">
        <v>42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9" x14ac:dyDescent="0.25">
      <c r="A9" s="39">
        <v>300</v>
      </c>
      <c r="B9" s="14" t="s">
        <v>4</v>
      </c>
      <c r="C9" s="11"/>
      <c r="D9" s="14" t="s">
        <v>5</v>
      </c>
      <c r="E9" s="11"/>
      <c r="F9" s="11"/>
      <c r="G9" s="40">
        <v>0.01</v>
      </c>
      <c r="H9" s="18">
        <v>300</v>
      </c>
      <c r="I9" s="41">
        <f>0.01*H9</f>
        <v>3</v>
      </c>
      <c r="J9" s="40">
        <f>I9/I13</f>
        <v>0.2824858757062147</v>
      </c>
      <c r="K9" s="11"/>
      <c r="L9" s="3" t="s">
        <v>50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9" x14ac:dyDescent="0.25">
      <c r="A10" s="39">
        <v>28</v>
      </c>
      <c r="B10" s="14" t="s">
        <v>4</v>
      </c>
      <c r="C10" s="11"/>
      <c r="D10" s="14" t="s">
        <v>48</v>
      </c>
      <c r="E10" s="11"/>
      <c r="F10" s="11"/>
      <c r="G10" s="40">
        <v>0.09</v>
      </c>
      <c r="H10" s="18">
        <v>28</v>
      </c>
      <c r="I10" s="41">
        <f>0.09*H10</f>
        <v>2.52</v>
      </c>
      <c r="J10" s="40">
        <f>I10/I13</f>
        <v>0.23728813559322035</v>
      </c>
      <c r="K10" s="11"/>
      <c r="L10" s="11" t="s">
        <v>51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9" x14ac:dyDescent="0.25">
      <c r="A11" s="39">
        <v>9</v>
      </c>
      <c r="B11" s="14" t="s">
        <v>4</v>
      </c>
      <c r="C11" s="11"/>
      <c r="D11" s="14" t="s">
        <v>6</v>
      </c>
      <c r="E11" s="11"/>
      <c r="F11" s="11"/>
      <c r="G11" s="40">
        <v>0.4</v>
      </c>
      <c r="H11" s="18">
        <v>9</v>
      </c>
      <c r="I11" s="41">
        <f>0.4*H11</f>
        <v>3.6</v>
      </c>
      <c r="J11" s="40">
        <f>I11/I13</f>
        <v>0.33898305084745767</v>
      </c>
      <c r="K11" s="11"/>
      <c r="L11" s="11" t="s">
        <v>52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9" x14ac:dyDescent="0.25">
      <c r="A12" s="14">
        <v>3</v>
      </c>
      <c r="B12" s="14" t="s">
        <v>4</v>
      </c>
      <c r="C12" s="11"/>
      <c r="D12" s="14" t="s">
        <v>7</v>
      </c>
      <c r="E12" s="11"/>
      <c r="F12" s="11"/>
      <c r="G12" s="40">
        <v>0.5</v>
      </c>
      <c r="H12" s="18">
        <v>3</v>
      </c>
      <c r="I12" s="41">
        <f>0.5*H12</f>
        <v>1.5</v>
      </c>
      <c r="J12" s="40">
        <f>I12/I13</f>
        <v>0.14124293785310735</v>
      </c>
      <c r="K12" s="11"/>
      <c r="L12" s="11" t="s">
        <v>53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9" x14ac:dyDescent="0.25">
      <c r="A13" s="11"/>
      <c r="B13" s="11"/>
      <c r="C13" s="11"/>
      <c r="D13" s="11"/>
      <c r="E13" s="11"/>
      <c r="F13" s="11"/>
      <c r="G13" s="11"/>
      <c r="H13" s="13"/>
      <c r="I13" s="30">
        <f>SUM(I9:I12)</f>
        <v>10.62</v>
      </c>
      <c r="J13" s="15" t="s">
        <v>44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9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9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9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9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9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19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Bilan</vt:lpstr>
      <vt:lpstr>Trajectoire</vt:lpstr>
      <vt:lpstr>Explications</vt:lpstr>
    </vt:vector>
  </TitlesOfParts>
  <Company>ISAE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 ISAE</dc:creator>
  <cp:lastModifiedBy>Microsoft Office User</cp:lastModifiedBy>
  <dcterms:created xsi:type="dcterms:W3CDTF">2014-03-30T10:00:10Z</dcterms:created>
  <dcterms:modified xsi:type="dcterms:W3CDTF">2023-11-06T18:03:18Z</dcterms:modified>
</cp:coreProperties>
</file>