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.chapin/Library/CloudStorage/Dropbox/HappyFew_1.0Go/"/>
    </mc:Choice>
  </mc:AlternateContent>
  <xr:revisionPtr revIDLastSave="0" documentId="13_ncr:1_{40B103ED-B980-6545-8A78-601602E2433E}" xr6:coauthVersionLast="47" xr6:coauthVersionMax="47" xr10:uidLastSave="{00000000-0000-0000-0000-000000000000}"/>
  <bookViews>
    <workbookView xWindow="0" yWindow="500" windowWidth="33600" windowHeight="20500" tabRatio="500" activeTab="3" xr2:uid="{00000000-000D-0000-FFFF-FFFF00000000}"/>
  </bookViews>
  <sheets>
    <sheet name="Data" sheetId="28" r:id="rId1"/>
    <sheet name="2030" sheetId="32" r:id="rId2"/>
    <sheet name="2040" sheetId="33" r:id="rId3"/>
    <sheet name="2050" sheetId="34" r:id="rId4"/>
    <sheet name="Bilan CO2" sheetId="30" r:id="rId5"/>
    <sheet name="Bilan NRJ" sheetId="36" r:id="rId6"/>
    <sheet name="Explications" sheetId="29" r:id="rId7"/>
    <sheet name="BE" sheetId="37" r:id="rId8"/>
  </sheets>
  <externalReferences>
    <externalReference r:id="rId9"/>
  </externalReferences>
  <definedNames>
    <definedName name="a">[1]NACA6!$I$62</definedName>
    <definedName name="a1_">'[1]2013'!$B$38</definedName>
    <definedName name="a2_">'[1]2013'!$B$39</definedName>
    <definedName name="a3_">'[1]2013'!$B$40</definedName>
    <definedName name="b">'[1]2013'!$B$41</definedName>
    <definedName name="Cpmin">[1]NACA6!$I$61</definedName>
    <definedName name="rho">[1]Design!$E$4</definedName>
    <definedName name="S">[1]Design!$E$10</definedName>
    <definedName name="V">[1]Design!$E$18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34" l="1"/>
  <c r="L14" i="34"/>
  <c r="B14" i="34"/>
  <c r="A14" i="34"/>
  <c r="N13" i="34"/>
  <c r="L13" i="34"/>
  <c r="A13" i="34" s="1"/>
  <c r="B13" i="34"/>
  <c r="N12" i="34"/>
  <c r="L12" i="34"/>
  <c r="B12" i="34"/>
  <c r="A12" i="34"/>
  <c r="N11" i="34"/>
  <c r="A11" i="34" s="1"/>
  <c r="L11" i="34"/>
  <c r="B11" i="34"/>
  <c r="N10" i="34"/>
  <c r="L10" i="34"/>
  <c r="B10" i="34"/>
  <c r="A10" i="34"/>
  <c r="C9" i="34"/>
  <c r="A9" i="34" s="1"/>
  <c r="B9" i="34"/>
  <c r="C8" i="34"/>
  <c r="B8" i="34" s="1"/>
  <c r="C7" i="34"/>
  <c r="B7" i="34"/>
  <c r="A7" i="34"/>
  <c r="C6" i="34"/>
  <c r="B6" i="34" s="1"/>
  <c r="N14" i="33"/>
  <c r="L14" i="33"/>
  <c r="B14" i="33"/>
  <c r="A14" i="33"/>
  <c r="N13" i="33"/>
  <c r="A13" i="33" s="1"/>
  <c r="L13" i="33"/>
  <c r="B13" i="33"/>
  <c r="N12" i="33"/>
  <c r="L12" i="33"/>
  <c r="B12" i="33"/>
  <c r="A12" i="33"/>
  <c r="N11" i="33"/>
  <c r="A11" i="33" s="1"/>
  <c r="L11" i="33"/>
  <c r="B11" i="33"/>
  <c r="N10" i="33"/>
  <c r="L10" i="33"/>
  <c r="B10" i="33"/>
  <c r="A10" i="33"/>
  <c r="C9" i="33"/>
  <c r="A9" i="33" s="1"/>
  <c r="B9" i="33"/>
  <c r="C8" i="33"/>
  <c r="B8" i="33" s="1"/>
  <c r="C7" i="33"/>
  <c r="B7" i="33"/>
  <c r="A7" i="33"/>
  <c r="C6" i="33"/>
  <c r="B6" i="33" s="1"/>
  <c r="N14" i="32"/>
  <c r="L14" i="32"/>
  <c r="B14" i="32"/>
  <c r="A14" i="32"/>
  <c r="N13" i="32"/>
  <c r="A13" i="32" s="1"/>
  <c r="L13" i="32"/>
  <c r="B13" i="32"/>
  <c r="N12" i="32"/>
  <c r="L12" i="32"/>
  <c r="B12" i="32"/>
  <c r="A12" i="32"/>
  <c r="N11" i="32"/>
  <c r="A11" i="32" s="1"/>
  <c r="L11" i="32"/>
  <c r="B11" i="32"/>
  <c r="N10" i="32"/>
  <c r="L10" i="32"/>
  <c r="B10" i="32"/>
  <c r="A10" i="32"/>
  <c r="C9" i="32"/>
  <c r="A9" i="32" s="1"/>
  <c r="B9" i="32"/>
  <c r="C8" i="32"/>
  <c r="B8" i="32" s="1"/>
  <c r="C7" i="32"/>
  <c r="B7" i="32"/>
  <c r="A7" i="32"/>
  <c r="C6" i="32"/>
  <c r="B6" i="32" s="1"/>
  <c r="L14" i="28"/>
  <c r="L13" i="28"/>
  <c r="L12" i="28"/>
  <c r="A12" i="28" s="1"/>
  <c r="L11" i="28"/>
  <c r="L10" i="28"/>
  <c r="A14" i="28"/>
  <c r="A13" i="28"/>
  <c r="A25" i="28"/>
  <c r="A8" i="30" s="1"/>
  <c r="A25" i="32"/>
  <c r="A25" i="33"/>
  <c r="A28" i="32"/>
  <c r="B9" i="30" s="1"/>
  <c r="N14" i="28"/>
  <c r="B14" i="28"/>
  <c r="N13" i="28"/>
  <c r="B13" i="28"/>
  <c r="N12" i="28"/>
  <c r="B12" i="28"/>
  <c r="N11" i="28"/>
  <c r="B11" i="28"/>
  <c r="N10" i="28"/>
  <c r="A10" i="28" s="1"/>
  <c r="B10" i="28"/>
  <c r="C9" i="28"/>
  <c r="B9" i="28" s="1"/>
  <c r="A15" i="37"/>
  <c r="E22" i="34"/>
  <c r="A22" i="34" s="1"/>
  <c r="D7" i="30" s="1"/>
  <c r="E22" i="33"/>
  <c r="A22" i="33" s="1"/>
  <c r="C7" i="30" s="1"/>
  <c r="E22" i="32"/>
  <c r="A22" i="32" s="1"/>
  <c r="B7" i="30" s="1"/>
  <c r="A35" i="28"/>
  <c r="D9" i="36"/>
  <c r="D8" i="36"/>
  <c r="D7" i="36"/>
  <c r="C9" i="36"/>
  <c r="C8" i="36"/>
  <c r="C7" i="36"/>
  <c r="B9" i="36"/>
  <c r="B8" i="36"/>
  <c r="B7" i="36"/>
  <c r="A9" i="36"/>
  <c r="A8" i="36"/>
  <c r="A7" i="36"/>
  <c r="A17" i="36"/>
  <c r="A16" i="36"/>
  <c r="A4" i="36"/>
  <c r="A4" i="30"/>
  <c r="A25" i="34"/>
  <c r="D8" i="30" s="1"/>
  <c r="G18" i="34"/>
  <c r="F18" i="34"/>
  <c r="B18" i="34" s="1"/>
  <c r="A18" i="34" s="1"/>
  <c r="D6" i="30" s="1"/>
  <c r="C8" i="30"/>
  <c r="G18" i="33"/>
  <c r="F18" i="33"/>
  <c r="B18" i="33" s="1"/>
  <c r="A18" i="33" s="1"/>
  <c r="C6" i="30" s="1"/>
  <c r="B8" i="30"/>
  <c r="G18" i="32"/>
  <c r="F18" i="32"/>
  <c r="B18" i="32" s="1"/>
  <c r="A9" i="30"/>
  <c r="I20" i="29"/>
  <c r="I21" i="29"/>
  <c r="I22" i="29"/>
  <c r="I23" i="29"/>
  <c r="E22" i="28"/>
  <c r="G18" i="28"/>
  <c r="F18" i="28"/>
  <c r="B18" i="28" s="1"/>
  <c r="A6" i="36" s="1"/>
  <c r="C8" i="28"/>
  <c r="A8" i="28" s="1"/>
  <c r="C7" i="28"/>
  <c r="B7" i="28" s="1"/>
  <c r="C6" i="28"/>
  <c r="A6" i="28" s="1"/>
  <c r="A6" i="34" l="1"/>
  <c r="A8" i="34"/>
  <c r="A6" i="33"/>
  <c r="A8" i="33"/>
  <c r="A6" i="32"/>
  <c r="A8" i="32"/>
  <c r="A11" i="28"/>
  <c r="A7" i="30"/>
  <c r="A22" i="28"/>
  <c r="A33" i="28" s="1"/>
  <c r="A28" i="33"/>
  <c r="A9" i="28"/>
  <c r="I24" i="29"/>
  <c r="J20" i="29" s="1"/>
  <c r="C5" i="36"/>
  <c r="B5" i="36"/>
  <c r="D5" i="30"/>
  <c r="D5" i="36"/>
  <c r="D6" i="36"/>
  <c r="A34" i="28"/>
  <c r="A18" i="32"/>
  <c r="B6" i="30" s="1"/>
  <c r="B6" i="36"/>
  <c r="C6" i="36"/>
  <c r="A5" i="36"/>
  <c r="A12" i="36" s="1"/>
  <c r="A15" i="36" s="1"/>
  <c r="C5" i="30"/>
  <c r="B5" i="30"/>
  <c r="J21" i="29"/>
  <c r="B8" i="28"/>
  <c r="A7" i="28"/>
  <c r="A5" i="30" s="1"/>
  <c r="B6" i="28"/>
  <c r="A18" i="28"/>
  <c r="D12" i="36" l="1"/>
  <c r="D15" i="36" s="1"/>
  <c r="C12" i="36"/>
  <c r="C15" i="36" s="1"/>
  <c r="C9" i="30"/>
  <c r="C12" i="30" s="1"/>
  <c r="C17" i="30" s="1"/>
  <c r="A28" i="34"/>
  <c r="D9" i="30" s="1"/>
  <c r="D12" i="30" s="1"/>
  <c r="D17" i="30" s="1"/>
  <c r="B12" i="36"/>
  <c r="B15" i="36" s="1"/>
  <c r="B12" i="30"/>
  <c r="B17" i="30" s="1"/>
  <c r="J22" i="29"/>
  <c r="J23" i="29"/>
  <c r="A6" i="30"/>
  <c r="A12" i="30" s="1"/>
  <c r="A17" i="30" s="1"/>
  <c r="A32" i="28"/>
  <c r="A31" i="28"/>
  <c r="A36" i="28" l="1"/>
  <c r="C35" i="28" s="1"/>
  <c r="C31" i="28" l="1"/>
  <c r="C33" i="28"/>
  <c r="C34" i="28"/>
  <c r="C32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FE89BC4-421F-1F43-A8D0-173E84F0CB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à partir de ma slide Bilan CO2 dans S1_Exponentielle.pptx/slide 332</t>
        </r>
      </text>
    </comment>
    <comment ref="L10" authorId="0" shapeId="0" xr:uid="{3C53B9A9-FC37-DA46-B523-6F69F89FE5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= 200 000 km
</t>
        </r>
        <r>
          <rPr>
            <sz val="10"/>
            <color rgb="FF000000"/>
            <rFont val="Tahoma"/>
            <family val="2"/>
          </rPr>
          <t xml:space="preserve">Hypothèse : 1 voiture thermique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1" authorId="0" shapeId="0" xr:uid="{EBE019B0-3C7C-7143-92CF-787AB0D228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2" authorId="0" shapeId="0" xr:uid="{A2B0B970-8A53-204E-B2F2-2A1B8B9458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petite voiture électrique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3" authorId="0" shapeId="0" xr:uid="{FD8157B7-0AAF-4642-9E5A-9CC5F2CC31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VI = 200 000 km
</t>
        </r>
        <r>
          <rPr>
            <sz val="10"/>
            <color rgb="FF000000"/>
            <rFont val="Tahoma"/>
            <family val="2"/>
          </rPr>
          <t xml:space="preserve">Hypothèse : 1 VI = 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4" authorId="0" shapeId="0" xr:uid="{E70612DB-6108-634E-856E-A98912A74F7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VAE = 100 000 km
</t>
        </r>
        <r>
          <rPr>
            <sz val="10"/>
            <color rgb="FF000000"/>
            <rFont val="Tahoma"/>
            <family val="2"/>
          </rPr>
          <t xml:space="preserve">Hypothèse : 1 VAE = 0.2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C18" authorId="0" shapeId="0" xr:uid="{85663CD5-9A2C-2348-8347-FA38693FC87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Surface habitable / personne du logement en m2</t>
        </r>
      </text>
    </comment>
    <comment ref="D18" authorId="0" shapeId="0" xr:uid="{723E83B7-79BF-0649-AB0E-6220381B6E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A, B, C, D, E, F, G</t>
        </r>
      </text>
    </comment>
    <comment ref="E18" authorId="0" shapeId="0" xr:uid="{731054ED-409C-BD41-AA49-54D7180E31C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Fioul, Gaz, Electricité, PAC, Bois</t>
        </r>
      </text>
    </comment>
    <comment ref="C22" authorId="0" shapeId="0" xr:uid="{34A90340-A5E4-6548-A89A-8D13C648F33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rouge</t>
        </r>
      </text>
    </comment>
    <comment ref="D22" authorId="0" shapeId="0" xr:uid="{5230E9BE-E792-274E-B8A1-FB93945FBF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blanche</t>
        </r>
      </text>
    </comment>
    <comment ref="E22" authorId="0" shapeId="0" xr:uid="{2BEA9F93-FF00-504B-A3F7-17D109931AE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végétarien</t>
        </r>
      </text>
    </comment>
    <comment ref="F22" authorId="0" shapeId="0" xr:uid="{B39A360B-32B0-6049-AB13-DB89398CD46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 multiplicatif de la pyenne française (ADEME)
</t>
        </r>
        <r>
          <rPr>
            <sz val="10"/>
            <color rgb="FF000000"/>
            <rFont val="Tahoma"/>
            <family val="2"/>
          </rPr>
          <t xml:space="preserve">0,5 achat de produits locaux (AMAP, marché, ...)
</t>
        </r>
        <r>
          <rPr>
            <sz val="10"/>
            <color rgb="FF000000"/>
            <rFont val="Tahoma"/>
            <family val="2"/>
          </rPr>
          <t xml:space="preserve">1.0 achat de produits (50% local 50% supermarché, hypermarché)
</t>
        </r>
        <r>
          <rPr>
            <sz val="10"/>
            <color rgb="FF000000"/>
            <rFont val="Tahoma"/>
            <family val="2"/>
          </rPr>
          <t>2.0 achat de produix (100% super ou hypermarché)</t>
        </r>
      </text>
    </comment>
    <comment ref="B25" authorId="0" shapeId="0" xr:uid="{62C5AABB-22E6-3542-ADC2-1B42912949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 consommation est indexée sur la catégorie de revenu selon le découpage de T. Piketty
</t>
        </r>
        <r>
          <rPr>
            <sz val="10"/>
            <color rgb="FF000000"/>
            <rFont val="Tahoma"/>
            <family val="2"/>
          </rPr>
          <t xml:space="preserve">1% les plus riches
</t>
        </r>
        <r>
          <rPr>
            <sz val="10"/>
            <color rgb="FF000000"/>
            <rFont val="Tahoma"/>
            <family val="2"/>
          </rPr>
          <t xml:space="preserve">9% classe moyenne supérieure
</t>
        </r>
        <r>
          <rPr>
            <sz val="10"/>
            <color rgb="FF000000"/>
            <rFont val="Tahoma"/>
            <family val="2"/>
          </rPr>
          <t xml:space="preserve">40% classe moyenne
</t>
        </r>
        <r>
          <rPr>
            <sz val="10"/>
            <color rgb="FF000000"/>
            <rFont val="Tahoma"/>
            <family val="2"/>
          </rPr>
          <t>50% les plus pauvres (sous le salaire médian)</t>
        </r>
      </text>
    </comment>
    <comment ref="D25" authorId="0" shapeId="0" xr:uid="{40BA802A-668F-D845-B192-E394AC7F16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Facteur multiplicatif de déconsommation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0" authorId="0" shapeId="0" xr:uid="{0B12B0FB-7741-A14D-93EB-00969877069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= 200 000 km
</t>
        </r>
        <r>
          <rPr>
            <sz val="10"/>
            <color rgb="FF000000"/>
            <rFont val="Tahoma"/>
            <family val="2"/>
          </rPr>
          <t xml:space="preserve">Hypothèse : 1 voiture thermique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1" authorId="0" shapeId="0" xr:uid="{C26CB1FA-C6B2-0748-8548-16F67A9EFA6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2" authorId="0" shapeId="0" xr:uid="{72B39A8C-8DA4-E048-8983-D49D368E4A2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petite voiture électrique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3" authorId="0" shapeId="0" xr:uid="{2F4F052C-8B93-8744-80C1-424D95AA364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VI = 200 000 km
</t>
        </r>
        <r>
          <rPr>
            <sz val="10"/>
            <color rgb="FF000000"/>
            <rFont val="Tahoma"/>
            <family val="2"/>
          </rPr>
          <t xml:space="preserve">Hypothèse : 1 VI = 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4" authorId="0" shapeId="0" xr:uid="{859FF2D0-8B3E-DD4C-B221-59816F57B1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VAE = 100 000 km
</t>
        </r>
        <r>
          <rPr>
            <sz val="10"/>
            <color rgb="FF000000"/>
            <rFont val="Tahoma"/>
            <family val="2"/>
          </rPr>
          <t xml:space="preserve">Hypothèse : 1 VAE = 0.2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C18" authorId="0" shapeId="0" xr:uid="{6D491F2A-A3B8-3C43-B3A0-BF344533B6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Surface habitable / personne du logement en m2</t>
        </r>
      </text>
    </comment>
    <comment ref="D18" authorId="0" shapeId="0" xr:uid="{F9CCB31F-A2EC-2341-B7A4-A529E3D14A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A, B, C, D, E, F, G</t>
        </r>
      </text>
    </comment>
    <comment ref="E18" authorId="0" shapeId="0" xr:uid="{5AC5ECA3-60D6-9242-B80F-20A67FA91FD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Fioul, Gaz, Electricité, PAC, Bois</t>
        </r>
      </text>
    </comment>
    <comment ref="C22" authorId="0" shapeId="0" xr:uid="{F6447C8E-D6CD-AA46-A1BE-1524DFC5A85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rouge</t>
        </r>
      </text>
    </comment>
    <comment ref="D22" authorId="0" shapeId="0" xr:uid="{89BE7E36-40BC-0D41-89AB-E6286595A1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blanche</t>
        </r>
      </text>
    </comment>
    <comment ref="E22" authorId="0" shapeId="0" xr:uid="{422C6D9C-6566-C34B-9A4D-A105829EDD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végétarien</t>
        </r>
      </text>
    </comment>
    <comment ref="F22" authorId="0" shapeId="0" xr:uid="{2E402DC6-11B4-574C-900F-F5D02296ABA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 multiplicatif de la pyenne française (ADEME)
</t>
        </r>
        <r>
          <rPr>
            <sz val="10"/>
            <color rgb="FF000000"/>
            <rFont val="Tahoma"/>
            <family val="2"/>
          </rPr>
          <t xml:space="preserve">0,5 achat de produits locaux (AMAP, marché, ...)
</t>
        </r>
        <r>
          <rPr>
            <sz val="10"/>
            <color rgb="FF000000"/>
            <rFont val="Tahoma"/>
            <family val="2"/>
          </rPr>
          <t xml:space="preserve">1.0 achat de produits (50% local 50% supermarché, hypermarché)
</t>
        </r>
        <r>
          <rPr>
            <sz val="10"/>
            <color rgb="FF000000"/>
            <rFont val="Tahoma"/>
            <family val="2"/>
          </rPr>
          <t>2.0 achat de produix (100% super ou hypermarché)</t>
        </r>
      </text>
    </comment>
    <comment ref="B25" authorId="0" shapeId="0" xr:uid="{CC8701D4-EC59-AB45-A396-F8EB1F3B79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 consommation est indexée sur la catégorie de revenu selon le découpage de T. Piketty
</t>
        </r>
        <r>
          <rPr>
            <sz val="10"/>
            <color rgb="FF000000"/>
            <rFont val="Tahoma"/>
            <family val="2"/>
          </rPr>
          <t xml:space="preserve">1% les plus riches
</t>
        </r>
        <r>
          <rPr>
            <sz val="10"/>
            <color rgb="FF000000"/>
            <rFont val="Tahoma"/>
            <family val="2"/>
          </rPr>
          <t xml:space="preserve">9% classe moyenne supérieure
</t>
        </r>
        <r>
          <rPr>
            <sz val="10"/>
            <color rgb="FF000000"/>
            <rFont val="Tahoma"/>
            <family val="2"/>
          </rPr>
          <t xml:space="preserve">40% classe moyenne
</t>
        </r>
        <r>
          <rPr>
            <sz val="10"/>
            <color rgb="FF000000"/>
            <rFont val="Tahoma"/>
            <family val="2"/>
          </rPr>
          <t>50% les plus pauvres (sous le salaire médian)</t>
        </r>
      </text>
    </comment>
    <comment ref="D25" authorId="0" shapeId="0" xr:uid="{049449F7-28B5-4B41-BC09-BFB1556F7B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Facteur multiplicatif de déconsommation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0" authorId="0" shapeId="0" xr:uid="{B0E53B6E-364C-FA4A-A06D-46905BA0FB5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= 200 000 km
</t>
        </r>
        <r>
          <rPr>
            <sz val="10"/>
            <color rgb="FF000000"/>
            <rFont val="Tahoma"/>
            <family val="2"/>
          </rPr>
          <t xml:space="preserve">Hypothèse : 1 voiture thermique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1" authorId="0" shapeId="0" xr:uid="{D7F7B894-C136-C644-AC58-2B28B17D4D9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2" authorId="0" shapeId="0" xr:uid="{F7568BC5-8668-8948-90CF-4ACB42EA258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petite voiture électrique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3" authorId="0" shapeId="0" xr:uid="{233DC70E-0554-7F43-AEE8-65C50905725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VI = 200 000 km
</t>
        </r>
        <r>
          <rPr>
            <sz val="10"/>
            <color rgb="FF000000"/>
            <rFont val="Tahoma"/>
            <family val="2"/>
          </rPr>
          <t xml:space="preserve">Hypothèse : 1 VI = 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4" authorId="0" shapeId="0" xr:uid="{52158F4F-B71B-7D4B-A03C-382EDAA6BEA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VAE = 100 000 km
</t>
        </r>
        <r>
          <rPr>
            <sz val="10"/>
            <color rgb="FF000000"/>
            <rFont val="Tahoma"/>
            <family val="2"/>
          </rPr>
          <t xml:space="preserve">Hypothèse : 1 VAE = 0.2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C18" authorId="0" shapeId="0" xr:uid="{9E255736-2FDB-D746-A107-2537B92CDA5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Surface habitable / personne du logement en m2</t>
        </r>
      </text>
    </comment>
    <comment ref="D18" authorId="0" shapeId="0" xr:uid="{B8DD6BD0-ED39-6543-9B6D-21279BCAF2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A, B, C, D, E, F, G</t>
        </r>
      </text>
    </comment>
    <comment ref="E18" authorId="0" shapeId="0" xr:uid="{0240F0CF-E257-E241-8230-CE19AD14E7A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Fioul, Gaz, Electricité, PAC, Bois</t>
        </r>
      </text>
    </comment>
    <comment ref="C22" authorId="0" shapeId="0" xr:uid="{93D4DC9E-8072-884E-9C15-AABCC6F43F4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rouge</t>
        </r>
      </text>
    </comment>
    <comment ref="D22" authorId="0" shapeId="0" xr:uid="{C153B4DB-9DE5-F040-A4D0-1CE19977A9B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blanche</t>
        </r>
      </text>
    </comment>
    <comment ref="E22" authorId="0" shapeId="0" xr:uid="{8F149305-1C37-C441-B91E-6257040E38A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végétarien</t>
        </r>
      </text>
    </comment>
    <comment ref="F22" authorId="0" shapeId="0" xr:uid="{DF971189-821A-5348-9A33-537E2685E7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 multiplicatif de la pyenne française (ADEME)
</t>
        </r>
        <r>
          <rPr>
            <sz val="10"/>
            <color rgb="FF000000"/>
            <rFont val="Tahoma"/>
            <family val="2"/>
          </rPr>
          <t xml:space="preserve">0,5 achat de produits locaux (AMAP, marché, ...)
</t>
        </r>
        <r>
          <rPr>
            <sz val="10"/>
            <color rgb="FF000000"/>
            <rFont val="Tahoma"/>
            <family val="2"/>
          </rPr>
          <t xml:space="preserve">1.0 achat de produits (50% local 50% supermarché, hypermarché)
</t>
        </r>
        <r>
          <rPr>
            <sz val="10"/>
            <color rgb="FF000000"/>
            <rFont val="Tahoma"/>
            <family val="2"/>
          </rPr>
          <t>2.0 achat de produix (100% super ou hypermarché)</t>
        </r>
      </text>
    </comment>
    <comment ref="B25" authorId="0" shapeId="0" xr:uid="{25E7328C-D061-E642-AA7D-413525C3CF0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 consommation est indexée sur la catégorie de revenu selon le découpage de T. Piketty
</t>
        </r>
        <r>
          <rPr>
            <sz val="10"/>
            <color rgb="FF000000"/>
            <rFont val="Tahoma"/>
            <family val="2"/>
          </rPr>
          <t xml:space="preserve">1% les plus riches
</t>
        </r>
        <r>
          <rPr>
            <sz val="10"/>
            <color rgb="FF000000"/>
            <rFont val="Tahoma"/>
            <family val="2"/>
          </rPr>
          <t xml:space="preserve">9% classe moyenne supérieure
</t>
        </r>
        <r>
          <rPr>
            <sz val="10"/>
            <color rgb="FF000000"/>
            <rFont val="Tahoma"/>
            <family val="2"/>
          </rPr>
          <t xml:space="preserve">40% classe moyenne
</t>
        </r>
        <r>
          <rPr>
            <sz val="10"/>
            <color rgb="FF000000"/>
            <rFont val="Tahoma"/>
            <family val="2"/>
          </rPr>
          <t>50% les plus pauvres (sous le salaire médian)</t>
        </r>
      </text>
    </comment>
    <comment ref="D25" authorId="0" shapeId="0" xr:uid="{0695A16B-DC4C-3645-9A46-5EA544A8CF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Facteur multiplicatif de déconsommation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0" authorId="0" shapeId="0" xr:uid="{8D4BB45F-A983-0745-8229-24719932D1F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= 200 000 km
</t>
        </r>
        <r>
          <rPr>
            <sz val="10"/>
            <color rgb="FF000000"/>
            <rFont val="Tahoma"/>
            <family val="2"/>
          </rPr>
          <t xml:space="preserve">Hypothèse : 1 voiture thermique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1" authorId="0" shapeId="0" xr:uid="{32A5BB09-6E43-804A-8A98-33B1D3A1AF5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2" authorId="0" shapeId="0" xr:uid="{EB46069F-113B-CF46-8E29-4B0FB9F9840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petite voiture électrique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3" authorId="0" shapeId="0" xr:uid="{42CD3604-9992-EB4E-BFAE-24318174C5D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VI = 200 000 km
</t>
        </r>
        <r>
          <rPr>
            <sz val="10"/>
            <color rgb="FF000000"/>
            <rFont val="Tahoma"/>
            <family val="2"/>
          </rPr>
          <t xml:space="preserve">Hypothèse : 1 VI = 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4" authorId="0" shapeId="0" xr:uid="{55D51385-812A-2E4F-A3E0-BDF9E1E6D13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VAE = 100 000 km
</t>
        </r>
        <r>
          <rPr>
            <sz val="10"/>
            <color rgb="FF000000"/>
            <rFont val="Tahoma"/>
            <family val="2"/>
          </rPr>
          <t xml:space="preserve">Hypothèse : 1 VAE = 0.2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C18" authorId="0" shapeId="0" xr:uid="{B56BFF15-17E7-E34D-B2E2-4CF36798AF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Surface habitable / personne du logement en m2</t>
        </r>
      </text>
    </comment>
    <comment ref="D18" authorId="0" shapeId="0" xr:uid="{94C62AF1-EB35-7E42-BF29-A94F025FF8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A, B, C, D, E, F, G</t>
        </r>
      </text>
    </comment>
    <comment ref="E18" authorId="0" shapeId="0" xr:uid="{4ECB93C2-68B2-BE4D-9FC0-677F43B386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Fioul, Gaz, Electricité, PAC, Bois</t>
        </r>
      </text>
    </comment>
    <comment ref="C22" authorId="0" shapeId="0" xr:uid="{CE0C4BF4-DF05-8B4B-AA79-FCCD36D4E32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rouge</t>
        </r>
      </text>
    </comment>
    <comment ref="D22" authorId="0" shapeId="0" xr:uid="{D5E15CC5-71C0-1D42-852C-DAFF364F103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blanche</t>
        </r>
      </text>
    </comment>
    <comment ref="E22" authorId="0" shapeId="0" xr:uid="{3B0AC983-23B1-D34F-B878-59B9DFA1442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végétarien</t>
        </r>
      </text>
    </comment>
    <comment ref="F22" authorId="0" shapeId="0" xr:uid="{858495F5-F51F-E04F-998C-A2106DAE832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 multiplicatif de la pyenne française (ADEME)
</t>
        </r>
        <r>
          <rPr>
            <sz val="10"/>
            <color rgb="FF000000"/>
            <rFont val="Tahoma"/>
            <family val="2"/>
          </rPr>
          <t xml:space="preserve">0,5 achat de produits locaux (AMAP, marché, ...)
</t>
        </r>
        <r>
          <rPr>
            <sz val="10"/>
            <color rgb="FF000000"/>
            <rFont val="Tahoma"/>
            <family val="2"/>
          </rPr>
          <t xml:space="preserve">1.0 achat de produits (50% local 50% supermarché, hypermarché)
</t>
        </r>
        <r>
          <rPr>
            <sz val="10"/>
            <color rgb="FF000000"/>
            <rFont val="Tahoma"/>
            <family val="2"/>
          </rPr>
          <t>2.0 achat de produix (100% super ou hypermarché)</t>
        </r>
      </text>
    </comment>
    <comment ref="B25" authorId="0" shapeId="0" xr:uid="{D304FDAB-6505-B142-BCFB-7827666C594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 consommation est indexée sur la catégorie de revenu selon le découpage de T. Piketty
</t>
        </r>
        <r>
          <rPr>
            <sz val="10"/>
            <color rgb="FF000000"/>
            <rFont val="Tahoma"/>
            <family val="2"/>
          </rPr>
          <t xml:space="preserve">1% les plus riches
</t>
        </r>
        <r>
          <rPr>
            <sz val="10"/>
            <color rgb="FF000000"/>
            <rFont val="Tahoma"/>
            <family val="2"/>
          </rPr>
          <t xml:space="preserve">9% classe moyenne supérieure
</t>
        </r>
        <r>
          <rPr>
            <sz val="10"/>
            <color rgb="FF000000"/>
            <rFont val="Tahoma"/>
            <family val="2"/>
          </rPr>
          <t xml:space="preserve">40% classe moyenne
</t>
        </r>
        <r>
          <rPr>
            <sz val="10"/>
            <color rgb="FF000000"/>
            <rFont val="Tahoma"/>
            <family val="2"/>
          </rPr>
          <t>50% les plus pauvres (sous le salaire médian)</t>
        </r>
      </text>
    </comment>
    <comment ref="D25" authorId="0" shapeId="0" xr:uid="{CF7A260B-BF72-6243-AA36-C4E9BB90511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Facteur multiplicatif de déconsommation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9" authorId="0" shapeId="0" xr:uid="{EF58359F-9C39-3E4D-84BE-278DADE138E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-7%/an</t>
        </r>
      </text>
    </comment>
    <comment ref="G13" authorId="0" shapeId="0" xr:uid="{4A0D85E0-2236-6747-8612-BECA8A563AB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Loi carbone : J. Rockström 2017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Vidéo : https://www.stockholmresilience.org/research/research-news/2017-03-23-curbing-emissions-with-a-new-carbon-law.html
</t>
        </r>
      </text>
    </comment>
  </commentList>
</comments>
</file>

<file path=xl/sharedStrings.xml><?xml version="1.0" encoding="utf-8"?>
<sst xmlns="http://schemas.openxmlformats.org/spreadsheetml/2006/main" count="280" uniqueCount="102">
  <si>
    <t>TCO2/an</t>
  </si>
  <si>
    <t>kWh/an</t>
  </si>
  <si>
    <t>km/an</t>
  </si>
  <si>
    <t>TCO2/an/p</t>
  </si>
  <si>
    <t xml:space="preserve">Les   1% les plus riches </t>
  </si>
  <si>
    <t xml:space="preserve">Les 40% classes moyennes </t>
  </si>
  <si>
    <t>Les 50% les plus pauvres</t>
  </si>
  <si>
    <t>L/100km</t>
  </si>
  <si>
    <t>kWh/100km</t>
  </si>
  <si>
    <t>Nombre de km/an et consommation moyenne de votre VAE</t>
  </si>
  <si>
    <t>Nombre de km/an et consommation moyenne de votre voiture Thermique</t>
  </si>
  <si>
    <t>Shab [m2]</t>
  </si>
  <si>
    <t>kWh/m2/an</t>
  </si>
  <si>
    <t>Type</t>
  </si>
  <si>
    <t>kgCO2/kWh</t>
  </si>
  <si>
    <t>Mobilité</t>
  </si>
  <si>
    <t>B</t>
  </si>
  <si>
    <t>PAC</t>
  </si>
  <si>
    <t>Consommation</t>
  </si>
  <si>
    <t>Logement</t>
  </si>
  <si>
    <t>Alimentation</t>
  </si>
  <si>
    <t>Services Publics</t>
  </si>
  <si>
    <t xml:space="preserve">Alimentation </t>
  </si>
  <si>
    <t xml:space="preserve">Nombre de vols A/R Internationaux/an en jet privé </t>
  </si>
  <si>
    <t xml:space="preserve">Nombre de vols A/R Internationaux/an en avion de ligne </t>
  </si>
  <si>
    <t>Nombre de vols A/R Nationaux/an en jet privé</t>
  </si>
  <si>
    <t xml:space="preserve">Nombre de vols A/R Nationaux/an en avion de ligne </t>
  </si>
  <si>
    <t>Nombre de km/an et consommation moyenne de votre VI électrique</t>
  </si>
  <si>
    <t>Nombre de km/an et consommation moyenne de votre SUV électrique</t>
  </si>
  <si>
    <t>Durée de vie</t>
  </si>
  <si>
    <t>TCO2</t>
  </si>
  <si>
    <t>%CO2</t>
  </si>
  <si>
    <t>Catégorie</t>
  </si>
  <si>
    <t>TCO2/an en moyenne</t>
  </si>
  <si>
    <t xml:space="preserve">Ce rapport révèle notamment qu’entre 1990 et 2015, </t>
  </si>
  <si>
    <t>les 1% les plus riches sont responsables de deux fois plus d’émissions que la moitié la plus pauvre de l’humanité.</t>
  </si>
  <si>
    <t xml:space="preserve">Les   9% les plus riches </t>
  </si>
  <si>
    <t>300 TCO2/an c'est : 65% pour sa mobilité avec 10 vols Internationaux et 25 vols nationaux en jet privé + 30 000 km/an avec une voiture thermique qui consomme 20L/100km et une maison de 300m2 classe D chauffée au fioul et une côte de bœuf à tous les repas !!!</t>
  </si>
  <si>
    <t>Services publics - Forfait 2TCO2/an (The Shift Project)</t>
  </si>
  <si>
    <t>Bilan CO2</t>
  </si>
  <si>
    <t>Nombre de km/an et consommation moyenne de votre petite voiture électrique</t>
  </si>
  <si>
    <t>CO2</t>
  </si>
  <si>
    <t>Les émissions CO2 annuelles de la trajectoire GIEC (TCO2/an/pers.)</t>
  </si>
  <si>
    <t>Vos émissions CO2 annuelles (TCO2/an/pers.)</t>
  </si>
  <si>
    <t>Année de ce bilan</t>
  </si>
  <si>
    <t>Bilan et trajectoire CO2 annuel (TCO2/an)</t>
  </si>
  <si>
    <r>
      <t xml:space="preserve">Vos émissions </t>
    </r>
    <r>
      <rPr>
        <b/>
        <sz val="16"/>
        <color rgb="FFFF0000"/>
        <rFont val="Calibri (Corps)"/>
      </rPr>
      <t>quotidiennes</t>
    </r>
    <r>
      <rPr>
        <b/>
        <sz val="16"/>
        <color theme="1"/>
        <rFont val="Calibri"/>
        <family val="2"/>
        <scheme val="minor"/>
      </rPr>
      <t xml:space="preserve"> (kgCO2/jour)</t>
    </r>
  </si>
  <si>
    <t>Votre usage de l'énergie  (kWh/an/pers.)</t>
  </si>
  <si>
    <r>
      <t xml:space="preserve">Votre usage de l'énergie au </t>
    </r>
    <r>
      <rPr>
        <b/>
        <sz val="16"/>
        <color rgb="FFFF0000"/>
        <rFont val="Calibri (Corps)"/>
      </rPr>
      <t>quotidien</t>
    </r>
    <r>
      <rPr>
        <b/>
        <sz val="16"/>
        <color theme="1"/>
        <rFont val="Calibri"/>
        <family val="2"/>
        <scheme val="minor"/>
      </rPr>
      <t xml:space="preserve"> (kWh/jour/pers.)</t>
    </r>
  </si>
  <si>
    <t>Moyenne en France en 2020</t>
  </si>
  <si>
    <t>Moyenne mondiale en 2020</t>
  </si>
  <si>
    <t>Proposition pour le BE Bilan CO2 simplifié</t>
  </si>
  <si>
    <t>Total</t>
  </si>
  <si>
    <t>10 à 12</t>
  </si>
  <si>
    <t>Moyenne en France en 2020 (consommation en France + importations)</t>
  </si>
  <si>
    <t>2- Faite le bilan CO2 d'un français qui ferait parti des 1% les plus riches selon votre représentation, analyser les résultats et la part relative de chaque poste, conclusion</t>
  </si>
  <si>
    <t>1- Faite votre bilan CO2 de l'année en remplissant les cases jaunes de l'onglet Data, analyser vos résultats et la part relative de chaque poste, conclusion</t>
  </si>
  <si>
    <t>3- Faite le bilan CO2 d'un français qui ferait parti des 9% les plus riches selon votre représentation, analyser les résultats et la part relative de chaque poste, conclusion</t>
  </si>
  <si>
    <t>4- Faite le bilan CO2 d'un français qui ferait parti des 40% de la classe moyenne selon votre représentation, analyser les résultats et la part relative de chaque poste, conclusion</t>
  </si>
  <si>
    <t>5- Faite le bilan CO2 d'un français qui ferait parti des 50% les plus pauvres selon votre représentation, analyser les résultats et la part relative de chaque poste, conclusion</t>
  </si>
  <si>
    <t xml:space="preserve">Analyse : </t>
  </si>
  <si>
    <t>6- Faite votre trajectoire CO2 en remplissant les onglets Data, 2030, 2040, 2050 et retrouver les résultats dans l'onglet Trajectoire, analyse et conclusion</t>
  </si>
  <si>
    <t>7- Quelles sont les principaux apprentissages que vous retirez de ce BE ?</t>
  </si>
  <si>
    <t>8- Quels sont les biais de ce bilan CO2 simplifié ?</t>
  </si>
  <si>
    <t>9- Comment l'améliorer ?</t>
  </si>
  <si>
    <t>Electricité</t>
  </si>
  <si>
    <t>Véhicules</t>
  </si>
  <si>
    <t>A</t>
  </si>
  <si>
    <t>1er poste d'émission ?</t>
  </si>
  <si>
    <t>Lieu de production</t>
  </si>
  <si>
    <t>Rouge</t>
  </si>
  <si>
    <t>Blanc</t>
  </si>
  <si>
    <t>Végé</t>
  </si>
  <si>
    <t>(variante 4 équipes : 1%, 9%, 40%, 50%)</t>
  </si>
  <si>
    <t>Part de ce 1er poste ?</t>
  </si>
  <si>
    <t>Guide : remplir les cases en jaune et lire les résultats dans les onglets bilan</t>
  </si>
  <si>
    <r>
      <t>Objectifs</t>
    </r>
    <r>
      <rPr>
        <b/>
        <sz val="16"/>
        <color rgb="FF000000"/>
        <rFont val="Calibri"/>
        <family val="2"/>
        <scheme val="minor"/>
      </rPr>
      <t xml:space="preserve"> / réchauffement climatique T &lt; 2°C</t>
    </r>
  </si>
  <si>
    <r>
      <t xml:space="preserve">12, </t>
    </r>
    <r>
      <rPr>
        <b/>
        <sz val="16"/>
        <color rgb="FFED7D31"/>
        <rFont val="Calibri"/>
        <family val="2"/>
        <scheme val="minor"/>
      </rPr>
      <t>6</t>
    </r>
    <r>
      <rPr>
        <b/>
        <sz val="16"/>
        <color rgb="FF000000"/>
        <rFont val="Calibri"/>
        <family val="2"/>
        <scheme val="minor"/>
      </rPr>
      <t xml:space="preserve">, </t>
    </r>
    <r>
      <rPr>
        <b/>
        <sz val="16"/>
        <color rgb="FF00B0F0"/>
        <rFont val="Calibri (Corps)"/>
      </rPr>
      <t>3</t>
    </r>
    <r>
      <rPr>
        <b/>
        <sz val="16"/>
        <color rgb="FF000000"/>
        <rFont val="Calibri"/>
        <family val="2"/>
        <scheme val="minor"/>
      </rPr>
      <t xml:space="preserve">, </t>
    </r>
    <r>
      <rPr>
        <b/>
        <sz val="16"/>
        <color rgb="FF00B050"/>
        <rFont val="Calibri (Corps)"/>
      </rPr>
      <t>1.5</t>
    </r>
    <r>
      <rPr>
        <b/>
        <sz val="16"/>
        <color rgb="FF000000"/>
        <rFont val="Calibri"/>
        <family val="2"/>
        <scheme val="minor"/>
      </rPr>
      <t xml:space="preserve"> </t>
    </r>
    <r>
      <rPr>
        <sz val="16"/>
        <color rgb="FF000000"/>
        <rFont val="Calibri"/>
        <family val="2"/>
        <scheme val="minor"/>
      </rPr>
      <t xml:space="preserve">TCO2/an/p en 2020, </t>
    </r>
    <r>
      <rPr>
        <sz val="16"/>
        <color rgb="FFED7D31"/>
        <rFont val="Calibri"/>
        <family val="2"/>
        <scheme val="minor"/>
      </rPr>
      <t>2030</t>
    </r>
    <r>
      <rPr>
        <sz val="16"/>
        <color rgb="FF000000"/>
        <rFont val="Calibri"/>
        <family val="2"/>
        <scheme val="minor"/>
      </rPr>
      <t>,</t>
    </r>
    <r>
      <rPr>
        <sz val="16"/>
        <color rgb="FF00B0F0"/>
        <rFont val="Calibri"/>
        <family val="2"/>
        <scheme val="minor"/>
      </rPr>
      <t xml:space="preserve"> 2040,</t>
    </r>
    <r>
      <rPr>
        <sz val="16"/>
        <color rgb="FF00B050"/>
        <rFont val="Calibri"/>
        <family val="2"/>
        <scheme val="minor"/>
      </rPr>
      <t xml:space="preserve"> 2050</t>
    </r>
  </si>
  <si>
    <r>
      <t xml:space="preserve">Bilan CO2 de la France </t>
    </r>
    <r>
      <rPr>
        <sz val="16"/>
        <color rgb="FF000000"/>
        <rFont val="Calibri"/>
        <family val="2"/>
        <scheme val="minor"/>
      </rPr>
      <t>2015 (rapport Oxfam)</t>
    </r>
  </si>
  <si>
    <t>Trajectoire GIEC : Neutralité carbone en 2050</t>
  </si>
  <si>
    <t xml:space="preserve">les 10% les plus riches de la population mondiale sont responsables de 52% des émissions de CO2 cumulées </t>
  </si>
  <si>
    <t xml:space="preserve">  28 TCO2/an c'est : 45% pour sa mobilité avec 7 vols Internatinoaux et 15 vols Nationaux en avion de ligne + 30 000 km/an avec son SUV électrique, une maison de 250m2 classe D chauffage électrique</t>
  </si>
  <si>
    <t xml:space="preserve">    9 TCO2/an c'est : 12% pour sa mobilité avec 1 vol International tous les 3 ans, 2 vols nationaux/an en avion de ligne + 20 000 km/an en voiture électrique et une maison de 150m2 classe D chauffée à l'électricité</t>
  </si>
  <si>
    <t xml:space="preserve">    3 TCO2/an c'est impossible avec 2T de services publics + 1T de consommation, il ne peut rien faire d'autre !!!</t>
  </si>
  <si>
    <t>CO2/2</t>
  </si>
  <si>
    <t>CO2/4</t>
  </si>
  <si>
    <t>CO2/8</t>
  </si>
  <si>
    <t>Rockström, J., Gaffney, O., Rogelj, J. et. al. 2017. A roadmap for rapid decarbonization. Science, Volume 355 Issue 6331</t>
  </si>
  <si>
    <t>Carbon law : Rockström &amp; al.  2017</t>
  </si>
  <si>
    <t>Bilan et trajectoire Energétique annuel (kWh/an)</t>
  </si>
  <si>
    <t>Carbon law:</t>
  </si>
  <si>
    <t>%CO2 cible</t>
  </si>
  <si>
    <t>Carbon law scientific paper:</t>
  </si>
  <si>
    <t>Carbon law vidéo</t>
  </si>
  <si>
    <t>kgCO2/jour</t>
  </si>
  <si>
    <t>kWh/jour</t>
  </si>
  <si>
    <t>Déconsommation</t>
  </si>
  <si>
    <t>Revenus</t>
  </si>
  <si>
    <t>Consommation - Forfait selon étude OXFAM</t>
  </si>
  <si>
    <t>Classe Energétique</t>
  </si>
  <si>
    <t>C</t>
  </si>
  <si>
    <t xml:space="preserve">Emissions CO2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</si>
</sst>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rgb="FFED7D31"/>
      <name val="Calibri"/>
      <family val="2"/>
      <scheme val="minor"/>
    </font>
    <font>
      <b/>
      <shadow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 (Corps)"/>
    </font>
    <font>
      <u/>
      <sz val="16"/>
      <color theme="1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rgb="FF00B0F0"/>
      <name val="Calibri (Corps)"/>
    </font>
    <font>
      <b/>
      <sz val="16"/>
      <color rgb="FF00B050"/>
      <name val="Calibri (Corps)"/>
    </font>
    <font>
      <sz val="16"/>
      <color rgb="FF000000"/>
      <name val="Calibri"/>
      <family val="2"/>
      <scheme val="minor"/>
    </font>
    <font>
      <sz val="16"/>
      <color rgb="FFED7D31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rgb="FF4472C4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theme="7"/>
      <name val="Calibri"/>
      <family val="2"/>
      <scheme val="minor"/>
    </font>
    <font>
      <b/>
      <sz val="16"/>
      <color theme="8"/>
      <name val="Calibri"/>
      <family val="2"/>
      <scheme val="minor"/>
    </font>
    <font>
      <b/>
      <sz val="16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8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center" vertical="center" readingOrder="1"/>
    </xf>
    <xf numFmtId="0" fontId="10" fillId="0" borderId="0" xfId="0" applyFont="1"/>
    <xf numFmtId="0" fontId="10" fillId="0" borderId="0" xfId="0" applyFont="1" applyAlignment="1">
      <alignment horizontal="center" vertical="center" readingOrder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readingOrder="1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quotePrefix="1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1" fontId="11" fillId="0" borderId="0" xfId="0" applyNumberFormat="1" applyFont="1" applyAlignment="1">
      <alignment horizontal="center" vertical="center" readingOrder="1"/>
    </xf>
    <xf numFmtId="0" fontId="9" fillId="2" borderId="0" xfId="0" applyFont="1" applyFill="1" applyAlignment="1">
      <alignment horizontal="center" vertical="center" readingOrder="1"/>
    </xf>
    <xf numFmtId="0" fontId="9" fillId="2" borderId="0" xfId="0" applyFont="1" applyFill="1" applyAlignment="1">
      <alignment horizontal="center"/>
    </xf>
    <xf numFmtId="9" fontId="3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 vertical="center" readingOrder="1"/>
    </xf>
    <xf numFmtId="164" fontId="9" fillId="2" borderId="0" xfId="0" applyNumberFormat="1" applyFont="1" applyFill="1" applyAlignment="1">
      <alignment horizontal="center"/>
    </xf>
    <xf numFmtId="0" fontId="0" fillId="2" borderId="0" xfId="0" applyFill="1"/>
    <xf numFmtId="0" fontId="10" fillId="2" borderId="0" xfId="0" applyFont="1" applyFill="1"/>
    <xf numFmtId="1" fontId="3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16" fillId="0" borderId="0" xfId="0" applyFont="1"/>
    <xf numFmtId="1" fontId="4" fillId="0" borderId="0" xfId="0" applyNumberFormat="1" applyFont="1" applyAlignment="1">
      <alignment horizontal="center"/>
    </xf>
    <xf numFmtId="0" fontId="17" fillId="0" borderId="0" xfId="0" applyFont="1"/>
    <xf numFmtId="0" fontId="4" fillId="0" borderId="0" xfId="0" applyFont="1" applyAlignment="1">
      <alignment horizontal="center"/>
    </xf>
    <xf numFmtId="0" fontId="13" fillId="0" borderId="0" xfId="0" applyFont="1"/>
    <xf numFmtId="0" fontId="17" fillId="0" borderId="0" xfId="0" applyFont="1" applyAlignment="1">
      <alignment horizontal="center"/>
    </xf>
    <xf numFmtId="0" fontId="19" fillId="0" borderId="0" xfId="1360" applyFont="1" applyAlignment="1">
      <alignment horizontal="center"/>
    </xf>
    <xf numFmtId="0" fontId="19" fillId="0" borderId="0" xfId="1360" applyFont="1" applyAlignment="1">
      <alignment horizontal="left"/>
    </xf>
    <xf numFmtId="0" fontId="17" fillId="0" borderId="0" xfId="0" applyFont="1" applyAlignment="1">
      <alignment horizontal="left"/>
    </xf>
    <xf numFmtId="9" fontId="17" fillId="0" borderId="0" xfId="0" applyNumberFormat="1" applyFont="1" applyAlignment="1">
      <alignment horizontal="center"/>
    </xf>
    <xf numFmtId="0" fontId="4" fillId="0" borderId="1" xfId="0" applyFont="1" applyBorder="1"/>
    <xf numFmtId="0" fontId="17" fillId="0" borderId="2" xfId="0" applyFont="1" applyBorder="1"/>
    <xf numFmtId="0" fontId="0" fillId="0" borderId="2" xfId="0" applyBorder="1"/>
    <xf numFmtId="0" fontId="10" fillId="0" borderId="3" xfId="0" applyFont="1" applyBorder="1"/>
    <xf numFmtId="1" fontId="4" fillId="0" borderId="4" xfId="0" applyNumberFormat="1" applyFont="1" applyBorder="1" applyAlignment="1">
      <alignment horizontal="center"/>
    </xf>
    <xf numFmtId="0" fontId="10" fillId="0" borderId="5" xfId="0" applyFont="1" applyBorder="1"/>
    <xf numFmtId="1" fontId="17" fillId="0" borderId="4" xfId="0" applyNumberFormat="1" applyFont="1" applyBorder="1" applyAlignment="1">
      <alignment horizontal="center"/>
    </xf>
    <xf numFmtId="0" fontId="0" fillId="0" borderId="5" xfId="0" applyBorder="1"/>
    <xf numFmtId="0" fontId="17" fillId="0" borderId="6" xfId="0" applyFont="1" applyBorder="1" applyAlignment="1">
      <alignment horizontal="center"/>
    </xf>
    <xf numFmtId="0" fontId="17" fillId="0" borderId="7" xfId="0" applyFont="1" applyBorder="1"/>
    <xf numFmtId="0" fontId="0" fillId="0" borderId="7" xfId="0" applyBorder="1"/>
    <xf numFmtId="0" fontId="0" fillId="0" borderId="8" xfId="0" applyBorder="1"/>
    <xf numFmtId="0" fontId="17" fillId="2" borderId="0" xfId="0" applyFont="1" applyFill="1" applyAlignment="1">
      <alignment horizontal="center"/>
    </xf>
    <xf numFmtId="0" fontId="17" fillId="2" borderId="0" xfId="0" applyFont="1" applyFill="1"/>
    <xf numFmtId="0" fontId="11" fillId="2" borderId="0" xfId="0" applyFont="1" applyFill="1" applyAlignment="1">
      <alignment horizontal="center" vertical="center" readingOrder="1"/>
    </xf>
    <xf numFmtId="1" fontId="4" fillId="3" borderId="4" xfId="0" applyNumberFormat="1" applyFont="1" applyFill="1" applyBorder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12" fillId="0" borderId="0" xfId="0" applyFont="1"/>
    <xf numFmtId="0" fontId="20" fillId="0" borderId="0" xfId="0" applyFont="1"/>
    <xf numFmtId="0" fontId="20" fillId="0" borderId="0" xfId="0" applyFont="1" applyAlignment="1">
      <alignment horizontal="left" vertical="center" readingOrder="1"/>
    </xf>
    <xf numFmtId="0" fontId="5" fillId="0" borderId="0" xfId="0" applyFont="1"/>
    <xf numFmtId="0" fontId="27" fillId="0" borderId="0" xfId="0" applyFont="1" applyAlignment="1">
      <alignment horizontal="left" vertical="center" readingOrder="1"/>
    </xf>
    <xf numFmtId="0" fontId="23" fillId="0" borderId="0" xfId="0" applyFont="1" applyAlignment="1">
      <alignment horizontal="left" vertical="center" readingOrder="1"/>
    </xf>
    <xf numFmtId="0" fontId="28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28" fillId="0" borderId="0" xfId="0" applyFont="1"/>
    <xf numFmtId="38" fontId="4" fillId="3" borderId="0" xfId="0" applyNumberFormat="1" applyFont="1" applyFill="1" applyAlignment="1">
      <alignment horizontal="center"/>
    </xf>
    <xf numFmtId="0" fontId="29" fillId="0" borderId="0" xfId="1360" applyFont="1" applyAlignment="1">
      <alignment horizontal="left"/>
    </xf>
    <xf numFmtId="0" fontId="4" fillId="3" borderId="0" xfId="0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0" fontId="28" fillId="0" borderId="0" xfId="0" applyFont="1" applyAlignment="1">
      <alignment horizontal="center" vertical="center" readingOrder="1"/>
    </xf>
    <xf numFmtId="0" fontId="23" fillId="0" borderId="0" xfId="0" applyFont="1" applyAlignment="1">
      <alignment horizontal="center" vertical="center" readingOrder="1"/>
    </xf>
    <xf numFmtId="164" fontId="9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left"/>
    </xf>
    <xf numFmtId="0" fontId="30" fillId="0" borderId="0" xfId="0" applyFont="1" applyAlignment="1">
      <alignment horizontal="left" vertical="center" readingOrder="1"/>
    </xf>
    <xf numFmtId="0" fontId="31" fillId="0" borderId="0" xfId="0" applyFont="1"/>
    <xf numFmtId="0" fontId="32" fillId="0" borderId="0" xfId="0" applyFont="1"/>
    <xf numFmtId="0" fontId="31" fillId="0" borderId="0" xfId="0" applyFont="1" applyAlignment="1">
      <alignment horizontal="left" vertical="center" readingOrder="1"/>
    </xf>
    <xf numFmtId="0" fontId="33" fillId="0" borderId="0" xfId="0" applyFont="1" applyAlignment="1">
      <alignment horizontal="left" vertical="center" readingOrder="1"/>
    </xf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136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60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59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Répartitions des émissions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Data!$D$31:$D$35</c:f>
              <c:strCache>
                <c:ptCount val="5"/>
                <c:pt idx="0">
                  <c:v>Mobilité</c:v>
                </c:pt>
                <c:pt idx="1">
                  <c:v>Logement</c:v>
                </c:pt>
                <c:pt idx="2">
                  <c:v>Alimentation</c:v>
                </c:pt>
                <c:pt idx="3">
                  <c:v>Consommation</c:v>
                </c:pt>
                <c:pt idx="4">
                  <c:v>Services Publics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C6-6049-B48B-A7FBDC9068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C6-6049-B48B-A7FBDC9068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C6-6049-B48B-A7FBDC9068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8C6-6049-B48B-A7FBDC9068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8C6-6049-B48B-A7FBDC9068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Data!$D$31:$D$35</c:f>
              <c:strCache>
                <c:ptCount val="5"/>
                <c:pt idx="0">
                  <c:v>Mobilité</c:v>
                </c:pt>
                <c:pt idx="1">
                  <c:v>Logement</c:v>
                </c:pt>
                <c:pt idx="2">
                  <c:v>Alimentation</c:v>
                </c:pt>
                <c:pt idx="3">
                  <c:v>Consommation</c:v>
                </c:pt>
                <c:pt idx="4">
                  <c:v>Services Publics</c:v>
                </c:pt>
              </c:strCache>
            </c:strRef>
          </c:cat>
          <c:val>
            <c:numRef>
              <c:f>Data!$C$31:$C$35</c:f>
              <c:numCache>
                <c:formatCode>0%</c:formatCode>
                <c:ptCount val="5"/>
                <c:pt idx="0">
                  <c:v>0.51205685412644286</c:v>
                </c:pt>
                <c:pt idx="1">
                  <c:v>2.4647742677566448E-2</c:v>
                </c:pt>
                <c:pt idx="2">
                  <c:v>0.25789754754960353</c:v>
                </c:pt>
                <c:pt idx="3">
                  <c:v>0.10269892782319354</c:v>
                </c:pt>
                <c:pt idx="4">
                  <c:v>0.10269892782319354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1D4B-90C1-81140DA484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32479860340785"/>
          <c:y val="0.29774023038786818"/>
          <c:w val="0.27522485497626886"/>
          <c:h val="0.5016258384368620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Trajectoire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322456491231019"/>
          <c:y val="0.14095781366745214"/>
          <c:w val="0.78833855746686943"/>
          <c:h val="0.75164291051209842"/>
        </c:manualLayout>
      </c:layout>
      <c:scatterChart>
        <c:scatterStyle val="lineMarker"/>
        <c:varyColors val="0"/>
        <c:ser>
          <c:idx val="0"/>
          <c:order val="0"/>
          <c:tx>
            <c:v>Trajectoire GIEC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'Bilan CO2'!$A$13:$D$13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F-D242-855F-97F9BF603DE0}"/>
            </c:ext>
          </c:extLst>
        </c:ser>
        <c:ser>
          <c:idx val="1"/>
          <c:order val="1"/>
          <c:tx>
            <c:v>Votre trajectoire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'Bilan CO2'!$A$12:$D$12</c:f>
              <c:numCache>
                <c:formatCode>#,##0_);[Red]\(#,##0\)</c:formatCode>
                <c:ptCount val="4"/>
                <c:pt idx="0">
                  <c:v>19.474399999999999</c:v>
                </c:pt>
                <c:pt idx="1">
                  <c:v>14.966601741215138</c:v>
                </c:pt>
                <c:pt idx="2">
                  <c:v>12.415025151176883</c:v>
                </c:pt>
                <c:pt idx="3">
                  <c:v>11.230683468425836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F-D242-855F-97F9BF60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13151"/>
        <c:axId val="1705463343"/>
      </c:scatterChart>
      <c:valAx>
        <c:axId val="1705513151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463343"/>
        <c:crosses val="autoZero"/>
        <c:crossBetween val="midCat"/>
      </c:valAx>
      <c:valAx>
        <c:axId val="17054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TCO2/an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51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814788359566051"/>
          <c:y val="0.15187419538337177"/>
          <c:w val="0.25423104894100323"/>
          <c:h val="0.277199620880723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Trajectoire CO2 / Poste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189165884950302"/>
          <c:y val="8.802560282875245E-2"/>
          <c:w val="0.79044373063475371"/>
          <c:h val="0.827029318840342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'Bilan CO2'!$E$5</c:f>
              <c:strCache>
                <c:ptCount val="1"/>
                <c:pt idx="0">
                  <c:v>Mobilité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CO2'!$A$5:$D$5</c:f>
              <c:numCache>
                <c:formatCode>0.0</c:formatCode>
                <c:ptCount val="4"/>
                <c:pt idx="0">
                  <c:v>9.9719999999999995</c:v>
                </c:pt>
                <c:pt idx="1">
                  <c:v>9.9719999999999995</c:v>
                </c:pt>
                <c:pt idx="2">
                  <c:v>9.9719999999999995</c:v>
                </c:pt>
                <c:pt idx="3">
                  <c:v>9.9719999999999995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3-4E43-9648-FF4CCC90D70C}"/>
            </c:ext>
          </c:extLst>
        </c:ser>
        <c:ser>
          <c:idx val="1"/>
          <c:order val="1"/>
          <c:tx>
            <c:strRef>
              <c:f>'Bilan CO2'!$E$6</c:f>
              <c:strCache>
                <c:ptCount val="1"/>
                <c:pt idx="0">
                  <c:v>Logement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CO2'!$A$6:$D$6</c:f>
              <c:numCache>
                <c:formatCode>0.0</c:formatCode>
                <c:ptCount val="4"/>
                <c:pt idx="0">
                  <c:v>0.48</c:v>
                </c:pt>
                <c:pt idx="1">
                  <c:v>0.28000000000000003</c:v>
                </c:pt>
                <c:pt idx="2">
                  <c:v>0.105</c:v>
                </c:pt>
                <c:pt idx="3">
                  <c:v>3.15E-2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3-4E43-9648-FF4CCC90D70C}"/>
            </c:ext>
          </c:extLst>
        </c:ser>
        <c:ser>
          <c:idx val="2"/>
          <c:order val="2"/>
          <c:tx>
            <c:strRef>
              <c:f>'Bilan CO2'!$E$7</c:f>
              <c:strCache>
                <c:ptCount val="1"/>
                <c:pt idx="0">
                  <c:v>Alimentation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CO2'!$A$7:$D$7</c:f>
              <c:numCache>
                <c:formatCode>0.0</c:formatCode>
                <c:ptCount val="4"/>
                <c:pt idx="0">
                  <c:v>5.0223999999999993</c:v>
                </c:pt>
                <c:pt idx="1">
                  <c:v>2.5111999999999997</c:v>
                </c:pt>
                <c:pt idx="2">
                  <c:v>1.2555999999999998</c:v>
                </c:pt>
                <c:pt idx="3">
                  <c:v>0.44530000000000008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3-4E43-9648-FF4CCC90D70C}"/>
            </c:ext>
          </c:extLst>
        </c:ser>
        <c:ser>
          <c:idx val="3"/>
          <c:order val="3"/>
          <c:tx>
            <c:strRef>
              <c:f>'Bilan CO2'!$E$8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CO2'!$A$8:$D$8</c:f>
              <c:numCache>
                <c:formatCode>0.0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3-4E43-9648-FF4CCC90D70C}"/>
            </c:ext>
          </c:extLst>
        </c:ser>
        <c:ser>
          <c:idx val="4"/>
          <c:order val="4"/>
          <c:tx>
            <c:strRef>
              <c:f>'Bilan CO2'!$E$9</c:f>
              <c:strCache>
                <c:ptCount val="1"/>
                <c:pt idx="0">
                  <c:v>Services Publics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CO2'!$A$9:$D$9</c:f>
              <c:numCache>
                <c:formatCode>0.0</c:formatCode>
                <c:ptCount val="4"/>
                <c:pt idx="0">
                  <c:v>2</c:v>
                </c:pt>
                <c:pt idx="1">
                  <c:v>1.2034017412151405</c:v>
                </c:pt>
                <c:pt idx="2">
                  <c:v>0.58242515117688287</c:v>
                </c:pt>
                <c:pt idx="3">
                  <c:v>0.28188346842583661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3-4E43-9648-FF4CCC90D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046976"/>
        <c:axId val="236048704"/>
      </c:barChart>
      <c:catAx>
        <c:axId val="23604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048704"/>
        <c:crosses val="autoZero"/>
        <c:auto val="1"/>
        <c:lblAlgn val="ctr"/>
        <c:lblOffset val="100"/>
        <c:noMultiLvlLbl val="0"/>
      </c:catAx>
      <c:valAx>
        <c:axId val="2360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TCO2/an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0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08245844269471"/>
          <c:y val="0.16251622393354676"/>
          <c:w val="0.26591337635142176"/>
          <c:h val="0.2381930689017303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Trajectoire NRJ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591399927730485"/>
          <c:y val="0.14095781366745214"/>
          <c:w val="0.74564912310187481"/>
          <c:h val="0.75164291051209842"/>
        </c:manualLayout>
      </c:layout>
      <c:scatterChart>
        <c:scatterStyle val="lineMarker"/>
        <c:varyColors val="0"/>
        <c:ser>
          <c:idx val="0"/>
          <c:order val="0"/>
          <c:tx>
            <c:v>Trajectoire GIEC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'Bilan NRJ'!$A$4:$D$4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'Bilan NRJ'!$A$13:$D$13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C-B041-9E34-4BF0054A4B40}"/>
            </c:ext>
          </c:extLst>
        </c:ser>
        <c:ser>
          <c:idx val="1"/>
          <c:order val="1"/>
          <c:tx>
            <c:v>Votre trajectoire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'Bilan NRJ'!$A$4:$D$4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'Bilan NRJ'!$A$12:$D$12</c:f>
              <c:numCache>
                <c:formatCode>#,##0_);[Red]\(#,##0\)</c:formatCode>
                <c:ptCount val="4"/>
                <c:pt idx="0">
                  <c:v>43800.4</c:v>
                </c:pt>
                <c:pt idx="1">
                  <c:v>41300.400000000001</c:v>
                </c:pt>
                <c:pt idx="2">
                  <c:v>41300.400000000001</c:v>
                </c:pt>
                <c:pt idx="3">
                  <c:v>38850.400000000001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C-B041-9E34-4BF0054A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13151"/>
        <c:axId val="1705463343"/>
      </c:scatterChart>
      <c:valAx>
        <c:axId val="1705513151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463343"/>
        <c:crosses val="autoZero"/>
        <c:crossBetween val="midCat"/>
      </c:valAx>
      <c:valAx>
        <c:axId val="17054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kWh/an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51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59814788359566051"/>
          <c:y val="0.15187419538337177"/>
          <c:w val="0.25423104894100323"/>
          <c:h val="0.277199620880723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15</xdr:row>
      <xdr:rowOff>38100</xdr:rowOff>
    </xdr:from>
    <xdr:to>
      <xdr:col>15</xdr:col>
      <xdr:colOff>469901</xdr:colOff>
      <xdr:row>23</xdr:row>
      <xdr:rowOff>150019</xdr:rowOff>
    </xdr:to>
    <xdr:pic>
      <xdr:nvPicPr>
        <xdr:cNvPr id="2" name="Image 1" descr="Comprendre la classe énergétique de sa maison | MaisonSûr">
          <a:extLst>
            <a:ext uri="{FF2B5EF4-FFF2-40B4-BE49-F238E27FC236}">
              <a16:creationId xmlns:a16="http://schemas.microsoft.com/office/drawing/2014/main" id="{79ED6BF2-64FB-582F-E9B7-99E8A7682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5943600"/>
          <a:ext cx="3721100" cy="209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25400</xdr:colOff>
      <xdr:row>27</xdr:row>
      <xdr:rowOff>25400</xdr:rowOff>
    </xdr:from>
    <xdr:to>
      <xdr:col>17</xdr:col>
      <xdr:colOff>571500</xdr:colOff>
      <xdr:row>37</xdr:row>
      <xdr:rowOff>127000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AA2A17EA-4B0A-15DF-123F-882756176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15</xdr:row>
      <xdr:rowOff>38100</xdr:rowOff>
    </xdr:from>
    <xdr:to>
      <xdr:col>15</xdr:col>
      <xdr:colOff>469901</xdr:colOff>
      <xdr:row>23</xdr:row>
      <xdr:rowOff>150019</xdr:rowOff>
    </xdr:to>
    <xdr:pic>
      <xdr:nvPicPr>
        <xdr:cNvPr id="2" name="Image 1" descr="Comprendre la classe énergétique de sa maison | MaisonSûr">
          <a:extLst>
            <a:ext uri="{FF2B5EF4-FFF2-40B4-BE49-F238E27FC236}">
              <a16:creationId xmlns:a16="http://schemas.microsoft.com/office/drawing/2014/main" id="{083BE324-58DA-2546-B5E3-1C6469E2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3937000"/>
          <a:ext cx="3721101" cy="209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15</xdr:row>
      <xdr:rowOff>38100</xdr:rowOff>
    </xdr:from>
    <xdr:to>
      <xdr:col>15</xdr:col>
      <xdr:colOff>469901</xdr:colOff>
      <xdr:row>23</xdr:row>
      <xdr:rowOff>150019</xdr:rowOff>
    </xdr:to>
    <xdr:pic>
      <xdr:nvPicPr>
        <xdr:cNvPr id="2" name="Image 1" descr="Comprendre la classe énergétique de sa maison | MaisonSûr">
          <a:extLst>
            <a:ext uri="{FF2B5EF4-FFF2-40B4-BE49-F238E27FC236}">
              <a16:creationId xmlns:a16="http://schemas.microsoft.com/office/drawing/2014/main" id="{CE3AE6C1-6348-1745-990F-1CA5B7F3F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3937000"/>
          <a:ext cx="3721101" cy="209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15</xdr:row>
      <xdr:rowOff>38100</xdr:rowOff>
    </xdr:from>
    <xdr:to>
      <xdr:col>15</xdr:col>
      <xdr:colOff>469901</xdr:colOff>
      <xdr:row>23</xdr:row>
      <xdr:rowOff>150019</xdr:rowOff>
    </xdr:to>
    <xdr:pic>
      <xdr:nvPicPr>
        <xdr:cNvPr id="2" name="Image 1" descr="Comprendre la classe énergétique de sa maison | MaisonSûr">
          <a:extLst>
            <a:ext uri="{FF2B5EF4-FFF2-40B4-BE49-F238E27FC236}">
              <a16:creationId xmlns:a16="http://schemas.microsoft.com/office/drawing/2014/main" id="{35BF4CF5-BE8E-F846-8274-C368D2F73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3937000"/>
          <a:ext cx="3721101" cy="209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63500</xdr:rowOff>
    </xdr:from>
    <xdr:to>
      <xdr:col>14</xdr:col>
      <xdr:colOff>190500</xdr:colOff>
      <xdr:row>10</xdr:row>
      <xdr:rowOff>266700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579D4E-BBF5-2D38-7882-B769C8FFA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0</xdr:row>
      <xdr:rowOff>152400</xdr:rowOff>
    </xdr:from>
    <xdr:to>
      <xdr:col>21</xdr:col>
      <xdr:colOff>342900</xdr:colOff>
      <xdr:row>14</xdr:row>
      <xdr:rowOff>215900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2A41B36-9C19-E943-373D-09CEC9F9D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63500</xdr:rowOff>
    </xdr:from>
    <xdr:to>
      <xdr:col>14</xdr:col>
      <xdr:colOff>190500</xdr:colOff>
      <xdr:row>10</xdr:row>
      <xdr:rowOff>266700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CB9154-7A8D-D34C-863B-63612D75E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.chapin/VIK/RB/Enseignement/Cours_Aero_ENSICA/Exo_Cours_A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TPM"/>
      <sheetName val="2D"/>
      <sheetName val="NACA6"/>
      <sheetName val="D"/>
      <sheetName val="Tu"/>
      <sheetName val="BE1"/>
      <sheetName val="BE3"/>
      <sheetName val="BE5"/>
      <sheetName val="LP"/>
      <sheetName val="2013"/>
      <sheetName val="2014"/>
      <sheetName val="LowRe"/>
      <sheetName val="Cruise"/>
      <sheetName val="PPPT"/>
    </sheetNames>
    <sheetDataSet>
      <sheetData sheetId="0" refreshError="1">
        <row r="4">
          <cell r="E4">
            <v>1.1767711962833913</v>
          </cell>
        </row>
        <row r="10">
          <cell r="E10">
            <v>12</v>
          </cell>
        </row>
        <row r="18">
          <cell r="E18">
            <v>14.668551857344569</v>
          </cell>
        </row>
      </sheetData>
      <sheetData sheetId="1" refreshError="1"/>
      <sheetData sheetId="2" refreshError="1"/>
      <sheetData sheetId="3" refreshError="1">
        <row r="61">
          <cell r="I61">
            <v>-0.4</v>
          </cell>
        </row>
        <row r="62">
          <cell r="I62">
            <v>0.5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8">
          <cell r="B38">
            <v>0.30503999999999998</v>
          </cell>
        </row>
        <row r="39">
          <cell r="B39">
            <v>-1.6155999999999999</v>
          </cell>
        </row>
        <row r="40">
          <cell r="B40">
            <v>2.6595</v>
          </cell>
        </row>
        <row r="41">
          <cell r="B41">
            <v>2.2079999999999999E-2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www.science.org/doi/10.1126/science.aah3443" TargetMode="External"/><Relationship Id="rId1" Type="http://schemas.openxmlformats.org/officeDocument/2006/relationships/hyperlink" Target="https://www.stockholmresilience.org/research/research-news/2017-03-23-curbing-emissions-with-a-new-carbon-law.html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7EAA-5CC9-6947-BEFB-803634551652}">
  <dimension ref="A2:N63"/>
  <sheetViews>
    <sheetView zoomScaleNormal="100" workbookViewId="0">
      <selection activeCell="A5" sqref="A5:N14"/>
    </sheetView>
  </sheetViews>
  <sheetFormatPr baseColWidth="10" defaultRowHeight="16" x14ac:dyDescent="0.2"/>
  <cols>
    <col min="1" max="1" width="12.6640625" customWidth="1"/>
    <col min="5" max="5" width="13" customWidth="1"/>
    <col min="6" max="6" width="13.33203125" customWidth="1"/>
    <col min="7" max="7" width="17.83203125" customWidth="1"/>
  </cols>
  <sheetData>
    <row r="2" spans="1:14" ht="24" x14ac:dyDescent="0.25">
      <c r="A2" s="7" t="s">
        <v>39</v>
      </c>
      <c r="C2" s="24" t="s">
        <v>75</v>
      </c>
      <c r="D2" s="23"/>
      <c r="E2" s="23"/>
      <c r="F2" s="23"/>
      <c r="G2" s="23"/>
      <c r="H2" s="23"/>
    </row>
    <row r="3" spans="1:14" ht="24" x14ac:dyDescent="0.2">
      <c r="A3" s="7"/>
    </row>
    <row r="4" spans="1:14" ht="21" x14ac:dyDescent="0.25">
      <c r="A4" s="57" t="s">
        <v>15</v>
      </c>
      <c r="E4" s="19">
        <v>2023</v>
      </c>
      <c r="F4" s="9" t="s">
        <v>44</v>
      </c>
    </row>
    <row r="5" spans="1:14" ht="19" customHeight="1" x14ac:dyDescent="0.25">
      <c r="A5" s="10" t="s">
        <v>0</v>
      </c>
      <c r="B5" s="11" t="s">
        <v>1</v>
      </c>
      <c r="C5" s="11" t="s">
        <v>2</v>
      </c>
    </row>
    <row r="6" spans="1:14" ht="19" x14ac:dyDescent="0.25">
      <c r="A6" s="17">
        <f>C6/100*30*0.8*3/1000</f>
        <v>0</v>
      </c>
      <c r="B6" s="11">
        <f>C6/100*30*10</f>
        <v>0</v>
      </c>
      <c r="C6" s="10">
        <f>E6*20000</f>
        <v>0</v>
      </c>
      <c r="D6" s="1"/>
      <c r="E6" s="18">
        <v>0</v>
      </c>
      <c r="F6" s="12" t="s">
        <v>23</v>
      </c>
      <c r="G6" s="9"/>
      <c r="H6" s="9"/>
    </row>
    <row r="7" spans="1:14" ht="19" x14ac:dyDescent="0.25">
      <c r="A7" s="21">
        <f>C7/100*3*0.8*3/1000</f>
        <v>2.88</v>
      </c>
      <c r="B7" s="11">
        <f>C7/100*3*10</f>
        <v>12000</v>
      </c>
      <c r="C7" s="10">
        <f>E7*20000</f>
        <v>40000</v>
      </c>
      <c r="D7" s="11"/>
      <c r="E7" s="18">
        <v>2</v>
      </c>
      <c r="F7" s="12" t="s">
        <v>24</v>
      </c>
      <c r="G7" s="9"/>
      <c r="H7" s="9"/>
    </row>
    <row r="8" spans="1:14" ht="19" x14ac:dyDescent="0.25">
      <c r="A8" s="17">
        <f>C8/100*30*0.8*3/1000</f>
        <v>0</v>
      </c>
      <c r="B8" s="11">
        <f>C8/100*30*10</f>
        <v>0</v>
      </c>
      <c r="C8" s="10">
        <f>E8*2000</f>
        <v>0</v>
      </c>
      <c r="D8" s="11"/>
      <c r="E8" s="19">
        <v>0</v>
      </c>
      <c r="F8" s="12" t="s">
        <v>25</v>
      </c>
      <c r="G8" s="9"/>
      <c r="H8" s="9"/>
    </row>
    <row r="9" spans="1:14" ht="19" x14ac:dyDescent="0.25">
      <c r="A9" s="21">
        <f>C9/100*3*0.8*3/1000</f>
        <v>0.432</v>
      </c>
      <c r="B9" s="11">
        <f>C9/100*3*10</f>
        <v>1800</v>
      </c>
      <c r="C9" s="10">
        <f>E9*2000</f>
        <v>6000</v>
      </c>
      <c r="D9" s="11"/>
      <c r="E9" s="19">
        <v>3</v>
      </c>
      <c r="F9" s="12" t="s">
        <v>26</v>
      </c>
      <c r="G9" s="9"/>
      <c r="H9" s="9"/>
      <c r="L9" s="13" t="s">
        <v>29</v>
      </c>
      <c r="N9" s="11" t="s">
        <v>66</v>
      </c>
    </row>
    <row r="10" spans="1:14" ht="19" x14ac:dyDescent="0.25">
      <c r="A10" s="21">
        <f>C10/100*D10*0.8*3/1000 + N10*6/L10</f>
        <v>6.66</v>
      </c>
      <c r="B10" s="11">
        <f>C10*D10/100*10</f>
        <v>24000</v>
      </c>
      <c r="C10" s="19">
        <v>30000</v>
      </c>
      <c r="D10" s="19">
        <v>8</v>
      </c>
      <c r="E10" s="11" t="s">
        <v>7</v>
      </c>
      <c r="F10" s="12" t="s">
        <v>10</v>
      </c>
      <c r="G10" s="9"/>
      <c r="H10" s="9"/>
      <c r="L10" s="79">
        <f>IF(C10=0,100,200000/C10)</f>
        <v>6.666666666666667</v>
      </c>
      <c r="N10" s="1">
        <f>IF(C10=0,0,IF(D10=0,0,1))</f>
        <v>1</v>
      </c>
    </row>
    <row r="11" spans="1:14" ht="19" x14ac:dyDescent="0.25">
      <c r="A11" s="21">
        <f>C11/100*D11*0.08/1000 + N11*12/L11</f>
        <v>0</v>
      </c>
      <c r="B11" s="11">
        <f>C11*D11/100</f>
        <v>0</v>
      </c>
      <c r="C11" s="19">
        <v>0</v>
      </c>
      <c r="D11" s="19">
        <v>25</v>
      </c>
      <c r="E11" s="11" t="s">
        <v>8</v>
      </c>
      <c r="F11" s="12" t="s">
        <v>28</v>
      </c>
      <c r="G11" s="9"/>
      <c r="H11" s="9"/>
      <c r="L11" s="80">
        <f>IF(C11=0,100,200000/C11)</f>
        <v>100</v>
      </c>
      <c r="N11" s="1">
        <f>IF(C11=0,0,IF(D11=0,0,1))</f>
        <v>0</v>
      </c>
    </row>
    <row r="12" spans="1:14" ht="19" x14ac:dyDescent="0.25">
      <c r="A12" s="21">
        <f>C12/100*D12*0.08/1000 + N12*6/L12</f>
        <v>0</v>
      </c>
      <c r="B12" s="11">
        <f>C12*D12/100</f>
        <v>0</v>
      </c>
      <c r="C12" s="19">
        <v>0</v>
      </c>
      <c r="D12" s="19">
        <v>20</v>
      </c>
      <c r="E12" s="11" t="s">
        <v>8</v>
      </c>
      <c r="F12" s="12" t="s">
        <v>40</v>
      </c>
      <c r="G12" s="9"/>
      <c r="H12" s="9"/>
      <c r="L12" s="80">
        <f>IF(C12=0,100,200000/C12)</f>
        <v>100</v>
      </c>
      <c r="N12" s="1">
        <f>IF(C12=0,0,IF(D12=0,0,1))</f>
        <v>0</v>
      </c>
    </row>
    <row r="13" spans="1:14" ht="19" x14ac:dyDescent="0.25">
      <c r="A13" s="21">
        <f>C13/100*D13*0.08/1000 + N13*2/L13</f>
        <v>0</v>
      </c>
      <c r="B13" s="11">
        <f>C13*D13/100</f>
        <v>0</v>
      </c>
      <c r="C13" s="19">
        <v>0</v>
      </c>
      <c r="D13" s="19">
        <v>6</v>
      </c>
      <c r="E13" s="11" t="s">
        <v>8</v>
      </c>
      <c r="F13" s="12" t="s">
        <v>27</v>
      </c>
      <c r="G13" s="9"/>
      <c r="H13" s="9"/>
      <c r="L13" s="80">
        <f>IF(C13=0,100,200000/C13)</f>
        <v>100</v>
      </c>
      <c r="N13" s="1">
        <f>IF(C13=0,0,IF(D13=0,0,1))</f>
        <v>0</v>
      </c>
    </row>
    <row r="14" spans="1:14" ht="19" x14ac:dyDescent="0.25">
      <c r="A14" s="21">
        <f>C14/100*D14*0.08/1000 + N14*0.2/L14</f>
        <v>0</v>
      </c>
      <c r="B14" s="11">
        <f>C14*D14/100</f>
        <v>0</v>
      </c>
      <c r="C14" s="19">
        <v>0</v>
      </c>
      <c r="D14" s="19">
        <v>0.2</v>
      </c>
      <c r="E14" s="11" t="s">
        <v>8</v>
      </c>
      <c r="F14" s="12" t="s">
        <v>9</v>
      </c>
      <c r="G14" s="9"/>
      <c r="H14" s="9"/>
      <c r="L14" s="80">
        <f>IF(C14=0,100,100000/C14)</f>
        <v>100</v>
      </c>
      <c r="N14" s="1">
        <f>IF(C14=0,0,IF(D14=0,0,1))</f>
        <v>0</v>
      </c>
    </row>
    <row r="15" spans="1:14" x14ac:dyDescent="0.2">
      <c r="A15" s="1"/>
      <c r="B15" s="1"/>
      <c r="C15" s="1"/>
      <c r="D15" s="1"/>
    </row>
    <row r="16" spans="1:14" ht="21" x14ac:dyDescent="0.2">
      <c r="A16" s="78" t="s">
        <v>19</v>
      </c>
      <c r="C16" s="1"/>
      <c r="D16" s="1"/>
    </row>
    <row r="17" spans="1:12" ht="19" x14ac:dyDescent="0.25">
      <c r="A17" s="11" t="s">
        <v>0</v>
      </c>
      <c r="B17" s="11" t="s">
        <v>1</v>
      </c>
      <c r="C17" s="11" t="s">
        <v>11</v>
      </c>
      <c r="D17" s="73" t="s">
        <v>99</v>
      </c>
      <c r="E17" s="11" t="s">
        <v>13</v>
      </c>
      <c r="F17" s="11" t="s">
        <v>12</v>
      </c>
      <c r="G17" s="11" t="s">
        <v>14</v>
      </c>
      <c r="H17" s="9"/>
      <c r="I17" s="9"/>
      <c r="J17" s="9"/>
    </row>
    <row r="18" spans="1:12" ht="19" x14ac:dyDescent="0.25">
      <c r="A18" s="21">
        <f>B18*G18/1000</f>
        <v>0.48</v>
      </c>
      <c r="B18" s="11">
        <f>C18*F18</f>
        <v>6000</v>
      </c>
      <c r="C18" s="19">
        <v>50</v>
      </c>
      <c r="D18" s="19" t="s">
        <v>100</v>
      </c>
      <c r="E18" s="19" t="s">
        <v>65</v>
      </c>
      <c r="F18" s="11">
        <f>IF(D18="G",600,IF(D18="F",400,IF(D18="E",300,IF(D18="D",200,IF(D18="C",120,IF(D18="B",70,IF(D18="A",35,200)))))))</f>
        <v>120</v>
      </c>
      <c r="G18" s="11">
        <f>IF(E18="Fioul",0.3,IF(E18="Electricité",0.08,IF(E18="PAC",0.03,IF(E18="Gaz",0.3,IF(E18="Bois",0.3,IF(E18="B",70,IF(E18="A",35,0.3)))))))</f>
        <v>0.08</v>
      </c>
      <c r="H18" s="15"/>
      <c r="I18" s="11"/>
      <c r="J18" s="11"/>
    </row>
    <row r="19" spans="1:12" ht="19" x14ac:dyDescent="0.25">
      <c r="A19" s="8"/>
      <c r="B19" s="9"/>
      <c r="C19" s="9"/>
      <c r="D19" s="9"/>
      <c r="E19" s="9"/>
      <c r="F19" s="9"/>
      <c r="G19" s="9"/>
      <c r="H19" s="12"/>
      <c r="I19" s="11"/>
      <c r="J19" s="11"/>
    </row>
    <row r="20" spans="1:12" ht="21" x14ac:dyDescent="0.25">
      <c r="A20" s="5" t="s">
        <v>22</v>
      </c>
      <c r="C20" s="9"/>
      <c r="D20" s="9"/>
      <c r="E20" s="9"/>
      <c r="F20" s="9"/>
      <c r="G20" s="9"/>
      <c r="H20" s="12"/>
      <c r="I20" s="9"/>
      <c r="J20" s="9"/>
    </row>
    <row r="21" spans="1:12" ht="19" x14ac:dyDescent="0.25">
      <c r="A21" s="11" t="s">
        <v>0</v>
      </c>
      <c r="B21" s="11" t="s">
        <v>1</v>
      </c>
      <c r="C21" s="11" t="s">
        <v>70</v>
      </c>
      <c r="D21" s="11" t="s">
        <v>71</v>
      </c>
      <c r="E21" s="11" t="s">
        <v>72</v>
      </c>
      <c r="F21" s="9" t="s">
        <v>69</v>
      </c>
      <c r="G21" s="9"/>
      <c r="H21" s="9"/>
      <c r="I21" s="9"/>
      <c r="J21" s="9"/>
    </row>
    <row r="22" spans="1:12" ht="19" x14ac:dyDescent="0.25">
      <c r="A22" s="21">
        <f>F22*730*(C22*5.5+D22*1.6+E22*0.5)/1000</f>
        <v>5.0223999999999993</v>
      </c>
      <c r="B22" s="9"/>
      <c r="C22" s="19">
        <v>0.5</v>
      </c>
      <c r="D22" s="19">
        <v>0.4</v>
      </c>
      <c r="E22" s="11">
        <f>1-D22-C22</f>
        <v>9.9999999999999978E-2</v>
      </c>
      <c r="F22" s="52">
        <v>2</v>
      </c>
      <c r="J22" s="9"/>
    </row>
    <row r="23" spans="1:12" ht="19" x14ac:dyDescent="0.25">
      <c r="A23" s="8"/>
      <c r="B23" s="9"/>
      <c r="C23" s="11"/>
      <c r="D23" s="11"/>
      <c r="E23" s="11"/>
      <c r="F23" s="9"/>
      <c r="I23" s="9"/>
      <c r="J23" s="9"/>
    </row>
    <row r="24" spans="1:12" ht="21" x14ac:dyDescent="0.25">
      <c r="A24" s="77" t="s">
        <v>98</v>
      </c>
      <c r="B24" s="9"/>
      <c r="C24" s="11"/>
      <c r="D24" s="11"/>
      <c r="E24" s="11"/>
      <c r="F24" s="9"/>
      <c r="G24" s="9"/>
      <c r="H24" s="12"/>
      <c r="I24" s="9"/>
      <c r="J24" s="9"/>
    </row>
    <row r="25" spans="1:12" ht="19" x14ac:dyDescent="0.25">
      <c r="A25" s="11">
        <f>IF(B25=1%,80,IF(B25=9%,6,IF(B25=40%,2,IF(B25=50%,1,2))))*D25</f>
        <v>2</v>
      </c>
      <c r="B25" s="27">
        <v>0.4</v>
      </c>
      <c r="C25" s="9" t="s">
        <v>97</v>
      </c>
      <c r="D25" s="22">
        <v>1</v>
      </c>
      <c r="E25" s="9" t="s">
        <v>96</v>
      </c>
      <c r="F25" s="71"/>
      <c r="G25" s="9"/>
      <c r="H25" s="12"/>
      <c r="I25" s="9"/>
      <c r="J25" s="9"/>
    </row>
    <row r="26" spans="1:12" ht="19" x14ac:dyDescent="0.25">
      <c r="A26" s="9"/>
      <c r="B26" s="9"/>
      <c r="C26" s="11"/>
      <c r="D26" s="11"/>
      <c r="E26" s="11"/>
      <c r="F26" s="9"/>
      <c r="G26" s="9"/>
      <c r="H26" s="12"/>
      <c r="I26" s="9"/>
      <c r="L26" s="9"/>
    </row>
    <row r="27" spans="1:12" ht="21" x14ac:dyDescent="0.25">
      <c r="A27" s="76" t="s">
        <v>38</v>
      </c>
      <c r="C27" s="1"/>
      <c r="D27" s="1"/>
      <c r="E27" s="1"/>
      <c r="G27" s="9"/>
      <c r="H27" s="14"/>
      <c r="I27" s="9"/>
      <c r="J27" s="9"/>
      <c r="K27" s="9"/>
      <c r="L27" s="9"/>
    </row>
    <row r="28" spans="1:12" ht="19" x14ac:dyDescent="0.25">
      <c r="A28" s="26">
        <v>2</v>
      </c>
      <c r="C28" s="1"/>
      <c r="D28" s="1"/>
      <c r="E28" s="1"/>
      <c r="G28" s="9"/>
      <c r="H28" s="9"/>
      <c r="I28" s="9"/>
      <c r="J28" s="9"/>
      <c r="K28" s="9"/>
      <c r="L28" s="9"/>
    </row>
    <row r="29" spans="1:12" ht="20" thickBot="1" x14ac:dyDescent="0.3">
      <c r="J29" s="9"/>
      <c r="K29" s="9"/>
      <c r="L29" s="9"/>
    </row>
    <row r="30" spans="1:12" ht="21" x14ac:dyDescent="0.25">
      <c r="A30" s="38" t="s">
        <v>101</v>
      </c>
      <c r="B30" s="39"/>
      <c r="C30" s="39"/>
      <c r="D30" s="39"/>
      <c r="E30" s="39"/>
      <c r="F30" s="39"/>
      <c r="G30" s="40"/>
      <c r="H30" s="40"/>
      <c r="I30" s="40"/>
      <c r="J30" s="41"/>
      <c r="K30" s="9"/>
      <c r="L30" s="9"/>
    </row>
    <row r="31" spans="1:12" ht="21" x14ac:dyDescent="0.25">
      <c r="A31" s="42">
        <f>SUM(A6:A14)</f>
        <v>9.9719999999999995</v>
      </c>
      <c r="B31" s="30" t="s">
        <v>0</v>
      </c>
      <c r="C31" s="37">
        <f>A31/A36</f>
        <v>0.51205685412644286</v>
      </c>
      <c r="D31" s="56" t="s">
        <v>15</v>
      </c>
      <c r="E31" s="30"/>
      <c r="F31" s="30"/>
      <c r="J31" s="43"/>
      <c r="K31" s="9"/>
      <c r="L31" s="9"/>
    </row>
    <row r="32" spans="1:12" ht="21" x14ac:dyDescent="0.25">
      <c r="A32" s="44">
        <f>A18</f>
        <v>0.48</v>
      </c>
      <c r="B32" s="30" t="s">
        <v>0</v>
      </c>
      <c r="C32" s="37">
        <f>A32/A36</f>
        <v>2.4647742677566448E-2</v>
      </c>
      <c r="D32" s="74" t="s">
        <v>19</v>
      </c>
      <c r="E32" s="30"/>
      <c r="F32" s="30"/>
      <c r="J32" s="45"/>
      <c r="K32" s="9"/>
    </row>
    <row r="33" spans="1:10" ht="21" x14ac:dyDescent="0.25">
      <c r="A33" s="44">
        <f>A22</f>
        <v>5.0223999999999993</v>
      </c>
      <c r="B33" s="30" t="s">
        <v>0</v>
      </c>
      <c r="C33" s="37">
        <f>A33/A36</f>
        <v>0.25789754754960353</v>
      </c>
      <c r="D33" s="5" t="s">
        <v>20</v>
      </c>
      <c r="E33" s="30"/>
      <c r="F33" s="30"/>
      <c r="J33" s="45"/>
    </row>
    <row r="34" spans="1:10" ht="21" x14ac:dyDescent="0.25">
      <c r="A34" s="44">
        <f>A25</f>
        <v>2</v>
      </c>
      <c r="B34" s="30" t="s">
        <v>0</v>
      </c>
      <c r="C34" s="37">
        <f>A34/A36</f>
        <v>0.10269892782319354</v>
      </c>
      <c r="D34" s="75" t="s">
        <v>18</v>
      </c>
      <c r="E34" s="30"/>
      <c r="F34" s="30"/>
      <c r="J34" s="45"/>
    </row>
    <row r="35" spans="1:10" ht="21" x14ac:dyDescent="0.25">
      <c r="A35" s="44">
        <f>A28</f>
        <v>2</v>
      </c>
      <c r="B35" s="30" t="s">
        <v>0</v>
      </c>
      <c r="C35" s="37">
        <f>A35/A36</f>
        <v>0.10269892782319354</v>
      </c>
      <c r="D35" s="76" t="s">
        <v>21</v>
      </c>
      <c r="E35" s="30"/>
      <c r="F35" s="30"/>
      <c r="J35" s="45"/>
    </row>
    <row r="36" spans="1:10" ht="21" x14ac:dyDescent="0.25">
      <c r="A36" s="53">
        <f>SUM(A31:A35)</f>
        <v>19.474399999999999</v>
      </c>
      <c r="B36" s="30" t="s">
        <v>0</v>
      </c>
      <c r="D36" s="30" t="s">
        <v>52</v>
      </c>
      <c r="E36" s="30"/>
      <c r="F36" s="30"/>
      <c r="J36" s="45"/>
    </row>
    <row r="37" spans="1:10" ht="22" thickBot="1" x14ac:dyDescent="0.3">
      <c r="A37" s="46" t="s">
        <v>53</v>
      </c>
      <c r="B37" s="47" t="s">
        <v>0</v>
      </c>
      <c r="C37" s="48"/>
      <c r="D37" s="47" t="s">
        <v>54</v>
      </c>
      <c r="E37" s="47"/>
      <c r="F37" s="47"/>
      <c r="G37" s="48"/>
      <c r="H37" s="48"/>
      <c r="I37" s="48"/>
      <c r="J37" s="49"/>
    </row>
    <row r="54" spans="1:8" ht="19" x14ac:dyDescent="0.25">
      <c r="A54" s="9"/>
      <c r="B54" s="9"/>
      <c r="C54" s="9"/>
      <c r="D54" s="9"/>
    </row>
    <row r="63" spans="1:8" ht="19" x14ac:dyDescent="0.25">
      <c r="A63" s="9"/>
      <c r="B63" s="9"/>
      <c r="C63" s="9"/>
      <c r="D63" s="9"/>
      <c r="E63" s="9"/>
      <c r="F63" s="9"/>
      <c r="G63" s="9"/>
      <c r="H63" s="9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7ED4-95F0-9B4E-93BA-8B579DA96A03}">
  <dimension ref="A2:N63"/>
  <sheetViews>
    <sheetView zoomScaleNormal="100" workbookViewId="0">
      <selection activeCell="A5" sqref="A5:N14"/>
    </sheetView>
  </sheetViews>
  <sheetFormatPr baseColWidth="10" defaultRowHeight="16" x14ac:dyDescent="0.2"/>
  <cols>
    <col min="1" max="1" width="12.6640625" customWidth="1"/>
    <col min="5" max="5" width="13" customWidth="1"/>
    <col min="6" max="6" width="13.33203125" customWidth="1"/>
    <col min="7" max="7" width="17.83203125" customWidth="1"/>
  </cols>
  <sheetData>
    <row r="2" spans="1:14" ht="24" x14ac:dyDescent="0.25">
      <c r="A2" s="7" t="s">
        <v>39</v>
      </c>
      <c r="C2" s="24" t="s">
        <v>75</v>
      </c>
      <c r="D2" s="23"/>
      <c r="E2" s="23"/>
      <c r="F2" s="23"/>
      <c r="G2" s="23"/>
      <c r="H2" s="23"/>
    </row>
    <row r="3" spans="1:14" ht="24" x14ac:dyDescent="0.2">
      <c r="A3" s="7"/>
    </row>
    <row r="4" spans="1:14" ht="21" x14ac:dyDescent="0.2">
      <c r="A4" s="57" t="s">
        <v>15</v>
      </c>
    </row>
    <row r="5" spans="1:14" ht="19" customHeight="1" x14ac:dyDescent="0.25">
      <c r="A5" s="10" t="s">
        <v>0</v>
      </c>
      <c r="B5" s="11" t="s">
        <v>1</v>
      </c>
      <c r="C5" s="11" t="s">
        <v>2</v>
      </c>
    </row>
    <row r="6" spans="1:14" ht="19" x14ac:dyDescent="0.25">
      <c r="A6" s="17">
        <f>C6/100*30*0.8*3/1000</f>
        <v>0</v>
      </c>
      <c r="B6" s="11">
        <f>C6/100*30*10</f>
        <v>0</v>
      </c>
      <c r="C6" s="10">
        <f>E6*20000</f>
        <v>0</v>
      </c>
      <c r="D6" s="1"/>
      <c r="E6" s="18">
        <v>0</v>
      </c>
      <c r="F6" s="12" t="s">
        <v>23</v>
      </c>
      <c r="G6" s="9"/>
      <c r="H6" s="9"/>
    </row>
    <row r="7" spans="1:14" ht="19" x14ac:dyDescent="0.25">
      <c r="A7" s="21">
        <f>C7/100*3*0.8*3/1000</f>
        <v>2.88</v>
      </c>
      <c r="B7" s="11">
        <f>C7/100*3*10</f>
        <v>12000</v>
      </c>
      <c r="C7" s="10">
        <f>E7*20000</f>
        <v>40000</v>
      </c>
      <c r="D7" s="11"/>
      <c r="E7" s="18">
        <v>2</v>
      </c>
      <c r="F7" s="12" t="s">
        <v>24</v>
      </c>
      <c r="G7" s="9"/>
      <c r="H7" s="9"/>
    </row>
    <row r="8" spans="1:14" ht="19" x14ac:dyDescent="0.25">
      <c r="A8" s="17">
        <f>C8/100*30*0.8*3/1000</f>
        <v>0</v>
      </c>
      <c r="B8" s="11">
        <f>C8/100*30*10</f>
        <v>0</v>
      </c>
      <c r="C8" s="10">
        <f>E8*2000</f>
        <v>0</v>
      </c>
      <c r="D8" s="11"/>
      <c r="E8" s="19">
        <v>0</v>
      </c>
      <c r="F8" s="12" t="s">
        <v>25</v>
      </c>
      <c r="G8" s="9"/>
      <c r="H8" s="9"/>
    </row>
    <row r="9" spans="1:14" ht="19" x14ac:dyDescent="0.25">
      <c r="A9" s="21">
        <f>C9/100*3*0.8*3/1000</f>
        <v>0.432</v>
      </c>
      <c r="B9" s="11">
        <f>C9/100*3*10</f>
        <v>1800</v>
      </c>
      <c r="C9" s="10">
        <f>E9*2000</f>
        <v>6000</v>
      </c>
      <c r="D9" s="11"/>
      <c r="E9" s="19">
        <v>3</v>
      </c>
      <c r="F9" s="12" t="s">
        <v>26</v>
      </c>
      <c r="G9" s="9"/>
      <c r="H9" s="9"/>
      <c r="L9" s="13" t="s">
        <v>29</v>
      </c>
      <c r="N9" s="11" t="s">
        <v>66</v>
      </c>
    </row>
    <row r="10" spans="1:14" ht="19" x14ac:dyDescent="0.25">
      <c r="A10" s="21">
        <f>C10/100*D10*0.8*3/1000 + N10*6/L10</f>
        <v>6.66</v>
      </c>
      <c r="B10" s="11">
        <f>C10*D10/100*10</f>
        <v>24000</v>
      </c>
      <c r="C10" s="19">
        <v>30000</v>
      </c>
      <c r="D10" s="19">
        <v>8</v>
      </c>
      <c r="E10" s="11" t="s">
        <v>7</v>
      </c>
      <c r="F10" s="12" t="s">
        <v>10</v>
      </c>
      <c r="G10" s="9"/>
      <c r="H10" s="9"/>
      <c r="L10" s="79">
        <f>IF(C10=0,100,200000/C10)</f>
        <v>6.666666666666667</v>
      </c>
      <c r="N10" s="1">
        <f>IF(C10=0,0,IF(D10=0,0,1))</f>
        <v>1</v>
      </c>
    </row>
    <row r="11" spans="1:14" ht="19" x14ac:dyDescent="0.25">
      <c r="A11" s="21">
        <f>C11/100*D11*0.08/1000 + N11*12/L11</f>
        <v>0</v>
      </c>
      <c r="B11" s="11">
        <f>C11*D11/100</f>
        <v>0</v>
      </c>
      <c r="C11" s="19">
        <v>0</v>
      </c>
      <c r="D11" s="19">
        <v>25</v>
      </c>
      <c r="E11" s="11" t="s">
        <v>8</v>
      </c>
      <c r="F11" s="12" t="s">
        <v>28</v>
      </c>
      <c r="G11" s="9"/>
      <c r="H11" s="9"/>
      <c r="L11" s="80">
        <f>IF(C11=0,100,200000/C11)</f>
        <v>100</v>
      </c>
      <c r="N11" s="1">
        <f>IF(C11=0,0,IF(D11=0,0,1))</f>
        <v>0</v>
      </c>
    </row>
    <row r="12" spans="1:14" ht="19" x14ac:dyDescent="0.25">
      <c r="A12" s="21">
        <f>C12/100*D12*0.08/1000 + N12*6/L12</f>
        <v>0</v>
      </c>
      <c r="B12" s="11">
        <f>C12*D12/100</f>
        <v>0</v>
      </c>
      <c r="C12" s="19">
        <v>0</v>
      </c>
      <c r="D12" s="19">
        <v>20</v>
      </c>
      <c r="E12" s="11" t="s">
        <v>8</v>
      </c>
      <c r="F12" s="12" t="s">
        <v>40</v>
      </c>
      <c r="G12" s="9"/>
      <c r="H12" s="9"/>
      <c r="L12" s="80">
        <f>IF(C12=0,100,200000/C12)</f>
        <v>100</v>
      </c>
      <c r="N12" s="1">
        <f>IF(C12=0,0,IF(D12=0,0,1))</f>
        <v>0</v>
      </c>
    </row>
    <row r="13" spans="1:14" ht="19" x14ac:dyDescent="0.25">
      <c r="A13" s="21">
        <f>C13/100*D13*0.08/1000 + N13*2/L13</f>
        <v>0</v>
      </c>
      <c r="B13" s="11">
        <f>C13*D13/100</f>
        <v>0</v>
      </c>
      <c r="C13" s="19">
        <v>0</v>
      </c>
      <c r="D13" s="19">
        <v>6</v>
      </c>
      <c r="E13" s="11" t="s">
        <v>8</v>
      </c>
      <c r="F13" s="12" t="s">
        <v>27</v>
      </c>
      <c r="G13" s="9"/>
      <c r="H13" s="9"/>
      <c r="L13" s="80">
        <f>IF(C13=0,100,200000/C13)</f>
        <v>100</v>
      </c>
      <c r="N13" s="1">
        <f>IF(C13=0,0,IF(D13=0,0,1))</f>
        <v>0</v>
      </c>
    </row>
    <row r="14" spans="1:14" ht="19" x14ac:dyDescent="0.25">
      <c r="A14" s="21">
        <f>C14/100*D14*0.08/1000 + N14*0.2/L14</f>
        <v>0</v>
      </c>
      <c r="B14" s="11">
        <f>C14*D14/100</f>
        <v>0</v>
      </c>
      <c r="C14" s="19">
        <v>0</v>
      </c>
      <c r="D14" s="19">
        <v>0.2</v>
      </c>
      <c r="E14" s="11" t="s">
        <v>8</v>
      </c>
      <c r="F14" s="12" t="s">
        <v>9</v>
      </c>
      <c r="G14" s="9"/>
      <c r="H14" s="9"/>
      <c r="L14" s="80">
        <f>IF(C14=0,100,100000/C14)</f>
        <v>100</v>
      </c>
      <c r="N14" s="1">
        <f>IF(C14=0,0,IF(D14=0,0,1))</f>
        <v>0</v>
      </c>
    </row>
    <row r="15" spans="1:14" x14ac:dyDescent="0.2">
      <c r="A15" s="1"/>
      <c r="B15" s="1"/>
      <c r="C15" s="1"/>
      <c r="D15" s="1"/>
    </row>
    <row r="16" spans="1:14" ht="21" x14ac:dyDescent="0.2">
      <c r="A16" s="78" t="s">
        <v>19</v>
      </c>
      <c r="C16" s="1"/>
      <c r="D16" s="1"/>
    </row>
    <row r="17" spans="1:12" ht="19" x14ac:dyDescent="0.25">
      <c r="A17" s="11" t="s">
        <v>0</v>
      </c>
      <c r="B17" s="11" t="s">
        <v>1</v>
      </c>
      <c r="C17" s="11" t="s">
        <v>11</v>
      </c>
      <c r="D17" s="13" t="s">
        <v>99</v>
      </c>
      <c r="E17" s="11" t="s">
        <v>13</v>
      </c>
      <c r="F17" s="11" t="s">
        <v>12</v>
      </c>
      <c r="G17" s="11" t="s">
        <v>14</v>
      </c>
      <c r="H17" s="9"/>
      <c r="I17" s="9"/>
      <c r="J17" s="9"/>
    </row>
    <row r="18" spans="1:12" ht="19" x14ac:dyDescent="0.25">
      <c r="A18" s="21">
        <f>B18*G18/1000</f>
        <v>0.28000000000000003</v>
      </c>
      <c r="B18" s="11">
        <f>C18*F18</f>
        <v>3500</v>
      </c>
      <c r="C18" s="19">
        <v>50</v>
      </c>
      <c r="D18" s="19" t="s">
        <v>16</v>
      </c>
      <c r="E18" s="19" t="s">
        <v>65</v>
      </c>
      <c r="F18" s="11">
        <f>IF(D18="G",600,IF(D18="F",400,IF(D18="E",300,IF(D18="D",200,IF(D18="C",120,IF(D18="B",70,IF(D18="A",35,200)))))))</f>
        <v>70</v>
      </c>
      <c r="G18" s="11">
        <f>IF(E18="Fioul",0.3,IF(E18="Electricité",0.08,IF(E18="PAC",0.03,IF(E18="Gaz",0.3,IF(E18="Bois",0.3,IF(E18="B",70,IF(E18="A",35,0.3)))))))</f>
        <v>0.08</v>
      </c>
      <c r="H18" s="15"/>
      <c r="I18" s="11"/>
      <c r="J18" s="11"/>
    </row>
    <row r="19" spans="1:12" ht="19" x14ac:dyDescent="0.25">
      <c r="A19" s="8"/>
      <c r="B19" s="9"/>
      <c r="C19" s="9"/>
      <c r="D19" s="9"/>
      <c r="E19" s="9"/>
      <c r="F19" s="9"/>
      <c r="G19" s="9"/>
      <c r="H19" s="12"/>
      <c r="I19" s="11"/>
      <c r="J19" s="11"/>
    </row>
    <row r="20" spans="1:12" ht="21" x14ac:dyDescent="0.25">
      <c r="A20" s="5" t="s">
        <v>22</v>
      </c>
      <c r="C20" s="9"/>
      <c r="D20" s="9"/>
      <c r="E20" s="9"/>
      <c r="F20" s="9"/>
      <c r="G20" s="9"/>
      <c r="H20" s="12"/>
      <c r="I20" s="9"/>
      <c r="J20" s="9"/>
    </row>
    <row r="21" spans="1:12" ht="19" x14ac:dyDescent="0.25">
      <c r="A21" s="11" t="s">
        <v>0</v>
      </c>
      <c r="B21" s="11" t="s">
        <v>1</v>
      </c>
      <c r="C21" s="11" t="s">
        <v>70</v>
      </c>
      <c r="D21" s="11" t="s">
        <v>71</v>
      </c>
      <c r="E21" s="11" t="s">
        <v>72</v>
      </c>
      <c r="F21" s="9" t="s">
        <v>69</v>
      </c>
      <c r="G21" s="9"/>
      <c r="H21" s="9"/>
      <c r="I21" s="9"/>
      <c r="J21" s="9"/>
    </row>
    <row r="22" spans="1:12" ht="19" x14ac:dyDescent="0.25">
      <c r="A22" s="21">
        <f>F22*730*(C22*5.5+D22*1.6+E22*0.5)/1000</f>
        <v>2.5111999999999997</v>
      </c>
      <c r="B22" s="9"/>
      <c r="C22" s="19">
        <v>0.5</v>
      </c>
      <c r="D22" s="19">
        <v>0.4</v>
      </c>
      <c r="E22" s="11">
        <f>1-D22-C22</f>
        <v>9.9999999999999978E-2</v>
      </c>
      <c r="F22" s="52">
        <v>1</v>
      </c>
      <c r="J22" s="9"/>
    </row>
    <row r="23" spans="1:12" ht="19" x14ac:dyDescent="0.25">
      <c r="A23" s="8"/>
      <c r="B23" s="9"/>
      <c r="C23" s="11"/>
      <c r="D23" s="11"/>
      <c r="E23" s="11"/>
      <c r="F23" s="9"/>
      <c r="I23" s="9"/>
      <c r="J23" s="9"/>
    </row>
    <row r="24" spans="1:12" ht="21" x14ac:dyDescent="0.25">
      <c r="A24" s="77" t="s">
        <v>98</v>
      </c>
      <c r="B24" s="9"/>
      <c r="C24" s="11"/>
      <c r="D24" s="11"/>
      <c r="E24" s="11"/>
      <c r="F24" s="9"/>
      <c r="G24" s="9"/>
      <c r="H24" s="12"/>
      <c r="I24" s="9"/>
      <c r="J24" s="9"/>
    </row>
    <row r="25" spans="1:12" ht="19" x14ac:dyDescent="0.25">
      <c r="A25" s="11">
        <f>IF(B25=1%,80,IF(B25=9%,6,IF(B25=40%,2,IF(B25=50%,1,2))))*D25</f>
        <v>1</v>
      </c>
      <c r="B25" s="27">
        <v>0.4</v>
      </c>
      <c r="C25" s="9" t="s">
        <v>97</v>
      </c>
      <c r="D25" s="22">
        <v>0.5</v>
      </c>
      <c r="E25" s="9" t="s">
        <v>96</v>
      </c>
      <c r="F25" s="71"/>
      <c r="G25" s="9"/>
      <c r="H25" s="12"/>
      <c r="I25" s="9"/>
      <c r="J25" s="9"/>
    </row>
    <row r="26" spans="1:12" ht="19" x14ac:dyDescent="0.25">
      <c r="A26" s="9"/>
      <c r="B26" s="9"/>
      <c r="C26" s="11"/>
      <c r="D26" s="11"/>
      <c r="E26" s="11"/>
      <c r="F26" s="9"/>
      <c r="G26" s="9"/>
      <c r="H26" s="12"/>
      <c r="I26" s="9"/>
      <c r="L26" s="9"/>
    </row>
    <row r="27" spans="1:12" ht="21" x14ac:dyDescent="0.25">
      <c r="A27" s="76" t="s">
        <v>38</v>
      </c>
      <c r="C27" s="1"/>
      <c r="D27" s="1"/>
      <c r="E27" s="1"/>
      <c r="G27" s="9"/>
      <c r="H27" s="14"/>
      <c r="I27" s="9"/>
      <c r="J27" s="9"/>
      <c r="K27" s="9"/>
      <c r="L27" s="9"/>
    </row>
    <row r="28" spans="1:12" ht="19" x14ac:dyDescent="0.25">
      <c r="A28" s="26">
        <f>2*0.93^(2030-Data!E4)</f>
        <v>1.2034017412151405</v>
      </c>
      <c r="C28" s="1"/>
      <c r="D28" s="1"/>
      <c r="E28" s="1"/>
      <c r="G28" s="9"/>
      <c r="H28" s="9"/>
      <c r="I28" s="9"/>
      <c r="J28" s="9"/>
      <c r="K28" s="9"/>
      <c r="L28" s="9"/>
    </row>
    <row r="29" spans="1:12" ht="19" x14ac:dyDescent="0.25">
      <c r="J29" s="9"/>
      <c r="K29" s="9"/>
      <c r="L29" s="9"/>
    </row>
    <row r="30" spans="1:12" ht="19" x14ac:dyDescent="0.25">
      <c r="J30" s="9"/>
      <c r="K30" s="9"/>
      <c r="L30" s="9"/>
    </row>
    <row r="31" spans="1:12" ht="19" x14ac:dyDescent="0.25">
      <c r="J31" s="9"/>
      <c r="K31" s="9"/>
      <c r="L31" s="9"/>
    </row>
    <row r="32" spans="1:12" ht="19" x14ac:dyDescent="0.25">
      <c r="J32" s="9"/>
      <c r="K32" s="9"/>
    </row>
    <row r="54" spans="1:8" ht="19" x14ac:dyDescent="0.25">
      <c r="A54" s="9"/>
      <c r="B54" s="9"/>
      <c r="C54" s="9"/>
      <c r="D54" s="9"/>
    </row>
    <row r="63" spans="1:8" ht="19" x14ac:dyDescent="0.25">
      <c r="A63" s="9"/>
      <c r="B63" s="9"/>
      <c r="C63" s="9"/>
      <c r="D63" s="9"/>
      <c r="E63" s="9"/>
      <c r="F63" s="9"/>
      <c r="G63" s="9"/>
      <c r="H63" s="9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815F-8053-A84D-A818-E23F052673C9}">
  <dimension ref="A2:N63"/>
  <sheetViews>
    <sheetView zoomScaleNormal="100" workbookViewId="0">
      <selection activeCell="A5" sqref="A5:N14"/>
    </sheetView>
  </sheetViews>
  <sheetFormatPr baseColWidth="10" defaultRowHeight="16" x14ac:dyDescent="0.2"/>
  <cols>
    <col min="1" max="1" width="12.6640625" customWidth="1"/>
    <col min="5" max="5" width="13" customWidth="1"/>
    <col min="6" max="6" width="13.33203125" customWidth="1"/>
    <col min="7" max="7" width="17.83203125" customWidth="1"/>
  </cols>
  <sheetData>
    <row r="2" spans="1:14" ht="24" x14ac:dyDescent="0.25">
      <c r="A2" s="7" t="s">
        <v>39</v>
      </c>
      <c r="C2" s="24" t="s">
        <v>75</v>
      </c>
      <c r="D2" s="23"/>
      <c r="E2" s="23"/>
      <c r="F2" s="23"/>
      <c r="G2" s="23"/>
      <c r="H2" s="23"/>
    </row>
    <row r="3" spans="1:14" ht="24" x14ac:dyDescent="0.2">
      <c r="A3" s="7"/>
    </row>
    <row r="4" spans="1:14" ht="21" x14ac:dyDescent="0.2">
      <c r="A4" s="57" t="s">
        <v>15</v>
      </c>
    </row>
    <row r="5" spans="1:14" ht="19" customHeight="1" x14ac:dyDescent="0.25">
      <c r="A5" s="10" t="s">
        <v>0</v>
      </c>
      <c r="B5" s="11" t="s">
        <v>1</v>
      </c>
      <c r="C5" s="11" t="s">
        <v>2</v>
      </c>
    </row>
    <row r="6" spans="1:14" ht="19" x14ac:dyDescent="0.25">
      <c r="A6" s="17">
        <f>C6/100*30*0.8*3/1000</f>
        <v>0</v>
      </c>
      <c r="B6" s="11">
        <f>C6/100*30*10</f>
        <v>0</v>
      </c>
      <c r="C6" s="10">
        <f>E6*20000</f>
        <v>0</v>
      </c>
      <c r="D6" s="1"/>
      <c r="E6" s="18">
        <v>0</v>
      </c>
      <c r="F6" s="12" t="s">
        <v>23</v>
      </c>
      <c r="G6" s="9"/>
      <c r="H6" s="9"/>
    </row>
    <row r="7" spans="1:14" ht="19" x14ac:dyDescent="0.25">
      <c r="A7" s="21">
        <f>C7/100*3*0.8*3/1000</f>
        <v>2.88</v>
      </c>
      <c r="B7" s="11">
        <f>C7/100*3*10</f>
        <v>12000</v>
      </c>
      <c r="C7" s="10">
        <f>E7*20000</f>
        <v>40000</v>
      </c>
      <c r="D7" s="11"/>
      <c r="E7" s="18">
        <v>2</v>
      </c>
      <c r="F7" s="12" t="s">
        <v>24</v>
      </c>
      <c r="G7" s="9"/>
      <c r="H7" s="9"/>
    </row>
    <row r="8" spans="1:14" ht="19" x14ac:dyDescent="0.25">
      <c r="A8" s="17">
        <f>C8/100*30*0.8*3/1000</f>
        <v>0</v>
      </c>
      <c r="B8" s="11">
        <f>C8/100*30*10</f>
        <v>0</v>
      </c>
      <c r="C8" s="10">
        <f>E8*2000</f>
        <v>0</v>
      </c>
      <c r="D8" s="11"/>
      <c r="E8" s="19">
        <v>0</v>
      </c>
      <c r="F8" s="12" t="s">
        <v>25</v>
      </c>
      <c r="G8" s="9"/>
      <c r="H8" s="9"/>
    </row>
    <row r="9" spans="1:14" ht="19" x14ac:dyDescent="0.25">
      <c r="A9" s="21">
        <f>C9/100*3*0.8*3/1000</f>
        <v>0.432</v>
      </c>
      <c r="B9" s="11">
        <f>C9/100*3*10</f>
        <v>1800</v>
      </c>
      <c r="C9" s="10">
        <f>E9*2000</f>
        <v>6000</v>
      </c>
      <c r="D9" s="11"/>
      <c r="E9" s="19">
        <v>3</v>
      </c>
      <c r="F9" s="12" t="s">
        <v>26</v>
      </c>
      <c r="G9" s="9"/>
      <c r="H9" s="9"/>
      <c r="L9" s="13" t="s">
        <v>29</v>
      </c>
      <c r="N9" s="11" t="s">
        <v>66</v>
      </c>
    </row>
    <row r="10" spans="1:14" ht="19" x14ac:dyDescent="0.25">
      <c r="A10" s="21">
        <f>C10/100*D10*0.8*3/1000 + N10*6/L10</f>
        <v>6.66</v>
      </c>
      <c r="B10" s="11">
        <f>C10*D10/100*10</f>
        <v>24000</v>
      </c>
      <c r="C10" s="19">
        <v>30000</v>
      </c>
      <c r="D10" s="19">
        <v>8</v>
      </c>
      <c r="E10" s="11" t="s">
        <v>7</v>
      </c>
      <c r="F10" s="12" t="s">
        <v>10</v>
      </c>
      <c r="G10" s="9"/>
      <c r="H10" s="9"/>
      <c r="L10" s="79">
        <f>IF(C10=0,100,200000/C10)</f>
        <v>6.666666666666667</v>
      </c>
      <c r="N10" s="1">
        <f>IF(C10=0,0,IF(D10=0,0,1))</f>
        <v>1</v>
      </c>
    </row>
    <row r="11" spans="1:14" ht="19" x14ac:dyDescent="0.25">
      <c r="A11" s="21">
        <f>C11/100*D11*0.08/1000 + N11*12/L11</f>
        <v>0</v>
      </c>
      <c r="B11" s="11">
        <f>C11*D11/100</f>
        <v>0</v>
      </c>
      <c r="C11" s="19">
        <v>0</v>
      </c>
      <c r="D11" s="19">
        <v>25</v>
      </c>
      <c r="E11" s="11" t="s">
        <v>8</v>
      </c>
      <c r="F11" s="12" t="s">
        <v>28</v>
      </c>
      <c r="G11" s="9"/>
      <c r="H11" s="9"/>
      <c r="L11" s="80">
        <f>IF(C11=0,100,200000/C11)</f>
        <v>100</v>
      </c>
      <c r="N11" s="1">
        <f>IF(C11=0,0,IF(D11=0,0,1))</f>
        <v>0</v>
      </c>
    </row>
    <row r="12" spans="1:14" ht="19" x14ac:dyDescent="0.25">
      <c r="A12" s="21">
        <f>C12/100*D12*0.08/1000 + N12*6/L12</f>
        <v>0</v>
      </c>
      <c r="B12" s="11">
        <f>C12*D12/100</f>
        <v>0</v>
      </c>
      <c r="C12" s="19">
        <v>0</v>
      </c>
      <c r="D12" s="19">
        <v>20</v>
      </c>
      <c r="E12" s="11" t="s">
        <v>8</v>
      </c>
      <c r="F12" s="12" t="s">
        <v>40</v>
      </c>
      <c r="G12" s="9"/>
      <c r="H12" s="9"/>
      <c r="L12" s="80">
        <f>IF(C12=0,100,200000/C12)</f>
        <v>100</v>
      </c>
      <c r="N12" s="1">
        <f>IF(C12=0,0,IF(D12=0,0,1))</f>
        <v>0</v>
      </c>
    </row>
    <row r="13" spans="1:14" ht="19" x14ac:dyDescent="0.25">
      <c r="A13" s="21">
        <f>C13/100*D13*0.08/1000 + N13*2/L13</f>
        <v>0</v>
      </c>
      <c r="B13" s="11">
        <f>C13*D13/100</f>
        <v>0</v>
      </c>
      <c r="C13" s="19">
        <v>0</v>
      </c>
      <c r="D13" s="19">
        <v>6</v>
      </c>
      <c r="E13" s="11" t="s">
        <v>8</v>
      </c>
      <c r="F13" s="12" t="s">
        <v>27</v>
      </c>
      <c r="G13" s="9"/>
      <c r="H13" s="9"/>
      <c r="L13" s="80">
        <f>IF(C13=0,100,200000/C13)</f>
        <v>100</v>
      </c>
      <c r="N13" s="1">
        <f>IF(C13=0,0,IF(D13=0,0,1))</f>
        <v>0</v>
      </c>
    </row>
    <row r="14" spans="1:14" ht="19" x14ac:dyDescent="0.25">
      <c r="A14" s="21">
        <f>C14/100*D14*0.08/1000 + N14*0.2/L14</f>
        <v>0</v>
      </c>
      <c r="B14" s="11">
        <f>C14*D14/100</f>
        <v>0</v>
      </c>
      <c r="C14" s="19">
        <v>0</v>
      </c>
      <c r="D14" s="19">
        <v>0.2</v>
      </c>
      <c r="E14" s="11" t="s">
        <v>8</v>
      </c>
      <c r="F14" s="12" t="s">
        <v>9</v>
      </c>
      <c r="G14" s="9"/>
      <c r="H14" s="9"/>
      <c r="L14" s="80">
        <f>IF(C14=0,100,100000/C14)</f>
        <v>100</v>
      </c>
      <c r="N14" s="1">
        <f>IF(C14=0,0,IF(D14=0,0,1))</f>
        <v>0</v>
      </c>
    </row>
    <row r="15" spans="1:14" x14ac:dyDescent="0.2">
      <c r="A15" s="1"/>
      <c r="B15" s="1"/>
      <c r="C15" s="1"/>
      <c r="D15" s="1"/>
    </row>
    <row r="16" spans="1:14" ht="21" x14ac:dyDescent="0.2">
      <c r="A16" s="78" t="s">
        <v>19</v>
      </c>
      <c r="C16" s="1"/>
      <c r="D16" s="1"/>
    </row>
    <row r="17" spans="1:12" ht="19" x14ac:dyDescent="0.25">
      <c r="A17" s="11" t="s">
        <v>0</v>
      </c>
      <c r="B17" s="11" t="s">
        <v>1</v>
      </c>
      <c r="C17" s="11" t="s">
        <v>11</v>
      </c>
      <c r="D17" s="13" t="s">
        <v>99</v>
      </c>
      <c r="E17" s="11" t="s">
        <v>13</v>
      </c>
      <c r="F17" s="11" t="s">
        <v>12</v>
      </c>
      <c r="G17" s="11" t="s">
        <v>14</v>
      </c>
      <c r="H17" s="9"/>
      <c r="I17" s="9"/>
      <c r="J17" s="9"/>
    </row>
    <row r="18" spans="1:12" ht="19" x14ac:dyDescent="0.25">
      <c r="A18" s="21">
        <f>B18*G18/1000</f>
        <v>0.105</v>
      </c>
      <c r="B18" s="11">
        <f>C18*F18</f>
        <v>3500</v>
      </c>
      <c r="C18" s="19">
        <v>50</v>
      </c>
      <c r="D18" s="19" t="s">
        <v>16</v>
      </c>
      <c r="E18" s="19" t="s">
        <v>17</v>
      </c>
      <c r="F18" s="11">
        <f>IF(D18="G",600,IF(D18="F",400,IF(D18="E",300,IF(D18="D",200,IF(D18="C",120,IF(D18="B",70,IF(D18="A",35,200)))))))</f>
        <v>70</v>
      </c>
      <c r="G18" s="11">
        <f>IF(E18="Fioul",0.3,IF(E18="Electricité",0.08,IF(E18="PAC",0.03,IF(E18="Gaz",0.3,IF(E18="Bois",0.3,IF(E18="B",70,IF(E18="A",35,0.3)))))))</f>
        <v>0.03</v>
      </c>
      <c r="H18" s="15"/>
      <c r="I18" s="11"/>
      <c r="J18" s="11"/>
    </row>
    <row r="19" spans="1:12" ht="19" x14ac:dyDescent="0.25">
      <c r="A19" s="8"/>
      <c r="B19" s="9"/>
      <c r="C19" s="9"/>
      <c r="D19" s="9"/>
      <c r="E19" s="9"/>
      <c r="F19" s="9"/>
      <c r="G19" s="9"/>
      <c r="H19" s="12"/>
      <c r="I19" s="11"/>
      <c r="J19" s="11"/>
    </row>
    <row r="20" spans="1:12" ht="21" x14ac:dyDescent="0.25">
      <c r="A20" s="5" t="s">
        <v>22</v>
      </c>
      <c r="C20" s="9"/>
      <c r="D20" s="9"/>
      <c r="E20" s="9"/>
      <c r="F20" s="9"/>
      <c r="G20" s="9"/>
      <c r="H20" s="12"/>
      <c r="I20" s="9"/>
      <c r="J20" s="9"/>
    </row>
    <row r="21" spans="1:12" ht="19" x14ac:dyDescent="0.25">
      <c r="A21" s="11" t="s">
        <v>0</v>
      </c>
      <c r="B21" s="11" t="s">
        <v>1</v>
      </c>
      <c r="C21" s="11" t="s">
        <v>70</v>
      </c>
      <c r="D21" s="11" t="s">
        <v>71</v>
      </c>
      <c r="E21" s="11" t="s">
        <v>72</v>
      </c>
      <c r="F21" s="9" t="s">
        <v>69</v>
      </c>
      <c r="G21" s="9"/>
      <c r="H21" s="9"/>
      <c r="I21" s="9"/>
      <c r="J21" s="9"/>
    </row>
    <row r="22" spans="1:12" ht="19" x14ac:dyDescent="0.25">
      <c r="A22" s="21">
        <f>F22*730*(C22*5.5+D22*1.6+E22*0.5)/1000</f>
        <v>1.2555999999999998</v>
      </c>
      <c r="B22" s="9"/>
      <c r="C22" s="19">
        <v>0.5</v>
      </c>
      <c r="D22" s="19">
        <v>0.4</v>
      </c>
      <c r="E22" s="11">
        <f>1-D22-C22</f>
        <v>9.9999999999999978E-2</v>
      </c>
      <c r="F22" s="52">
        <v>0.5</v>
      </c>
      <c r="J22" s="9"/>
    </row>
    <row r="23" spans="1:12" ht="19" x14ac:dyDescent="0.25">
      <c r="A23" s="8"/>
      <c r="B23" s="9"/>
      <c r="C23" s="11"/>
      <c r="D23" s="11"/>
      <c r="E23" s="11"/>
      <c r="F23" s="9"/>
      <c r="I23" s="9"/>
      <c r="J23" s="9"/>
    </row>
    <row r="24" spans="1:12" ht="21" x14ac:dyDescent="0.25">
      <c r="A24" s="77" t="s">
        <v>98</v>
      </c>
      <c r="B24" s="9"/>
      <c r="C24" s="11"/>
      <c r="D24" s="11"/>
      <c r="E24" s="11"/>
      <c r="F24" s="9"/>
      <c r="G24" s="9"/>
      <c r="H24" s="12"/>
      <c r="I24" s="9"/>
      <c r="J24" s="9"/>
    </row>
    <row r="25" spans="1:12" ht="19" x14ac:dyDescent="0.25">
      <c r="A25" s="11">
        <f>IF(B25=1%,80,IF(B25=9%,6,IF(B25=40%,2,IF(B25=50%,1,2))))*D25</f>
        <v>0.5</v>
      </c>
      <c r="B25" s="27">
        <v>0.4</v>
      </c>
      <c r="C25" s="9" t="s">
        <v>97</v>
      </c>
      <c r="D25" s="22">
        <v>0.25</v>
      </c>
      <c r="E25" s="9" t="s">
        <v>96</v>
      </c>
      <c r="F25" s="71"/>
      <c r="G25" s="9"/>
      <c r="H25" s="12"/>
      <c r="I25" s="9"/>
      <c r="J25" s="9"/>
    </row>
    <row r="26" spans="1:12" ht="19" x14ac:dyDescent="0.25">
      <c r="A26" s="9"/>
      <c r="B26" s="9"/>
      <c r="C26" s="11"/>
      <c r="D26" s="11"/>
      <c r="E26" s="11"/>
      <c r="F26" s="9"/>
      <c r="G26" s="9"/>
      <c r="H26" s="12"/>
      <c r="I26" s="9"/>
      <c r="L26" s="9"/>
    </row>
    <row r="27" spans="1:12" ht="21" x14ac:dyDescent="0.25">
      <c r="A27" s="76" t="s">
        <v>38</v>
      </c>
      <c r="C27" s="1"/>
      <c r="D27" s="1"/>
      <c r="E27" s="1"/>
      <c r="G27" s="9"/>
      <c r="H27" s="14"/>
      <c r="I27" s="9"/>
      <c r="J27" s="9"/>
      <c r="K27" s="9"/>
      <c r="L27" s="9"/>
    </row>
    <row r="28" spans="1:12" ht="19" x14ac:dyDescent="0.25">
      <c r="A28" s="26">
        <f>'2030'!A28*0.93^10</f>
        <v>0.58242515117688287</v>
      </c>
      <c r="C28" s="1"/>
      <c r="D28" s="1"/>
      <c r="E28" s="1"/>
      <c r="G28" s="9"/>
      <c r="H28" s="9"/>
      <c r="I28" s="9"/>
      <c r="J28" s="9"/>
      <c r="K28" s="9"/>
      <c r="L28" s="9"/>
    </row>
    <row r="29" spans="1:12" ht="19" x14ac:dyDescent="0.25">
      <c r="J29" s="9"/>
      <c r="K29" s="9"/>
      <c r="L29" s="9"/>
    </row>
    <row r="30" spans="1:12" ht="19" x14ac:dyDescent="0.25">
      <c r="J30" s="9"/>
      <c r="K30" s="9"/>
      <c r="L30" s="9"/>
    </row>
    <row r="31" spans="1:12" ht="19" x14ac:dyDescent="0.25">
      <c r="J31" s="9"/>
      <c r="K31" s="9"/>
      <c r="L31" s="9"/>
    </row>
    <row r="32" spans="1:12" ht="19" x14ac:dyDescent="0.25">
      <c r="J32" s="9"/>
      <c r="K32" s="9"/>
    </row>
    <row r="54" spans="1:8" ht="19" x14ac:dyDescent="0.25">
      <c r="A54" s="9"/>
      <c r="B54" s="9"/>
      <c r="C54" s="9"/>
      <c r="D54" s="9"/>
    </row>
    <row r="63" spans="1:8" ht="19" x14ac:dyDescent="0.25">
      <c r="A63" s="9"/>
      <c r="B63" s="9"/>
      <c r="C63" s="9"/>
      <c r="D63" s="9"/>
      <c r="E63" s="9"/>
      <c r="F63" s="9"/>
      <c r="G63" s="9"/>
      <c r="H63" s="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DEFF-C087-8B47-A63C-A9E28E2EDFB3}">
  <dimension ref="A2:N63"/>
  <sheetViews>
    <sheetView tabSelected="1" zoomScaleNormal="100" workbookViewId="0">
      <selection activeCell="D36" sqref="D36"/>
    </sheetView>
  </sheetViews>
  <sheetFormatPr baseColWidth="10" defaultRowHeight="16" x14ac:dyDescent="0.2"/>
  <cols>
    <col min="1" max="1" width="12.6640625" customWidth="1"/>
    <col min="5" max="5" width="13" customWidth="1"/>
    <col min="6" max="6" width="13.33203125" customWidth="1"/>
    <col min="7" max="7" width="17.83203125" customWidth="1"/>
  </cols>
  <sheetData>
    <row r="2" spans="1:14" ht="24" x14ac:dyDescent="0.25">
      <c r="A2" s="7" t="s">
        <v>39</v>
      </c>
      <c r="C2" s="24" t="s">
        <v>75</v>
      </c>
      <c r="D2" s="23"/>
      <c r="E2" s="23"/>
      <c r="F2" s="23"/>
      <c r="G2" s="23"/>
      <c r="H2" s="23"/>
    </row>
    <row r="3" spans="1:14" ht="24" x14ac:dyDescent="0.2">
      <c r="A3" s="7"/>
    </row>
    <row r="4" spans="1:14" ht="21" x14ac:dyDescent="0.2">
      <c r="A4" s="57" t="s">
        <v>15</v>
      </c>
    </row>
    <row r="5" spans="1:14" ht="19" customHeight="1" x14ac:dyDescent="0.25">
      <c r="A5" s="10" t="s">
        <v>0</v>
      </c>
      <c r="B5" s="11" t="s">
        <v>1</v>
      </c>
      <c r="C5" s="11" t="s">
        <v>2</v>
      </c>
    </row>
    <row r="6" spans="1:14" ht="19" x14ac:dyDescent="0.25">
      <c r="A6" s="17">
        <f>C6/100*30*0.8*3/1000</f>
        <v>0</v>
      </c>
      <c r="B6" s="11">
        <f>C6/100*30*10</f>
        <v>0</v>
      </c>
      <c r="C6" s="10">
        <f>E6*20000</f>
        <v>0</v>
      </c>
      <c r="D6" s="1"/>
      <c r="E6" s="18">
        <v>0</v>
      </c>
      <c r="F6" s="12" t="s">
        <v>23</v>
      </c>
      <c r="G6" s="9"/>
      <c r="H6" s="9"/>
    </row>
    <row r="7" spans="1:14" ht="19" x14ac:dyDescent="0.25">
      <c r="A7" s="21">
        <f>C7/100*3*0.8*3/1000</f>
        <v>2.88</v>
      </c>
      <c r="B7" s="11">
        <f>C7/100*3*10</f>
        <v>12000</v>
      </c>
      <c r="C7" s="10">
        <f>E7*20000</f>
        <v>40000</v>
      </c>
      <c r="D7" s="11"/>
      <c r="E7" s="18">
        <v>2</v>
      </c>
      <c r="F7" s="12" t="s">
        <v>24</v>
      </c>
      <c r="G7" s="9"/>
      <c r="H7" s="9"/>
    </row>
    <row r="8" spans="1:14" ht="19" x14ac:dyDescent="0.25">
      <c r="A8" s="17">
        <f>C8/100*30*0.8*3/1000</f>
        <v>0</v>
      </c>
      <c r="B8" s="11">
        <f>C8/100*30*10</f>
        <v>0</v>
      </c>
      <c r="C8" s="10">
        <f>E8*2000</f>
        <v>0</v>
      </c>
      <c r="D8" s="11"/>
      <c r="E8" s="19">
        <v>0</v>
      </c>
      <c r="F8" s="12" t="s">
        <v>25</v>
      </c>
      <c r="G8" s="9"/>
      <c r="H8" s="9"/>
    </row>
    <row r="9" spans="1:14" ht="19" x14ac:dyDescent="0.25">
      <c r="A9" s="21">
        <f>C9/100*3*0.8*3/1000</f>
        <v>0.432</v>
      </c>
      <c r="B9" s="11">
        <f>C9/100*3*10</f>
        <v>1800</v>
      </c>
      <c r="C9" s="10">
        <f>E9*2000</f>
        <v>6000</v>
      </c>
      <c r="D9" s="11"/>
      <c r="E9" s="19">
        <v>3</v>
      </c>
      <c r="F9" s="12" t="s">
        <v>26</v>
      </c>
      <c r="G9" s="9"/>
      <c r="H9" s="9"/>
      <c r="L9" s="13" t="s">
        <v>29</v>
      </c>
      <c r="N9" s="11" t="s">
        <v>66</v>
      </c>
    </row>
    <row r="10" spans="1:14" ht="19" x14ac:dyDescent="0.25">
      <c r="A10" s="21">
        <f>C10/100*D10*0.8*3/1000 + N10*6/L10</f>
        <v>6.66</v>
      </c>
      <c r="B10" s="11">
        <f>C10*D10/100*10</f>
        <v>24000</v>
      </c>
      <c r="C10" s="19">
        <v>30000</v>
      </c>
      <c r="D10" s="19">
        <v>8</v>
      </c>
      <c r="E10" s="11" t="s">
        <v>7</v>
      </c>
      <c r="F10" s="12" t="s">
        <v>10</v>
      </c>
      <c r="G10" s="9"/>
      <c r="H10" s="9"/>
      <c r="L10" s="79">
        <f>IF(C10=0,100,200000/C10)</f>
        <v>6.666666666666667</v>
      </c>
      <c r="N10" s="1">
        <f>IF(C10=0,0,IF(D10=0,0,1))</f>
        <v>1</v>
      </c>
    </row>
    <row r="11" spans="1:14" ht="19" x14ac:dyDescent="0.25">
      <c r="A11" s="21">
        <f>C11/100*D11*0.08/1000 + N11*12/L11</f>
        <v>0</v>
      </c>
      <c r="B11" s="11">
        <f>C11*D11/100</f>
        <v>0</v>
      </c>
      <c r="C11" s="19">
        <v>0</v>
      </c>
      <c r="D11" s="19">
        <v>25</v>
      </c>
      <c r="E11" s="11" t="s">
        <v>8</v>
      </c>
      <c r="F11" s="12" t="s">
        <v>28</v>
      </c>
      <c r="G11" s="9"/>
      <c r="H11" s="9"/>
      <c r="L11" s="80">
        <f>IF(C11=0,100,200000/C11)</f>
        <v>100</v>
      </c>
      <c r="N11" s="1">
        <f>IF(C11=0,0,IF(D11=0,0,1))</f>
        <v>0</v>
      </c>
    </row>
    <row r="12" spans="1:14" ht="19" x14ac:dyDescent="0.25">
      <c r="A12" s="21">
        <f>C12/100*D12*0.08/1000 + N12*6/L12</f>
        <v>0</v>
      </c>
      <c r="B12" s="11">
        <f>C12*D12/100</f>
        <v>0</v>
      </c>
      <c r="C12" s="19">
        <v>0</v>
      </c>
      <c r="D12" s="19">
        <v>20</v>
      </c>
      <c r="E12" s="11" t="s">
        <v>8</v>
      </c>
      <c r="F12" s="12" t="s">
        <v>40</v>
      </c>
      <c r="G12" s="9"/>
      <c r="H12" s="9"/>
      <c r="L12" s="80">
        <f>IF(C12=0,100,200000/C12)</f>
        <v>100</v>
      </c>
      <c r="N12" s="1">
        <f>IF(C12=0,0,IF(D12=0,0,1))</f>
        <v>0</v>
      </c>
    </row>
    <row r="13" spans="1:14" ht="19" x14ac:dyDescent="0.25">
      <c r="A13" s="21">
        <f>C13/100*D13*0.08/1000 + N13*2/L13</f>
        <v>0</v>
      </c>
      <c r="B13" s="11">
        <f>C13*D13/100</f>
        <v>0</v>
      </c>
      <c r="C13" s="19">
        <v>0</v>
      </c>
      <c r="D13" s="19">
        <v>6</v>
      </c>
      <c r="E13" s="11" t="s">
        <v>8</v>
      </c>
      <c r="F13" s="12" t="s">
        <v>27</v>
      </c>
      <c r="G13" s="9"/>
      <c r="H13" s="9"/>
      <c r="L13" s="80">
        <f>IF(C13=0,100,200000/C13)</f>
        <v>100</v>
      </c>
      <c r="N13" s="1">
        <f>IF(C13=0,0,IF(D13=0,0,1))</f>
        <v>0</v>
      </c>
    </row>
    <row r="14" spans="1:14" ht="19" x14ac:dyDescent="0.25">
      <c r="A14" s="21">
        <f>C14/100*D14*0.08/1000 + N14*0.2/L14</f>
        <v>0</v>
      </c>
      <c r="B14" s="11">
        <f>C14*D14/100</f>
        <v>0</v>
      </c>
      <c r="C14" s="19">
        <v>0</v>
      </c>
      <c r="D14" s="19">
        <v>0.2</v>
      </c>
      <c r="E14" s="11" t="s">
        <v>8</v>
      </c>
      <c r="F14" s="12" t="s">
        <v>9</v>
      </c>
      <c r="G14" s="9"/>
      <c r="H14" s="9"/>
      <c r="L14" s="80">
        <f>IF(C14=0,100,100000/C14)</f>
        <v>100</v>
      </c>
      <c r="N14" s="1">
        <f>IF(C14=0,0,IF(D14=0,0,1))</f>
        <v>0</v>
      </c>
    </row>
    <row r="15" spans="1:14" x14ac:dyDescent="0.2">
      <c r="A15" s="1"/>
      <c r="B15" s="1"/>
      <c r="C15" s="1"/>
      <c r="D15" s="1"/>
    </row>
    <row r="16" spans="1:14" ht="21" x14ac:dyDescent="0.2">
      <c r="A16" s="78" t="s">
        <v>19</v>
      </c>
      <c r="C16" s="1"/>
      <c r="D16" s="1"/>
    </row>
    <row r="17" spans="1:12" ht="19" x14ac:dyDescent="0.25">
      <c r="A17" s="11" t="s">
        <v>0</v>
      </c>
      <c r="B17" s="11" t="s">
        <v>1</v>
      </c>
      <c r="C17" s="11" t="s">
        <v>11</v>
      </c>
      <c r="D17" s="13" t="s">
        <v>99</v>
      </c>
      <c r="E17" s="11" t="s">
        <v>13</v>
      </c>
      <c r="F17" s="11" t="s">
        <v>12</v>
      </c>
      <c r="G17" s="11" t="s">
        <v>14</v>
      </c>
      <c r="H17" s="9"/>
      <c r="I17" s="9"/>
      <c r="J17" s="9"/>
    </row>
    <row r="18" spans="1:12" ht="19" x14ac:dyDescent="0.25">
      <c r="A18" s="21">
        <f>B18*G18/1000</f>
        <v>3.15E-2</v>
      </c>
      <c r="B18" s="11">
        <f>C18*F18</f>
        <v>1050</v>
      </c>
      <c r="C18" s="19">
        <v>30</v>
      </c>
      <c r="D18" s="19" t="s">
        <v>67</v>
      </c>
      <c r="E18" s="19" t="s">
        <v>17</v>
      </c>
      <c r="F18" s="11">
        <f>IF(D18="G",600,IF(D18="F",400,IF(D18="E",300,IF(D18="D",200,IF(D18="C",120,IF(D18="B",70,IF(D18="A",35,200)))))))</f>
        <v>35</v>
      </c>
      <c r="G18" s="11">
        <f>IF(E18="Fioul",0.3,IF(E18="Electricité",0.08,IF(E18="PAC",0.03,IF(E18="Gaz",0.3,IF(E18="Bois",0.3,IF(E18="B",70,IF(E18="A",35,0.3)))))))</f>
        <v>0.03</v>
      </c>
      <c r="H18" s="15"/>
      <c r="I18" s="11"/>
      <c r="J18" s="11"/>
    </row>
    <row r="19" spans="1:12" ht="19" x14ac:dyDescent="0.25">
      <c r="A19" s="8"/>
      <c r="B19" s="9"/>
      <c r="C19" s="9"/>
      <c r="D19" s="9"/>
      <c r="E19" s="9"/>
      <c r="F19" s="9"/>
      <c r="G19" s="9"/>
      <c r="H19" s="12"/>
      <c r="I19" s="11"/>
      <c r="J19" s="11"/>
    </row>
    <row r="20" spans="1:12" ht="21" x14ac:dyDescent="0.25">
      <c r="A20" s="5" t="s">
        <v>22</v>
      </c>
      <c r="C20" s="9"/>
      <c r="D20" s="9"/>
      <c r="E20" s="9"/>
      <c r="F20" s="9"/>
      <c r="G20" s="9"/>
      <c r="H20" s="12"/>
      <c r="I20" s="9"/>
      <c r="J20" s="9"/>
    </row>
    <row r="21" spans="1:12" ht="19" x14ac:dyDescent="0.25">
      <c r="A21" s="11" t="s">
        <v>0</v>
      </c>
      <c r="B21" s="11" t="s">
        <v>1</v>
      </c>
      <c r="C21" s="11" t="s">
        <v>70</v>
      </c>
      <c r="D21" s="11" t="s">
        <v>71</v>
      </c>
      <c r="E21" s="11" t="s">
        <v>72</v>
      </c>
      <c r="F21" s="9" t="s">
        <v>69</v>
      </c>
      <c r="G21" s="9"/>
      <c r="H21" s="9"/>
      <c r="I21" s="9"/>
      <c r="J21" s="9"/>
    </row>
    <row r="22" spans="1:12" ht="19" x14ac:dyDescent="0.25">
      <c r="A22" s="21">
        <f>F22*730*(C22*5.5+D22*1.6+E22*0.5)/1000</f>
        <v>0.44530000000000008</v>
      </c>
      <c r="B22" s="9"/>
      <c r="C22" s="19">
        <v>0.1</v>
      </c>
      <c r="D22" s="19">
        <v>0.2</v>
      </c>
      <c r="E22" s="11">
        <f>1-D22-C22</f>
        <v>0.70000000000000007</v>
      </c>
      <c r="F22" s="52">
        <v>0.5</v>
      </c>
      <c r="J22" s="9"/>
    </row>
    <row r="23" spans="1:12" ht="19" x14ac:dyDescent="0.25">
      <c r="A23" s="8"/>
      <c r="B23" s="9"/>
      <c r="C23" s="11"/>
      <c r="D23" s="11"/>
      <c r="E23" s="11"/>
      <c r="F23" s="9"/>
      <c r="I23" s="9"/>
      <c r="J23" s="9"/>
    </row>
    <row r="24" spans="1:12" ht="21" x14ac:dyDescent="0.25">
      <c r="A24" s="77" t="s">
        <v>98</v>
      </c>
      <c r="B24" s="9"/>
      <c r="C24" s="11"/>
      <c r="D24" s="11"/>
      <c r="E24" s="11"/>
      <c r="F24" s="9"/>
      <c r="G24" s="9"/>
      <c r="H24" s="12"/>
      <c r="I24" s="9"/>
      <c r="J24" s="9"/>
    </row>
    <row r="25" spans="1:12" ht="19" x14ac:dyDescent="0.25">
      <c r="A25" s="11">
        <f>IF(B25=1%,80,IF(B25=9%,6,IF(B25=40%,2,IF(B25=50%,1,2))))*D25</f>
        <v>0.5</v>
      </c>
      <c r="B25" s="27">
        <v>0.4</v>
      </c>
      <c r="C25" s="9" t="s">
        <v>97</v>
      </c>
      <c r="D25" s="22">
        <v>0.25</v>
      </c>
      <c r="E25" s="9" t="s">
        <v>96</v>
      </c>
      <c r="H25" s="12"/>
      <c r="I25" s="9"/>
      <c r="J25" s="9"/>
    </row>
    <row r="26" spans="1:12" ht="19" x14ac:dyDescent="0.25">
      <c r="A26" s="9"/>
      <c r="B26" s="9"/>
      <c r="C26" s="11"/>
      <c r="D26" s="11"/>
      <c r="E26" s="11"/>
      <c r="F26" s="9"/>
      <c r="G26" s="9"/>
      <c r="H26" s="12"/>
      <c r="I26" s="9"/>
      <c r="L26" s="9"/>
    </row>
    <row r="27" spans="1:12" ht="21" x14ac:dyDescent="0.25">
      <c r="A27" s="76" t="s">
        <v>38</v>
      </c>
      <c r="C27" s="1"/>
      <c r="D27" s="1"/>
      <c r="E27" s="1"/>
      <c r="G27" s="9"/>
      <c r="H27" s="14"/>
      <c r="I27" s="9"/>
      <c r="J27" s="9"/>
      <c r="K27" s="9"/>
      <c r="L27" s="9"/>
    </row>
    <row r="28" spans="1:12" ht="19" x14ac:dyDescent="0.25">
      <c r="A28" s="26">
        <f>'2040'!A28*0.93^10</f>
        <v>0.28188346842583661</v>
      </c>
      <c r="C28" s="1"/>
      <c r="D28" s="1"/>
      <c r="E28" s="1"/>
      <c r="G28" s="9"/>
      <c r="H28" s="9"/>
      <c r="I28" s="9"/>
      <c r="J28" s="9"/>
      <c r="K28" s="9"/>
      <c r="L28" s="9"/>
    </row>
    <row r="29" spans="1:12" ht="19" x14ac:dyDescent="0.25">
      <c r="J29" s="9"/>
      <c r="K29" s="9"/>
      <c r="L29" s="9"/>
    </row>
    <row r="30" spans="1:12" ht="19" x14ac:dyDescent="0.25">
      <c r="J30" s="9"/>
      <c r="K30" s="9"/>
      <c r="L30" s="9"/>
    </row>
    <row r="31" spans="1:12" ht="19" x14ac:dyDescent="0.25">
      <c r="J31" s="9"/>
      <c r="K31" s="9"/>
      <c r="L31" s="9"/>
    </row>
    <row r="32" spans="1:12" ht="19" x14ac:dyDescent="0.25">
      <c r="J32" s="9"/>
      <c r="K32" s="9"/>
    </row>
    <row r="54" spans="1:8" ht="19" x14ac:dyDescent="0.25">
      <c r="A54" s="9"/>
      <c r="B54" s="9"/>
      <c r="C54" s="9"/>
      <c r="D54" s="9"/>
    </row>
    <row r="63" spans="1:8" ht="19" x14ac:dyDescent="0.25">
      <c r="A63" s="9"/>
      <c r="B63" s="9"/>
      <c r="C63" s="9"/>
      <c r="D63" s="9"/>
      <c r="E63" s="9"/>
      <c r="F63" s="9"/>
      <c r="G63" s="9"/>
      <c r="H63" s="9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CFFB-9B87-8C46-9710-42FD174CB3FE}">
  <dimension ref="A1:M30"/>
  <sheetViews>
    <sheetView workbookViewId="0">
      <selection activeCell="A19" sqref="A19"/>
    </sheetView>
  </sheetViews>
  <sheetFormatPr baseColWidth="10" defaultRowHeight="16" x14ac:dyDescent="0.2"/>
  <cols>
    <col min="1" max="1" width="14.1640625" customWidth="1"/>
    <col min="2" max="2" width="18.5" customWidth="1"/>
    <col min="3" max="3" width="14.33203125" customWidth="1"/>
    <col min="4" max="4" width="16.1640625" customWidth="1"/>
  </cols>
  <sheetData>
    <row r="1" spans="1:13" ht="21" customHeight="1" x14ac:dyDescent="0.2"/>
    <row r="2" spans="1:13" ht="21" customHeight="1" x14ac:dyDescent="0.2"/>
    <row r="3" spans="1:13" ht="30" customHeight="1" x14ac:dyDescent="0.3">
      <c r="A3" s="28" t="s">
        <v>45</v>
      </c>
      <c r="B3" s="9"/>
      <c r="C3" s="11"/>
      <c r="D3" s="11"/>
      <c r="E3" s="11"/>
      <c r="F3" s="9"/>
      <c r="G3" s="9"/>
      <c r="H3" s="9"/>
      <c r="I3" s="9"/>
      <c r="J3" s="9"/>
      <c r="K3" s="9"/>
      <c r="L3" s="9"/>
      <c r="M3" s="9"/>
    </row>
    <row r="4" spans="1:13" ht="28" customHeight="1" x14ac:dyDescent="0.25">
      <c r="A4" s="31">
        <f>Data!E4</f>
        <v>2023</v>
      </c>
      <c r="B4" s="31">
        <v>2030</v>
      </c>
      <c r="C4" s="31">
        <v>2040</v>
      </c>
      <c r="D4" s="31">
        <v>2050</v>
      </c>
      <c r="J4" s="9"/>
      <c r="K4" s="9"/>
      <c r="L4" s="9"/>
      <c r="M4" s="9"/>
    </row>
    <row r="5" spans="1:13" ht="28" customHeight="1" x14ac:dyDescent="0.25">
      <c r="A5" s="54">
        <f>SUM(Data!A6:A14)</f>
        <v>9.9719999999999995</v>
      </c>
      <c r="B5" s="54">
        <f>SUM('2030'!A6:A14)</f>
        <v>9.9719999999999995</v>
      </c>
      <c r="C5" s="54">
        <f>SUM('2040'!A6:A14)</f>
        <v>9.9719999999999995</v>
      </c>
      <c r="D5" s="54">
        <f>SUM('2050'!A6:A14)</f>
        <v>9.9719999999999995</v>
      </c>
      <c r="E5" s="56" t="s">
        <v>15</v>
      </c>
      <c r="G5" s="31"/>
      <c r="L5" s="9"/>
      <c r="M5" s="9"/>
    </row>
    <row r="6" spans="1:13" ht="28" customHeight="1" x14ac:dyDescent="0.25">
      <c r="A6" s="54">
        <f>Data!A18</f>
        <v>0.48</v>
      </c>
      <c r="B6" s="54">
        <f>'2030'!A18</f>
        <v>0.28000000000000003</v>
      </c>
      <c r="C6" s="54">
        <f>'2040'!A18</f>
        <v>0.105</v>
      </c>
      <c r="D6" s="54">
        <f>'2050'!A18</f>
        <v>3.15E-2</v>
      </c>
      <c r="E6" s="78" t="s">
        <v>19</v>
      </c>
      <c r="G6" s="4"/>
      <c r="J6" s="9"/>
      <c r="L6" s="9"/>
      <c r="M6" s="9"/>
    </row>
    <row r="7" spans="1:13" ht="28" customHeight="1" x14ac:dyDescent="0.25">
      <c r="A7" s="54">
        <f>Data!A22</f>
        <v>5.0223999999999993</v>
      </c>
      <c r="B7" s="54">
        <f>'2030'!A22</f>
        <v>2.5111999999999997</v>
      </c>
      <c r="C7" s="54">
        <f>'2040'!A22</f>
        <v>1.2555999999999998</v>
      </c>
      <c r="D7" s="54">
        <f>'2050'!A22</f>
        <v>0.44530000000000008</v>
      </c>
      <c r="E7" s="5" t="s">
        <v>20</v>
      </c>
      <c r="G7" s="20"/>
      <c r="L7" s="9"/>
      <c r="M7" s="9"/>
    </row>
    <row r="8" spans="1:13" ht="28" customHeight="1" x14ac:dyDescent="0.25">
      <c r="A8" s="54">
        <f>Data!A25</f>
        <v>2</v>
      </c>
      <c r="B8" s="54">
        <f>'2030'!A25</f>
        <v>1</v>
      </c>
      <c r="C8" s="54">
        <f>'2040'!A25</f>
        <v>0.5</v>
      </c>
      <c r="D8" s="54">
        <f>'2050'!A25</f>
        <v>0.5</v>
      </c>
      <c r="E8" s="75" t="s">
        <v>18</v>
      </c>
      <c r="G8" s="20"/>
      <c r="L8" s="9"/>
      <c r="M8" s="9"/>
    </row>
    <row r="9" spans="1:13" ht="28" customHeight="1" x14ac:dyDescent="0.25">
      <c r="A9" s="54">
        <f>Data!A28</f>
        <v>2</v>
      </c>
      <c r="B9" s="54">
        <f>'2030'!A28</f>
        <v>1.2034017412151405</v>
      </c>
      <c r="C9" s="54">
        <f>'2040'!A28</f>
        <v>0.58242515117688287</v>
      </c>
      <c r="D9" s="54">
        <f>'2050'!A28</f>
        <v>0.28188346842583661</v>
      </c>
      <c r="E9" s="76" t="s">
        <v>21</v>
      </c>
      <c r="G9" s="20"/>
      <c r="H9" s="11"/>
      <c r="L9" s="9"/>
      <c r="M9" s="9"/>
    </row>
    <row r="10" spans="1:13" ht="28" customHeight="1" x14ac:dyDescent="0.25">
      <c r="A10" s="9"/>
      <c r="G10" s="20"/>
      <c r="H10" s="11"/>
      <c r="L10" s="9"/>
      <c r="M10" s="9"/>
    </row>
    <row r="11" spans="1:13" ht="28" customHeight="1" x14ac:dyDescent="0.2"/>
    <row r="12" spans="1:13" ht="23" customHeight="1" x14ac:dyDescent="0.25">
      <c r="A12" s="65">
        <f>SUM(A5:A9)</f>
        <v>19.474399999999999</v>
      </c>
      <c r="B12" s="65">
        <f>SUM(B5:B9)</f>
        <v>14.966601741215138</v>
      </c>
      <c r="C12" s="65">
        <f>SUM(C5:C9)</f>
        <v>12.415025151176883</v>
      </c>
      <c r="D12" s="65">
        <f>SUM(D5:D9)</f>
        <v>11.230683468425836</v>
      </c>
      <c r="E12" s="33" t="s">
        <v>0</v>
      </c>
      <c r="G12" s="3" t="s">
        <v>43</v>
      </c>
      <c r="L12" s="9"/>
      <c r="M12" s="9"/>
    </row>
    <row r="13" spans="1:13" ht="21" x14ac:dyDescent="0.25">
      <c r="A13" s="33">
        <v>12</v>
      </c>
      <c r="B13" s="33">
        <v>6</v>
      </c>
      <c r="C13" s="33">
        <v>3</v>
      </c>
      <c r="D13" s="33">
        <v>1.5</v>
      </c>
      <c r="E13" s="33" t="s">
        <v>0</v>
      </c>
      <c r="G13" s="3" t="s">
        <v>42</v>
      </c>
      <c r="I13" s="9"/>
      <c r="J13" s="9"/>
      <c r="K13" s="9"/>
    </row>
    <row r="14" spans="1:13" ht="21" x14ac:dyDescent="0.25">
      <c r="A14" s="67" t="s">
        <v>41</v>
      </c>
      <c r="B14" s="67" t="s">
        <v>84</v>
      </c>
      <c r="C14" s="67" t="s">
        <v>85</v>
      </c>
      <c r="D14" s="67" t="s">
        <v>86</v>
      </c>
      <c r="G14" s="3" t="s">
        <v>88</v>
      </c>
    </row>
    <row r="15" spans="1:13" ht="19" x14ac:dyDescent="0.25">
      <c r="J15" s="9"/>
      <c r="K15" s="9"/>
      <c r="L15" s="9"/>
      <c r="M15" s="9"/>
    </row>
    <row r="16" spans="1:13" ht="19" x14ac:dyDescent="0.25">
      <c r="A16" s="9"/>
      <c r="B16" s="9"/>
      <c r="C16" s="9"/>
      <c r="D16" s="9"/>
      <c r="G16" s="9"/>
      <c r="H16" s="9"/>
      <c r="I16" s="9"/>
      <c r="J16" s="9"/>
      <c r="K16" s="9"/>
      <c r="L16" s="9"/>
      <c r="M16" s="9"/>
    </row>
    <row r="17" spans="1:13" ht="21" x14ac:dyDescent="0.25">
      <c r="A17" s="29">
        <f>A12*1000/365</f>
        <v>53.354520547945199</v>
      </c>
      <c r="B17" s="29">
        <f>B12*1000/365</f>
        <v>41.004388332096269</v>
      </c>
      <c r="C17" s="29">
        <f>C12*1000/365</f>
        <v>34.013767537470912</v>
      </c>
      <c r="D17" s="29">
        <f>D12*1000/365</f>
        <v>30.7689958039064</v>
      </c>
      <c r="E17" s="30" t="s">
        <v>94</v>
      </c>
      <c r="G17" s="3" t="s">
        <v>46</v>
      </c>
      <c r="I17" s="9"/>
      <c r="J17" s="9"/>
      <c r="K17" s="9"/>
      <c r="L17" s="9"/>
      <c r="M17" s="9"/>
    </row>
    <row r="18" spans="1:13" ht="21" x14ac:dyDescent="0.25">
      <c r="A18" s="31"/>
      <c r="B18" s="31"/>
      <c r="C18" s="31"/>
      <c r="D18" s="31"/>
      <c r="E18" s="32"/>
    </row>
    <row r="19" spans="1:13" ht="21" x14ac:dyDescent="0.25">
      <c r="A19" s="66" t="s">
        <v>93</v>
      </c>
      <c r="B19" s="30"/>
      <c r="C19" s="30"/>
      <c r="D19" s="30"/>
      <c r="E19" s="9"/>
      <c r="H19" s="30"/>
      <c r="I19" s="9"/>
      <c r="J19" s="9"/>
      <c r="K19" s="9"/>
      <c r="L19" s="9"/>
    </row>
    <row r="20" spans="1:13" ht="21" x14ac:dyDescent="0.25">
      <c r="A20" s="66" t="s">
        <v>92</v>
      </c>
      <c r="B20" s="36"/>
      <c r="C20" s="30" t="s">
        <v>87</v>
      </c>
      <c r="D20" s="30"/>
      <c r="E20" s="5"/>
    </row>
    <row r="21" spans="1:13" ht="21" x14ac:dyDescent="0.25">
      <c r="A21" s="25"/>
      <c r="E21" s="3"/>
    </row>
    <row r="22" spans="1:13" ht="21" x14ac:dyDescent="0.25">
      <c r="E22" s="3"/>
    </row>
    <row r="24" spans="1:13" ht="21" x14ac:dyDescent="0.25">
      <c r="C24" s="29"/>
      <c r="D24" s="3"/>
      <c r="E24" s="30"/>
      <c r="F24" s="3"/>
      <c r="G24" s="30"/>
    </row>
    <row r="29" spans="1:13" ht="21" x14ac:dyDescent="0.25">
      <c r="A29" s="31"/>
    </row>
    <row r="30" spans="1:13" ht="19" x14ac:dyDescent="0.25">
      <c r="A30" s="4"/>
    </row>
  </sheetData>
  <hyperlinks>
    <hyperlink ref="A19" r:id="rId1" display="Vidéo" xr:uid="{9F73ADB3-E727-3F43-889B-9C0B855D3455}"/>
    <hyperlink ref="A20" r:id="rId2" display="Scientific paper" xr:uid="{B0B94583-250A-3E49-976A-E032385D33B7}"/>
  </hyperlinks>
  <pageMargins left="0.7" right="0.7" top="0.75" bottom="0.75" header="0.3" footer="0.3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9B43-9EBE-AA49-8CCD-90D99ED61241}">
  <dimension ref="A1:O30"/>
  <sheetViews>
    <sheetView workbookViewId="0">
      <selection activeCell="D13" sqref="D13"/>
    </sheetView>
  </sheetViews>
  <sheetFormatPr baseColWidth="10" defaultRowHeight="16" x14ac:dyDescent="0.2"/>
  <cols>
    <col min="1" max="1" width="14.1640625" customWidth="1"/>
    <col min="2" max="2" width="17.5" customWidth="1"/>
    <col min="3" max="3" width="14.33203125" customWidth="1"/>
    <col min="4" max="4" width="16.1640625" customWidth="1"/>
  </cols>
  <sheetData>
    <row r="1" spans="1:15" ht="21" customHeight="1" x14ac:dyDescent="0.2"/>
    <row r="2" spans="1:15" ht="21" customHeight="1" x14ac:dyDescent="0.2"/>
    <row r="3" spans="1:15" ht="30" customHeight="1" x14ac:dyDescent="0.3">
      <c r="A3" s="28" t="s">
        <v>89</v>
      </c>
      <c r="B3" s="9"/>
      <c r="C3" s="11"/>
      <c r="D3" s="11"/>
      <c r="E3" s="11"/>
      <c r="F3" s="9"/>
      <c r="G3" s="9"/>
      <c r="H3" s="9"/>
      <c r="I3" s="9"/>
      <c r="J3" s="9"/>
      <c r="K3" s="9"/>
      <c r="L3" s="9"/>
      <c r="M3" s="9"/>
    </row>
    <row r="4" spans="1:15" ht="28" customHeight="1" x14ac:dyDescent="0.25">
      <c r="A4" s="31">
        <f>Data!E4</f>
        <v>2023</v>
      </c>
      <c r="B4" s="31">
        <v>2030</v>
      </c>
      <c r="C4" s="31">
        <v>2040</v>
      </c>
      <c r="D4" s="31">
        <v>2050</v>
      </c>
      <c r="J4" s="9"/>
      <c r="K4" s="9"/>
      <c r="L4" s="9"/>
      <c r="M4" s="9"/>
    </row>
    <row r="5" spans="1:15" ht="28" customHeight="1" x14ac:dyDescent="0.25">
      <c r="A5" s="68">
        <f>SUM(Data!B6:B14)</f>
        <v>37800</v>
      </c>
      <c r="B5" s="68">
        <f>SUM('2030'!B6:B14)</f>
        <v>37800</v>
      </c>
      <c r="C5" s="68">
        <f>SUM('2040'!B6:B14)</f>
        <v>37800</v>
      </c>
      <c r="D5" s="68">
        <f>SUM('2050'!B6:B14)</f>
        <v>37800</v>
      </c>
      <c r="E5" s="32" t="s">
        <v>15</v>
      </c>
      <c r="G5" s="31"/>
      <c r="L5" s="9"/>
      <c r="M5" s="9"/>
    </row>
    <row r="6" spans="1:15" ht="28" customHeight="1" x14ac:dyDescent="0.25">
      <c r="A6" s="68">
        <f>Data!B18</f>
        <v>6000</v>
      </c>
      <c r="B6" s="68">
        <f>'2030'!B18</f>
        <v>3500</v>
      </c>
      <c r="C6" s="68">
        <f>'2040'!B18</f>
        <v>3500</v>
      </c>
      <c r="D6" s="68">
        <f>'2050'!B18</f>
        <v>1050</v>
      </c>
      <c r="E6" s="16" t="s">
        <v>19</v>
      </c>
      <c r="G6" s="4"/>
      <c r="J6" s="9"/>
      <c r="L6" s="9"/>
      <c r="M6" s="9"/>
    </row>
    <row r="7" spans="1:15" ht="28" customHeight="1" x14ac:dyDescent="0.25">
      <c r="A7" s="68">
        <f>Data!B22</f>
        <v>0</v>
      </c>
      <c r="B7" s="68">
        <f>'2030'!B22</f>
        <v>0</v>
      </c>
      <c r="C7" s="68">
        <f>'2040'!B22</f>
        <v>0</v>
      </c>
      <c r="D7" s="68">
        <f>'2050'!B22</f>
        <v>0</v>
      </c>
      <c r="E7" s="5" t="s">
        <v>20</v>
      </c>
      <c r="G7" s="20"/>
      <c r="L7" s="9"/>
      <c r="M7" s="9"/>
    </row>
    <row r="8" spans="1:15" ht="28" customHeight="1" x14ac:dyDescent="0.25">
      <c r="A8" s="68">
        <f>Data!B25</f>
        <v>0.4</v>
      </c>
      <c r="B8" s="68">
        <f>'2030'!B25</f>
        <v>0.4</v>
      </c>
      <c r="C8" s="68">
        <f>'2040'!B25</f>
        <v>0.4</v>
      </c>
      <c r="D8" s="68">
        <f>'2050'!B25</f>
        <v>0.4</v>
      </c>
      <c r="E8" s="56" t="s">
        <v>18</v>
      </c>
      <c r="G8" s="20"/>
      <c r="L8" s="9"/>
      <c r="M8" s="9"/>
    </row>
    <row r="9" spans="1:15" ht="28" customHeight="1" x14ac:dyDescent="0.25">
      <c r="A9" s="68">
        <f>Data!B28</f>
        <v>0</v>
      </c>
      <c r="B9" s="68">
        <f>'2030'!B28</f>
        <v>0</v>
      </c>
      <c r="C9" s="68">
        <f>'2040'!B28</f>
        <v>0</v>
      </c>
      <c r="D9" s="68">
        <f>'2050'!B28</f>
        <v>0</v>
      </c>
      <c r="E9" s="3" t="s">
        <v>21</v>
      </c>
      <c r="G9" s="20"/>
      <c r="H9" s="11"/>
      <c r="L9" s="9"/>
      <c r="M9" s="9"/>
    </row>
    <row r="10" spans="1:15" ht="28" customHeight="1" x14ac:dyDescent="0.25">
      <c r="A10" s="9"/>
      <c r="G10" s="20"/>
      <c r="H10" s="11"/>
      <c r="L10" s="9"/>
      <c r="M10" s="9"/>
    </row>
    <row r="11" spans="1:15" ht="28" customHeight="1" x14ac:dyDescent="0.2"/>
    <row r="12" spans="1:15" ht="24" customHeight="1" x14ac:dyDescent="0.25">
      <c r="A12" s="65">
        <f>SUM(A5:A9)</f>
        <v>43800.4</v>
      </c>
      <c r="B12" s="65">
        <f>SUM(B5:B9)</f>
        <v>41300.400000000001</v>
      </c>
      <c r="C12" s="65">
        <f>SUM(C5:C9)</f>
        <v>41300.400000000001</v>
      </c>
      <c r="D12" s="65">
        <f>SUM(D5:D9)</f>
        <v>38850.400000000001</v>
      </c>
      <c r="E12" s="33" t="s">
        <v>1</v>
      </c>
      <c r="G12" s="3" t="s">
        <v>47</v>
      </c>
      <c r="I12" s="20"/>
      <c r="L12" s="9"/>
      <c r="M12" s="9"/>
    </row>
    <row r="13" spans="1:15" ht="21" x14ac:dyDescent="0.25">
      <c r="A13" s="33"/>
      <c r="B13" s="33"/>
      <c r="C13" s="33"/>
      <c r="D13" s="33"/>
      <c r="G13" s="3"/>
      <c r="I13" s="9"/>
      <c r="J13" s="9"/>
      <c r="K13" s="9"/>
      <c r="L13" s="34"/>
      <c r="M13" s="35"/>
      <c r="N13" s="36"/>
      <c r="O13" s="36"/>
    </row>
    <row r="14" spans="1:15" ht="21" x14ac:dyDescent="0.25">
      <c r="A14" s="30"/>
      <c r="B14" s="30"/>
      <c r="C14" s="30"/>
      <c r="D14" s="30"/>
      <c r="G14" s="30"/>
      <c r="I14" s="30"/>
      <c r="J14" s="9"/>
      <c r="K14" s="9"/>
      <c r="L14" s="9"/>
      <c r="M14" s="9"/>
    </row>
    <row r="15" spans="1:15" ht="21" x14ac:dyDescent="0.25">
      <c r="A15" s="29">
        <f>A12/365</f>
        <v>120.00109589041097</v>
      </c>
      <c r="B15" s="29">
        <f>B12/365</f>
        <v>113.15178082191781</v>
      </c>
      <c r="C15" s="29">
        <f>C12/365</f>
        <v>113.15178082191781</v>
      </c>
      <c r="D15" s="29">
        <f>D12/365</f>
        <v>106.43945205479453</v>
      </c>
      <c r="E15" s="33" t="s">
        <v>95</v>
      </c>
      <c r="G15" s="3" t="s">
        <v>48</v>
      </c>
      <c r="I15" s="30"/>
      <c r="J15" s="9"/>
      <c r="K15" s="9"/>
      <c r="L15" s="9"/>
      <c r="M15" s="9"/>
    </row>
    <row r="16" spans="1:15" ht="21" x14ac:dyDescent="0.25">
      <c r="A16" s="72">
        <f>40000/365</f>
        <v>109.58904109589041</v>
      </c>
      <c r="B16" s="9"/>
      <c r="C16" s="9"/>
      <c r="D16" s="9"/>
      <c r="G16" s="30" t="s">
        <v>49</v>
      </c>
      <c r="H16" s="9"/>
      <c r="I16" s="9"/>
      <c r="J16" s="9"/>
      <c r="K16" s="9"/>
      <c r="L16" s="9"/>
      <c r="M16" s="9"/>
    </row>
    <row r="17" spans="1:13" ht="21" x14ac:dyDescent="0.25">
      <c r="A17" s="72">
        <f>20000/365</f>
        <v>54.794520547945204</v>
      </c>
      <c r="B17" s="9"/>
      <c r="C17" s="9"/>
      <c r="D17" s="9"/>
      <c r="G17" s="30" t="s">
        <v>50</v>
      </c>
      <c r="H17" s="9"/>
      <c r="I17" s="9"/>
      <c r="J17" s="9"/>
      <c r="K17" s="9"/>
      <c r="L17" s="9"/>
      <c r="M17" s="9"/>
    </row>
    <row r="18" spans="1:13" ht="21" x14ac:dyDescent="0.25">
      <c r="A18" s="31"/>
      <c r="B18" s="31"/>
      <c r="C18" s="31"/>
      <c r="D18" s="31"/>
      <c r="E18" s="32"/>
    </row>
    <row r="19" spans="1:13" ht="21" x14ac:dyDescent="0.25">
      <c r="A19" s="4"/>
      <c r="E19" s="16"/>
      <c r="H19" s="30"/>
      <c r="I19" s="9"/>
      <c r="J19" s="9"/>
      <c r="K19" s="9"/>
      <c r="L19" s="9"/>
    </row>
    <row r="20" spans="1:13" ht="21" x14ac:dyDescent="0.25">
      <c r="A20" s="25"/>
      <c r="E20" s="5"/>
    </row>
    <row r="21" spans="1:13" ht="21" x14ac:dyDescent="0.25">
      <c r="A21" s="25"/>
      <c r="E21" s="3"/>
    </row>
    <row r="22" spans="1:13" ht="21" x14ac:dyDescent="0.25">
      <c r="E22" s="3"/>
    </row>
    <row r="24" spans="1:13" ht="21" x14ac:dyDescent="0.25">
      <c r="C24" s="29"/>
      <c r="D24" s="3"/>
      <c r="E24" s="30"/>
      <c r="F24" s="3"/>
      <c r="G24" s="30"/>
    </row>
    <row r="29" spans="1:13" ht="21" x14ac:dyDescent="0.25">
      <c r="A29" s="31"/>
    </row>
    <row r="30" spans="1:13" ht="19" x14ac:dyDescent="0.25">
      <c r="A30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974E-1004-8F4A-AB7E-D3FAB4287A3A}">
  <dimension ref="A2:X35"/>
  <sheetViews>
    <sheetView workbookViewId="0">
      <selection activeCell="K20" sqref="K20"/>
    </sheetView>
  </sheetViews>
  <sheetFormatPr baseColWidth="10" defaultRowHeight="16" x14ac:dyDescent="0.2"/>
  <cols>
    <col min="1" max="1" width="14.5" customWidth="1"/>
  </cols>
  <sheetData>
    <row r="2" spans="1:24" ht="19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" x14ac:dyDescent="0.25">
      <c r="A3" s="58" t="s">
        <v>79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21" x14ac:dyDescent="0.25">
      <c r="A4" s="5" t="s">
        <v>76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21" x14ac:dyDescent="0.25">
      <c r="A5" s="3" t="s">
        <v>90</v>
      </c>
      <c r="B5" s="6" t="s">
        <v>77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Q5" s="9"/>
      <c r="R5" s="9"/>
      <c r="S5" s="9"/>
      <c r="T5" s="9"/>
      <c r="U5" s="9"/>
      <c r="V5" s="9"/>
      <c r="W5" s="9"/>
      <c r="X5" s="9"/>
    </row>
    <row r="6" spans="1:24" ht="2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Q6" s="9"/>
      <c r="R6" s="9"/>
      <c r="S6" s="9"/>
      <c r="T6" s="9"/>
      <c r="U6" s="9"/>
      <c r="V6" s="9"/>
      <c r="W6" s="9"/>
      <c r="X6" s="9"/>
    </row>
    <row r="7" spans="1:24" ht="21" x14ac:dyDescent="0.25">
      <c r="A7" s="59" t="s">
        <v>78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Q7" s="9"/>
      <c r="R7" s="9"/>
      <c r="S7" s="9"/>
      <c r="T7" s="9"/>
      <c r="U7" s="9"/>
      <c r="V7" s="9"/>
      <c r="W7" s="9"/>
      <c r="X7" s="9"/>
    </row>
    <row r="8" spans="1:24" ht="2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Q8" s="9"/>
      <c r="R8" s="9"/>
      <c r="S8" s="9"/>
      <c r="T8" s="9"/>
      <c r="U8" s="9"/>
      <c r="V8" s="9"/>
      <c r="W8" s="9"/>
      <c r="X8" s="9"/>
    </row>
    <row r="9" spans="1:24" ht="21" x14ac:dyDescent="0.25">
      <c r="A9" s="3" t="s">
        <v>34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Q9" s="9"/>
      <c r="R9" s="9"/>
      <c r="S9" s="9"/>
      <c r="T9" s="9"/>
      <c r="U9" s="9"/>
      <c r="V9" s="9"/>
      <c r="W9" s="9"/>
      <c r="X9" s="9"/>
    </row>
    <row r="10" spans="1:24" ht="21" x14ac:dyDescent="0.25">
      <c r="A10" s="30" t="s">
        <v>80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Q10" s="9"/>
      <c r="R10" s="9"/>
      <c r="S10" s="9"/>
      <c r="T10" s="9"/>
      <c r="U10" s="9"/>
      <c r="V10" s="9"/>
      <c r="W10" s="9"/>
      <c r="X10" s="9"/>
    </row>
    <row r="11" spans="1:24" ht="21" x14ac:dyDescent="0.25">
      <c r="A11" s="30" t="s">
        <v>35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Q11" s="9"/>
      <c r="R11" s="9"/>
      <c r="S11" s="9"/>
      <c r="T11" s="9"/>
      <c r="U11" s="9"/>
      <c r="V11" s="9"/>
      <c r="W11" s="9"/>
      <c r="X11" s="9"/>
    </row>
    <row r="12" spans="1:24" ht="21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Q12" s="9"/>
      <c r="R12" s="9"/>
      <c r="S12" s="9"/>
      <c r="T12" s="9"/>
      <c r="U12" s="9"/>
      <c r="V12" s="9"/>
      <c r="W12" s="9"/>
      <c r="X12" s="9"/>
    </row>
    <row r="13" spans="1:24" ht="21" x14ac:dyDescent="0.25">
      <c r="A13" s="3" t="s">
        <v>37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21" x14ac:dyDescent="0.25">
      <c r="A14" s="30" t="s">
        <v>81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21" x14ac:dyDescent="0.25">
      <c r="A15" s="30" t="s">
        <v>82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21" x14ac:dyDescent="0.25">
      <c r="A16" s="64" t="s">
        <v>83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21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2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21" x14ac:dyDescent="0.25">
      <c r="A19" s="30"/>
      <c r="B19" s="30"/>
      <c r="C19" s="30"/>
      <c r="D19" s="30"/>
      <c r="E19" s="30"/>
      <c r="F19" s="30"/>
      <c r="G19" s="33" t="s">
        <v>32</v>
      </c>
      <c r="H19" s="33" t="s">
        <v>0</v>
      </c>
      <c r="I19" s="33" t="s">
        <v>30</v>
      </c>
      <c r="J19" s="33" t="s">
        <v>31</v>
      </c>
      <c r="K19" s="30" t="s">
        <v>91</v>
      </c>
      <c r="L19" s="30"/>
      <c r="M19" s="30"/>
      <c r="N19" s="30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21" x14ac:dyDescent="0.25">
      <c r="A20" s="69">
        <v>300</v>
      </c>
      <c r="B20" s="60" t="s">
        <v>3</v>
      </c>
      <c r="C20" s="30"/>
      <c r="D20" s="60" t="s">
        <v>4</v>
      </c>
      <c r="E20" s="30"/>
      <c r="F20" s="30"/>
      <c r="G20" s="37">
        <v>0.01</v>
      </c>
      <c r="H20" s="61">
        <v>300</v>
      </c>
      <c r="I20" s="62">
        <f>0.01*H20</f>
        <v>3</v>
      </c>
      <c r="J20" s="37">
        <f>I20/I24</f>
        <v>0.2824858757062147</v>
      </c>
      <c r="K20" s="30"/>
      <c r="L20" s="30"/>
      <c r="M20" s="30"/>
      <c r="N20" s="30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21" x14ac:dyDescent="0.25">
      <c r="A21" s="69">
        <v>28</v>
      </c>
      <c r="B21" s="60" t="s">
        <v>3</v>
      </c>
      <c r="C21" s="30"/>
      <c r="D21" s="60" t="s">
        <v>36</v>
      </c>
      <c r="E21" s="30"/>
      <c r="F21" s="30"/>
      <c r="G21" s="37">
        <v>0.09</v>
      </c>
      <c r="H21" s="61">
        <v>28</v>
      </c>
      <c r="I21" s="62">
        <f>0.09*H21</f>
        <v>2.52</v>
      </c>
      <c r="J21" s="37">
        <f>I21/I24</f>
        <v>0.23728813559322035</v>
      </c>
      <c r="K21" s="30"/>
      <c r="L21" s="30"/>
      <c r="M21" s="30"/>
      <c r="N21" s="30"/>
    </row>
    <row r="22" spans="1:24" ht="21" x14ac:dyDescent="0.25">
      <c r="A22" s="69">
        <v>9</v>
      </c>
      <c r="B22" s="60" t="s">
        <v>3</v>
      </c>
      <c r="C22" s="30"/>
      <c r="D22" s="60" t="s">
        <v>5</v>
      </c>
      <c r="E22" s="30"/>
      <c r="F22" s="30"/>
      <c r="G22" s="37">
        <v>0.4</v>
      </c>
      <c r="H22" s="61">
        <v>9</v>
      </c>
      <c r="I22" s="62">
        <f>0.4*H22</f>
        <v>3.6</v>
      </c>
      <c r="J22" s="37">
        <f>I22/I24</f>
        <v>0.33898305084745767</v>
      </c>
      <c r="K22" s="30"/>
      <c r="L22" s="30"/>
      <c r="M22" s="30"/>
      <c r="N22" s="30"/>
    </row>
    <row r="23" spans="1:24" ht="21" x14ac:dyDescent="0.25">
      <c r="A23" s="70">
        <v>3</v>
      </c>
      <c r="B23" s="60" t="s">
        <v>3</v>
      </c>
      <c r="C23" s="30"/>
      <c r="D23" s="60" t="s">
        <v>6</v>
      </c>
      <c r="E23" s="30"/>
      <c r="F23" s="30"/>
      <c r="G23" s="37">
        <v>0.5</v>
      </c>
      <c r="H23" s="61">
        <v>3</v>
      </c>
      <c r="I23" s="62">
        <f>0.5*H23</f>
        <v>1.5</v>
      </c>
      <c r="J23" s="37">
        <f>I23/I24</f>
        <v>0.14124293785310735</v>
      </c>
      <c r="K23" s="30"/>
      <c r="L23" s="30"/>
      <c r="M23" s="30"/>
      <c r="N23" s="30"/>
    </row>
    <row r="24" spans="1:24" ht="21" x14ac:dyDescent="0.25">
      <c r="A24" s="30"/>
      <c r="B24" s="30"/>
      <c r="C24" s="30"/>
      <c r="D24" s="30"/>
      <c r="E24" s="30"/>
      <c r="F24" s="30"/>
      <c r="G24" s="30"/>
      <c r="H24" s="33"/>
      <c r="I24" s="63">
        <f>SUM(I20:I23)</f>
        <v>10.62</v>
      </c>
      <c r="J24" s="36" t="s">
        <v>33</v>
      </c>
      <c r="K24" s="30"/>
      <c r="L24" s="30"/>
      <c r="M24" s="30"/>
      <c r="N24" s="30"/>
    </row>
    <row r="25" spans="1:24" ht="2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24" ht="2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24" ht="2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24" ht="21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24" ht="21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24" ht="21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24" ht="21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24" ht="21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4" ht="21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4" ht="2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ht="2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C70FF-1166-C845-9186-B7A181F2550F}">
  <dimension ref="A2:X23"/>
  <sheetViews>
    <sheetView workbookViewId="0">
      <selection activeCell="A19" sqref="A19"/>
    </sheetView>
  </sheetViews>
  <sheetFormatPr baseColWidth="10" defaultRowHeight="16" x14ac:dyDescent="0.2"/>
  <sheetData>
    <row r="2" spans="1:24" ht="19" x14ac:dyDescent="0.25">
      <c r="A2" s="2" t="s">
        <v>51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9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21" x14ac:dyDescent="0.25">
      <c r="A4" s="30" t="s">
        <v>56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9"/>
      <c r="Q4" s="9"/>
      <c r="R4" s="9"/>
      <c r="S4" s="9"/>
      <c r="T4" s="9"/>
      <c r="U4" s="9"/>
      <c r="V4" s="9"/>
      <c r="W4" s="9"/>
      <c r="X4" s="9"/>
    </row>
    <row r="5" spans="1:24" ht="21" x14ac:dyDescent="0.25">
      <c r="A5" s="51"/>
      <c r="B5" s="30" t="s">
        <v>0</v>
      </c>
      <c r="C5" s="51" t="s">
        <v>60</v>
      </c>
      <c r="D5" s="30"/>
      <c r="E5" s="30"/>
      <c r="F5" s="30"/>
      <c r="G5" s="30"/>
      <c r="H5" s="23"/>
      <c r="I5" s="30" t="s">
        <v>68</v>
      </c>
      <c r="J5" s="30"/>
      <c r="K5" s="30"/>
      <c r="L5" s="51"/>
      <c r="M5" s="30" t="s">
        <v>74</v>
      </c>
      <c r="N5" s="30"/>
      <c r="O5" s="30"/>
      <c r="P5" s="9"/>
      <c r="Q5" s="9"/>
      <c r="R5" s="9"/>
      <c r="S5" s="9"/>
      <c r="T5" s="9"/>
      <c r="U5" s="9"/>
      <c r="V5" s="9"/>
      <c r="W5" s="9"/>
      <c r="X5" s="9"/>
    </row>
    <row r="6" spans="1:24" ht="21" x14ac:dyDescent="0.25">
      <c r="A6" s="30" t="s">
        <v>55</v>
      </c>
      <c r="B6" s="30"/>
      <c r="C6" s="30"/>
      <c r="D6" s="30"/>
      <c r="E6" s="30"/>
      <c r="F6" s="30"/>
      <c r="G6" s="30"/>
      <c r="I6" s="30"/>
      <c r="J6" s="30"/>
      <c r="K6" s="30"/>
      <c r="L6" s="30"/>
      <c r="M6" s="30"/>
      <c r="N6" s="30"/>
      <c r="O6" s="30"/>
      <c r="P6" s="9"/>
      <c r="Q6" s="9"/>
      <c r="R6" s="9"/>
      <c r="S6" s="9"/>
      <c r="T6" s="9"/>
      <c r="U6" s="9"/>
      <c r="V6" s="9"/>
      <c r="W6" s="9"/>
      <c r="X6" s="9"/>
    </row>
    <row r="7" spans="1:24" ht="21" x14ac:dyDescent="0.25">
      <c r="A7" s="51"/>
      <c r="B7" s="30" t="s">
        <v>0</v>
      </c>
      <c r="C7" s="51" t="s">
        <v>60</v>
      </c>
      <c r="D7" s="30"/>
      <c r="E7" s="30"/>
      <c r="F7" s="30"/>
      <c r="G7" s="30"/>
      <c r="H7" s="23"/>
      <c r="I7" s="30" t="s">
        <v>68</v>
      </c>
      <c r="J7" s="30"/>
      <c r="K7" s="30"/>
      <c r="L7" s="51"/>
      <c r="M7" s="30" t="s">
        <v>74</v>
      </c>
      <c r="N7" s="30"/>
      <c r="O7" s="30"/>
      <c r="T7" s="9"/>
      <c r="U7" s="9"/>
      <c r="V7" s="9"/>
      <c r="W7" s="9"/>
      <c r="X7" s="9"/>
    </row>
    <row r="8" spans="1:24" ht="21" x14ac:dyDescent="0.25">
      <c r="A8" s="30" t="s">
        <v>57</v>
      </c>
      <c r="B8" s="30"/>
      <c r="C8" s="30"/>
      <c r="D8" s="30"/>
      <c r="E8" s="30"/>
      <c r="F8" s="30"/>
      <c r="G8" s="30"/>
      <c r="I8" s="30"/>
      <c r="J8" s="30"/>
      <c r="K8" s="30"/>
      <c r="L8" s="30"/>
      <c r="M8" s="30"/>
      <c r="N8" s="30"/>
      <c r="O8" s="30"/>
      <c r="T8" s="9"/>
      <c r="U8" s="9"/>
      <c r="V8" s="9"/>
      <c r="W8" s="9"/>
      <c r="X8" s="9"/>
    </row>
    <row r="9" spans="1:24" ht="21" x14ac:dyDescent="0.25">
      <c r="A9" s="51"/>
      <c r="B9" s="30" t="s">
        <v>0</v>
      </c>
      <c r="C9" s="51" t="s">
        <v>60</v>
      </c>
      <c r="D9" s="30"/>
      <c r="E9" s="30"/>
      <c r="F9" s="30"/>
      <c r="G9" s="30"/>
      <c r="H9" s="23"/>
      <c r="I9" s="30" t="s">
        <v>68</v>
      </c>
      <c r="J9" s="30"/>
      <c r="K9" s="30"/>
      <c r="L9" s="51"/>
      <c r="M9" s="30" t="s">
        <v>74</v>
      </c>
      <c r="N9" s="30"/>
      <c r="O9" s="30"/>
      <c r="T9" s="9"/>
      <c r="U9" s="9"/>
      <c r="V9" s="9"/>
      <c r="W9" s="9"/>
      <c r="X9" s="9"/>
    </row>
    <row r="10" spans="1:24" ht="21" x14ac:dyDescent="0.25">
      <c r="A10" s="30" t="s">
        <v>58</v>
      </c>
      <c r="B10" s="30"/>
      <c r="C10" s="30"/>
      <c r="D10" s="30"/>
      <c r="E10" s="30"/>
      <c r="F10" s="30"/>
      <c r="G10" s="30"/>
      <c r="I10" s="30"/>
      <c r="J10" s="30"/>
      <c r="K10" s="30"/>
      <c r="L10" s="30"/>
      <c r="M10" s="30"/>
      <c r="N10" s="30"/>
      <c r="O10" s="30"/>
      <c r="T10" s="9"/>
      <c r="U10" s="9"/>
      <c r="V10" s="9"/>
      <c r="W10" s="9"/>
      <c r="X10" s="9"/>
    </row>
    <row r="11" spans="1:24" ht="21" x14ac:dyDescent="0.25">
      <c r="A11" s="51"/>
      <c r="B11" s="30" t="s">
        <v>0</v>
      </c>
      <c r="C11" s="51" t="s">
        <v>60</v>
      </c>
      <c r="D11" s="30"/>
      <c r="E11" s="30"/>
      <c r="F11" s="30"/>
      <c r="G11" s="30"/>
      <c r="H11" s="23"/>
      <c r="I11" s="30" t="s">
        <v>68</v>
      </c>
      <c r="J11" s="30"/>
      <c r="K11" s="30"/>
      <c r="L11" s="51"/>
      <c r="M11" s="30" t="s">
        <v>74</v>
      </c>
      <c r="N11" s="30"/>
      <c r="O11" s="30"/>
      <c r="T11" s="9"/>
      <c r="U11" s="9"/>
      <c r="V11" s="9"/>
      <c r="W11" s="9"/>
      <c r="X11" s="9"/>
    </row>
    <row r="12" spans="1:24" ht="21" x14ac:dyDescent="0.25">
      <c r="A12" s="30" t="s">
        <v>59</v>
      </c>
      <c r="B12" s="30"/>
      <c r="C12" s="30"/>
      <c r="D12" s="30"/>
      <c r="E12" s="30"/>
      <c r="F12" s="30"/>
      <c r="G12" s="30"/>
      <c r="I12" s="30"/>
      <c r="J12" s="30"/>
      <c r="K12" s="30"/>
      <c r="L12" s="30"/>
      <c r="M12" s="30"/>
      <c r="N12" s="30"/>
      <c r="O12" s="30"/>
      <c r="T12" s="9"/>
      <c r="U12" s="9"/>
      <c r="V12" s="9"/>
      <c r="W12" s="9"/>
      <c r="X12" s="9"/>
    </row>
    <row r="13" spans="1:24" ht="21" x14ac:dyDescent="0.25">
      <c r="A13" s="51"/>
      <c r="B13" s="30" t="s">
        <v>0</v>
      </c>
      <c r="C13" s="51" t="s">
        <v>60</v>
      </c>
      <c r="D13" s="30"/>
      <c r="E13" s="30"/>
      <c r="F13" s="30"/>
      <c r="G13" s="30"/>
      <c r="H13" s="23"/>
      <c r="I13" s="30" t="s">
        <v>68</v>
      </c>
      <c r="J13" s="30"/>
      <c r="K13" s="30"/>
      <c r="L13" s="51"/>
      <c r="M13" s="30" t="s">
        <v>74</v>
      </c>
      <c r="N13" s="30"/>
      <c r="O13" s="30"/>
      <c r="S13" s="9"/>
      <c r="T13" s="9"/>
      <c r="U13" s="9"/>
      <c r="V13" s="9"/>
      <c r="W13" s="9"/>
      <c r="X13" s="9"/>
    </row>
    <row r="14" spans="1:24" ht="21" x14ac:dyDescent="0.25">
      <c r="A14" s="30" t="s">
        <v>61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9"/>
      <c r="Q14" s="55" t="s">
        <v>73</v>
      </c>
      <c r="R14" s="9"/>
      <c r="S14" s="9"/>
      <c r="T14" s="9"/>
      <c r="U14" s="9"/>
      <c r="V14" s="9"/>
      <c r="W14" s="9"/>
      <c r="X14" s="9"/>
    </row>
    <row r="15" spans="1:24" ht="21" x14ac:dyDescent="0.25">
      <c r="A15" s="33">
        <f>Data!E4</f>
        <v>2023</v>
      </c>
      <c r="B15" s="33">
        <v>2030</v>
      </c>
      <c r="C15" s="33">
        <v>2040</v>
      </c>
      <c r="D15" s="33">
        <v>2050</v>
      </c>
      <c r="E15" s="33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9"/>
      <c r="Q15" s="9"/>
      <c r="R15" s="9"/>
      <c r="S15" s="9"/>
      <c r="T15" s="9"/>
      <c r="U15" s="9"/>
      <c r="V15" s="9"/>
      <c r="W15" s="9"/>
      <c r="X15" s="9"/>
    </row>
    <row r="16" spans="1:24" ht="21" x14ac:dyDescent="0.25">
      <c r="A16" s="50"/>
      <c r="B16" s="51"/>
      <c r="C16" s="51"/>
      <c r="D16" s="50"/>
      <c r="E16" s="33" t="s">
        <v>0</v>
      </c>
      <c r="F16" s="50" t="s">
        <v>60</v>
      </c>
      <c r="G16" s="30"/>
      <c r="H16" s="30"/>
      <c r="I16" s="30"/>
      <c r="J16" s="30"/>
      <c r="K16" s="30"/>
      <c r="L16" s="30"/>
      <c r="M16" s="30"/>
      <c r="N16" s="30"/>
      <c r="O16" s="30"/>
      <c r="P16" s="9"/>
      <c r="Q16" s="9"/>
      <c r="R16" s="9"/>
      <c r="T16" s="9"/>
      <c r="U16" s="9"/>
      <c r="V16" s="9"/>
      <c r="W16" s="9"/>
      <c r="X16" s="9"/>
    </row>
    <row r="17" spans="1:24" ht="21" x14ac:dyDescent="0.25">
      <c r="A17" s="36" t="s">
        <v>62</v>
      </c>
      <c r="B17" s="33"/>
      <c r="C17" s="33"/>
      <c r="D17" s="33"/>
      <c r="E17" s="33"/>
      <c r="F17" s="30"/>
      <c r="G17" s="30"/>
      <c r="H17" s="30"/>
      <c r="I17" s="51"/>
      <c r="J17" s="30"/>
      <c r="K17" s="30"/>
      <c r="L17" s="30"/>
      <c r="M17" s="30"/>
      <c r="N17" s="30"/>
      <c r="O17" s="30"/>
      <c r="T17" s="9"/>
      <c r="U17" s="9"/>
      <c r="V17" s="9"/>
      <c r="W17" s="9"/>
      <c r="X17" s="9"/>
    </row>
    <row r="18" spans="1:24" ht="21" x14ac:dyDescent="0.25">
      <c r="A18" s="36" t="s">
        <v>63</v>
      </c>
      <c r="B18" s="33"/>
      <c r="C18" s="33"/>
      <c r="D18" s="33"/>
      <c r="E18" s="33"/>
      <c r="F18" s="30"/>
      <c r="G18" s="30"/>
      <c r="H18" s="30"/>
      <c r="I18" s="51"/>
      <c r="J18" s="30"/>
      <c r="K18" s="30"/>
      <c r="L18" s="30"/>
      <c r="M18" s="30"/>
      <c r="N18" s="30"/>
      <c r="O18" s="30"/>
      <c r="T18" s="9"/>
      <c r="U18" s="9"/>
      <c r="V18" s="9"/>
      <c r="W18" s="9"/>
      <c r="X18" s="9"/>
    </row>
    <row r="19" spans="1:24" ht="21" x14ac:dyDescent="0.25">
      <c r="A19" s="36" t="s">
        <v>64</v>
      </c>
      <c r="B19" s="30"/>
      <c r="C19" s="30"/>
      <c r="D19" s="30"/>
      <c r="E19" s="30"/>
      <c r="F19" s="30"/>
      <c r="G19" s="30"/>
      <c r="H19" s="30"/>
      <c r="I19" s="51"/>
      <c r="J19" s="30"/>
      <c r="K19" s="30"/>
      <c r="L19" s="30"/>
      <c r="M19" s="30"/>
      <c r="N19" s="30"/>
      <c r="O19" s="30"/>
      <c r="T19" s="9"/>
      <c r="U19" s="9"/>
      <c r="V19" s="9"/>
      <c r="W19" s="9"/>
      <c r="X19" s="9"/>
    </row>
    <row r="20" spans="1:24" ht="21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T20" s="9"/>
      <c r="U20" s="9"/>
      <c r="V20" s="9"/>
      <c r="W20" s="9"/>
      <c r="X20" s="9"/>
    </row>
    <row r="21" spans="1:24" ht="2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24" ht="21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24" ht="2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Data</vt:lpstr>
      <vt:lpstr>2030</vt:lpstr>
      <vt:lpstr>2040</vt:lpstr>
      <vt:lpstr>2050</vt:lpstr>
      <vt:lpstr>Bilan CO2</vt:lpstr>
      <vt:lpstr>Bilan NRJ</vt:lpstr>
      <vt:lpstr>Explications</vt:lpstr>
      <vt:lpstr>BE</vt:lpstr>
    </vt:vector>
  </TitlesOfParts>
  <Company>ISAE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ISAE ISAE</dc:creator>
  <cp:lastModifiedBy>Microsoft Office User</cp:lastModifiedBy>
  <dcterms:created xsi:type="dcterms:W3CDTF">2014-03-30T10:00:10Z</dcterms:created>
  <dcterms:modified xsi:type="dcterms:W3CDTF">2023-11-15T17:20:15Z</dcterms:modified>
</cp:coreProperties>
</file>