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7C48D6AA-3F83-8046-A9D8-40BB4E2795C6}" xr6:coauthVersionLast="47" xr6:coauthVersionMax="47" xr10:uidLastSave="{00000000-0000-0000-0000-000000000000}"/>
  <bookViews>
    <workbookView xWindow="17260" yWindow="-22380" windowWidth="23160" windowHeight="20500" tabRatio="500" xr2:uid="{00000000-000D-0000-FFFF-FFFF00000000}"/>
  </bookViews>
  <sheets>
    <sheet name="Data" sheetId="28" r:id="rId1"/>
    <sheet name="2030" sheetId="32" r:id="rId2"/>
    <sheet name="2040" sheetId="33" r:id="rId3"/>
    <sheet name="2050" sheetId="34" r:id="rId4"/>
    <sheet name="Bilan CO2" sheetId="30" r:id="rId5"/>
    <sheet name="Bilan NRJ" sheetId="36" r:id="rId6"/>
    <sheet name="Doc" sheetId="29" r:id="rId7"/>
    <sheet name="BE" sheetId="37" r:id="rId8"/>
  </sheets>
  <externalReferences>
    <externalReference r:id="rId9"/>
  </externalReferences>
  <definedNames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28" l="1"/>
  <c r="Z21" i="28" s="1"/>
  <c r="U20" i="28"/>
  <c r="W20" i="28" s="1"/>
  <c r="X20" i="28" s="1"/>
  <c r="Z20" i="28" s="1"/>
  <c r="E18" i="32"/>
  <c r="G18" i="32" s="1"/>
  <c r="D18" i="32"/>
  <c r="F18" i="32" s="1"/>
  <c r="C18" i="32"/>
  <c r="C18" i="33" s="1"/>
  <c r="C18" i="34" s="1"/>
  <c r="G18" i="28"/>
  <c r="D18" i="33" l="1"/>
  <c r="D18" i="34" s="1"/>
  <c r="E18" i="33"/>
  <c r="E18" i="34" l="1"/>
  <c r="G18" i="34" s="1"/>
  <c r="G18" i="33"/>
  <c r="L14" i="34" l="1"/>
  <c r="L13" i="34"/>
  <c r="L12" i="34"/>
  <c r="L11" i="34"/>
  <c r="L10" i="34"/>
  <c r="A10" i="34" s="1"/>
  <c r="L14" i="33"/>
  <c r="L13" i="33"/>
  <c r="L12" i="33"/>
  <c r="L11" i="33"/>
  <c r="L10" i="33"/>
  <c r="A10" i="33" s="1"/>
  <c r="L14" i="32"/>
  <c r="L13" i="32"/>
  <c r="L12" i="32"/>
  <c r="L11" i="32"/>
  <c r="L10" i="32"/>
  <c r="A28" i="32"/>
  <c r="A35" i="32" s="1"/>
  <c r="Q14" i="28"/>
  <c r="S14" i="28" s="1"/>
  <c r="Q12" i="28"/>
  <c r="S12" i="28" s="1"/>
  <c r="L14" i="28"/>
  <c r="L13" i="28"/>
  <c r="L12" i="28"/>
  <c r="L11" i="28"/>
  <c r="C6" i="28"/>
  <c r="A6" i="28" s="1"/>
  <c r="A11" i="33"/>
  <c r="A13" i="32"/>
  <c r="A8" i="32"/>
  <c r="A6" i="32"/>
  <c r="G91" i="29"/>
  <c r="G90" i="29"/>
  <c r="G89" i="29"/>
  <c r="B25" i="34"/>
  <c r="A25" i="34" s="1"/>
  <c r="A34" i="34" s="1"/>
  <c r="B25" i="33"/>
  <c r="A25" i="33" s="1"/>
  <c r="A34" i="33" s="1"/>
  <c r="B25" i="32"/>
  <c r="B8" i="36" s="1"/>
  <c r="E22" i="28"/>
  <c r="C9" i="34"/>
  <c r="B9" i="34" s="1"/>
  <c r="C8" i="34"/>
  <c r="B8" i="34" s="1"/>
  <c r="C7" i="34"/>
  <c r="A7" i="34" s="1"/>
  <c r="C9" i="33"/>
  <c r="B9" i="33" s="1"/>
  <c r="C8" i="33"/>
  <c r="B8" i="33" s="1"/>
  <c r="C7" i="33"/>
  <c r="A7" i="33" s="1"/>
  <c r="A86" i="29"/>
  <c r="N14" i="34"/>
  <c r="A14" i="34" s="1"/>
  <c r="B14" i="34"/>
  <c r="N13" i="34"/>
  <c r="A13" i="34" s="1"/>
  <c r="B13" i="34"/>
  <c r="N12" i="34"/>
  <c r="A12" i="34" s="1"/>
  <c r="B12" i="34"/>
  <c r="N11" i="34"/>
  <c r="A11" i="34" s="1"/>
  <c r="B11" i="34"/>
  <c r="N10" i="34"/>
  <c r="B10" i="34"/>
  <c r="C6" i="34"/>
  <c r="B6" i="34" s="1"/>
  <c r="N14" i="33"/>
  <c r="A14" i="33" s="1"/>
  <c r="B14" i="33"/>
  <c r="N13" i="33"/>
  <c r="A13" i="33" s="1"/>
  <c r="B13" i="33"/>
  <c r="N12" i="33"/>
  <c r="A12" i="33" s="1"/>
  <c r="B12" i="33"/>
  <c r="N11" i="33"/>
  <c r="B11" i="33"/>
  <c r="N10" i="33"/>
  <c r="B10" i="33"/>
  <c r="C6" i="33"/>
  <c r="B6" i="33" s="1"/>
  <c r="N14" i="32"/>
  <c r="A14" i="32" s="1"/>
  <c r="B14" i="32"/>
  <c r="N13" i="32"/>
  <c r="B13" i="32"/>
  <c r="N12" i="32"/>
  <c r="A12" i="32" s="1"/>
  <c r="B12" i="32"/>
  <c r="N11" i="32"/>
  <c r="A11" i="32" s="1"/>
  <c r="B11" i="32"/>
  <c r="N10" i="32"/>
  <c r="B10" i="32"/>
  <c r="C9" i="32"/>
  <c r="A9" i="32" s="1"/>
  <c r="C8" i="32"/>
  <c r="B8" i="32" s="1"/>
  <c r="C7" i="32"/>
  <c r="B7" i="32" s="1"/>
  <c r="C6" i="32"/>
  <c r="B6" i="32" s="1"/>
  <c r="B10" i="28"/>
  <c r="C9" i="28"/>
  <c r="B9" i="28" s="1"/>
  <c r="C8" i="28"/>
  <c r="A8" i="28" s="1"/>
  <c r="C7" i="28"/>
  <c r="B7" i="28" s="1"/>
  <c r="L10" i="28"/>
  <c r="A25" i="28"/>
  <c r="A8" i="30" s="1"/>
  <c r="N14" i="28"/>
  <c r="B14" i="28"/>
  <c r="N13" i="28"/>
  <c r="B13" i="28"/>
  <c r="N12" i="28"/>
  <c r="B12" i="28"/>
  <c r="N11" i="28"/>
  <c r="B11" i="28"/>
  <c r="N10" i="28"/>
  <c r="A15" i="37"/>
  <c r="E22" i="34"/>
  <c r="A22" i="34" s="1"/>
  <c r="A33" i="34" s="1"/>
  <c r="E22" i="33"/>
  <c r="A22" i="33" s="1"/>
  <c r="A33" i="33" s="1"/>
  <c r="E22" i="32"/>
  <c r="A22" i="32" s="1"/>
  <c r="A33" i="32" s="1"/>
  <c r="A35" i="28"/>
  <c r="D9" i="36"/>
  <c r="D7" i="36"/>
  <c r="C9" i="36"/>
  <c r="C7" i="36"/>
  <c r="B9" i="36"/>
  <c r="B7" i="36"/>
  <c r="A9" i="36"/>
  <c r="A8" i="36"/>
  <c r="A7" i="36"/>
  <c r="A15" i="36"/>
  <c r="A14" i="36"/>
  <c r="A4" i="36"/>
  <c r="A4" i="30"/>
  <c r="F18" i="34"/>
  <c r="F18" i="33"/>
  <c r="A9" i="30"/>
  <c r="J20" i="29"/>
  <c r="J21" i="29"/>
  <c r="J22" i="29"/>
  <c r="J23" i="29"/>
  <c r="F18" i="28"/>
  <c r="B18" i="28" s="1"/>
  <c r="A10" i="32" l="1"/>
  <c r="A9" i="33"/>
  <c r="A8" i="33"/>
  <c r="A31" i="33" s="1"/>
  <c r="A6" i="33"/>
  <c r="A9" i="34"/>
  <c r="A8" i="34"/>
  <c r="A6" i="34"/>
  <c r="D7" i="30"/>
  <c r="B18" i="32"/>
  <c r="A18" i="32" s="1"/>
  <c r="A32" i="32" s="1"/>
  <c r="B18" i="34"/>
  <c r="D6" i="36" s="1"/>
  <c r="B18" i="33"/>
  <c r="A18" i="33" s="1"/>
  <c r="A32" i="33" s="1"/>
  <c r="A28" i="33"/>
  <c r="A7" i="32"/>
  <c r="A31" i="32" s="1"/>
  <c r="A31" i="34"/>
  <c r="A13" i="28"/>
  <c r="A14" i="28"/>
  <c r="A10" i="28"/>
  <c r="A12" i="28"/>
  <c r="A25" i="32"/>
  <c r="A34" i="32" s="1"/>
  <c r="D8" i="30"/>
  <c r="C8" i="30"/>
  <c r="C7" i="30"/>
  <c r="B7" i="30"/>
  <c r="D8" i="36"/>
  <c r="C8" i="36"/>
  <c r="B9" i="30"/>
  <c r="B8" i="28"/>
  <c r="B7" i="34"/>
  <c r="B9" i="32"/>
  <c r="B5" i="36" s="1"/>
  <c r="B7" i="33"/>
  <c r="C5" i="36" s="1"/>
  <c r="A6" i="36"/>
  <c r="A11" i="28"/>
  <c r="A22" i="28"/>
  <c r="A33" i="28" s="1"/>
  <c r="A9" i="28"/>
  <c r="J24" i="29"/>
  <c r="K20" i="29" s="1"/>
  <c r="D5" i="30"/>
  <c r="D5" i="36"/>
  <c r="A34" i="28"/>
  <c r="A7" i="28"/>
  <c r="B6" i="28"/>
  <c r="A5" i="36" s="1"/>
  <c r="B6" i="36" l="1"/>
  <c r="C6" i="36"/>
  <c r="C11" i="36" s="1"/>
  <c r="C13" i="36" s="1"/>
  <c r="A18" i="34"/>
  <c r="A32" i="34" s="1"/>
  <c r="C6" i="30"/>
  <c r="A28" i="34"/>
  <c r="A35" i="34" s="1"/>
  <c r="A35" i="33"/>
  <c r="A36" i="33" s="1"/>
  <c r="C32" i="33" s="1"/>
  <c r="D6" i="30"/>
  <c r="A36" i="32"/>
  <c r="B8" i="30"/>
  <c r="C5" i="30"/>
  <c r="B6" i="30"/>
  <c r="B5" i="30"/>
  <c r="A5" i="30"/>
  <c r="A18" i="28"/>
  <c r="A6" i="30" s="1"/>
  <c r="A11" i="36"/>
  <c r="A13" i="36" s="1"/>
  <c r="A7" i="30"/>
  <c r="K21" i="29"/>
  <c r="D11" i="36"/>
  <c r="D13" i="36" s="1"/>
  <c r="C9" i="30"/>
  <c r="B11" i="36"/>
  <c r="B13" i="36" s="1"/>
  <c r="K22" i="29"/>
  <c r="K23" i="29"/>
  <c r="A31" i="28"/>
  <c r="A36" i="34" l="1"/>
  <c r="C12" i="30"/>
  <c r="C16" i="30" s="1"/>
  <c r="D9" i="30"/>
  <c r="D12" i="30" s="1"/>
  <c r="D16" i="30" s="1"/>
  <c r="C31" i="34"/>
  <c r="C31" i="32"/>
  <c r="B12" i="30"/>
  <c r="B16" i="30" s="1"/>
  <c r="C34" i="33"/>
  <c r="C33" i="33"/>
  <c r="C35" i="33"/>
  <c r="C31" i="33"/>
  <c r="A32" i="28"/>
  <c r="A36" i="28" s="1"/>
  <c r="C35" i="28" s="1"/>
  <c r="A12" i="30"/>
  <c r="A16" i="30" s="1"/>
  <c r="C32" i="34" l="1"/>
  <c r="C34" i="34"/>
  <c r="C35" i="32"/>
  <c r="C34" i="32"/>
  <c r="C33" i="32"/>
  <c r="C32" i="32"/>
  <c r="C35" i="34"/>
  <c r="C33" i="34"/>
  <c r="C31" i="28"/>
  <c r="C33" i="28"/>
  <c r="C34" i="28"/>
  <c r="C3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FE89BC4-421F-1F43-A8D0-173E84F0C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à partir de ma slide Bilan CO2 dans S1_Exponentielle.pptx/slide 332</t>
        </r>
      </text>
    </comment>
    <comment ref="A6" authorId="0" shapeId="0" xr:uid="{8B480AD1-4F7D-514C-8A04-747D2A81ED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5701AE33-7CDF-0A4C-8176-CCE108919B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BD62CA2F-A0BD-C245-B50C-A6ACB80FFE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458E9EC0-3EC8-0349-8343-D7AFB07FF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73AAD938-8FCE-E446-8AD5-6429F7BEF5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9F17F9B9-E106-7447-9ADD-D99F8E622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8F6FAD59-F71D-4741-B1AE-3A4D9AE207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A47CD3DB-6720-2447-B976-24EC6E309C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8F4F0DC4-2641-6F4B-B030-DB3F2F950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C4B92E76-A9A1-1346-B2B1-35AFE6DC40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Q9" authorId="0" shapeId="0" xr:uid="{C1E8D989-7683-904A-89FB-B0691FA6D4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0.13 	Aptera
</t>
        </r>
        <r>
          <rPr>
            <sz val="10"/>
            <color rgb="FF000000"/>
            <rFont val="Tahoma"/>
            <family val="2"/>
          </rPr>
          <t xml:space="preserve">0.21 	Voiture la plus aérodynamique actuelle
</t>
        </r>
        <r>
          <rPr>
            <sz val="10"/>
            <color rgb="FF000000"/>
            <rFont val="Tahoma"/>
            <family val="2"/>
          </rPr>
          <t xml:space="preserve">0.25 	Voiture très aérodynamique (Tesla, Ioniq 6, ...)
</t>
        </r>
        <r>
          <rPr>
            <sz val="10"/>
            <color rgb="FF000000"/>
            <rFont val="Tahoma"/>
            <family val="2"/>
          </rPr>
          <t xml:space="preserve">0.28-0.30 	Voiture standard (Berline courante)
</t>
        </r>
        <r>
          <rPr>
            <sz val="10"/>
            <color rgb="FF000000"/>
            <rFont val="Tahoma"/>
            <family val="2"/>
          </rPr>
          <t xml:space="preserve">0.33-0.36 	Petite voiture courante
</t>
        </r>
        <r>
          <rPr>
            <sz val="10"/>
            <color rgb="FF000000"/>
            <rFont val="Tahoma"/>
            <family val="2"/>
          </rPr>
          <t xml:space="preserve">0.40-0.50 	SUV
</t>
        </r>
        <r>
          <rPr>
            <sz val="10"/>
            <color rgb="FF000000"/>
            <rFont val="Tahoma"/>
            <family val="2"/>
          </rPr>
          <t xml:space="preserve">0.60	Un peu mieux que le cube (AMI), Vélo de course
</t>
        </r>
        <r>
          <rPr>
            <sz val="10"/>
            <color rgb="FF000000"/>
            <rFont val="Tahoma"/>
            <family val="2"/>
          </rPr>
          <t xml:space="preserve">0.80 	Vélo urbain, VAE, Camion
</t>
        </r>
        <r>
          <rPr>
            <sz val="10"/>
            <color rgb="FF000000"/>
            <rFont val="Tahoma"/>
            <family val="2"/>
          </rPr>
          <t xml:space="preserve">1.00 	Cube
</t>
        </r>
        <r>
          <rPr>
            <sz val="10"/>
            <color rgb="FF000000"/>
            <rFont val="Tahoma"/>
            <family val="2"/>
          </rPr>
          <t>1.30 	Trottinette</t>
        </r>
      </text>
    </comment>
    <comment ref="B10" authorId="0" shapeId="0" xr:uid="{23DC3AAA-B3F3-594E-8319-92635123C2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6D71595E-30C7-384D-B796-1D78744031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3C53B9A9-FC37-DA46-B523-6F69F89FE5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Q10" authorId="0" shapeId="0" xr:uid="{0E804E78-7B0B-134F-957E-95F536EF3B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0.30 Rendement moyen d'une voiture thermique
</t>
        </r>
        <r>
          <rPr>
            <sz val="10"/>
            <color rgb="FF000000"/>
            <rFont val="Tahoma"/>
            <family val="2"/>
          </rPr>
          <t>0.90 Rendement moyen d'une voiture électrique</t>
        </r>
      </text>
    </comment>
    <comment ref="D11" authorId="0" shapeId="0" xr:uid="{CFA9344E-363D-9A4A-9F66-0887822669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à 30 kWh/km : Consommation moyenne d'un SUV électrique</t>
        </r>
      </text>
    </comment>
    <comment ref="L11" authorId="0" shapeId="0" xr:uid="{EBE019B0-3C7C-7143-92CF-787AB0D228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D12" authorId="0" shapeId="0" xr:uid="{74416716-F894-5E4F-A882-43735BE096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12 à 18 kWh/km : Consommation moyenne d'une petite voiture électrique</t>
        </r>
      </text>
    </comment>
    <comment ref="L12" authorId="0" shapeId="0" xr:uid="{65769564-3C2B-3E47-B1EB-690CA1485A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3DB49668-ABE9-534F-8868-430EE43D68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7E0DAC4F-5550-F043-A678-2BAEFCCA81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85663CD5-9A2C-2348-8347-FA38693FC8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723E83B7-79BF-0649-AB0E-6220381B6E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731054ED-409C-BD41-AA49-54D7180E31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Type de chauffage : Fioul, Gaz, Electricité, PAC, Bois
</t>
        </r>
        <r>
          <rPr>
            <sz val="10"/>
            <color rgb="FF000000"/>
            <rFont val="Tahoma"/>
            <family val="2"/>
          </rPr>
          <t xml:space="preserve">Facteur d'émission : 0.32, 0.25, 0.09, 0.03, 0.03 kgCO2/kWh
</t>
        </r>
        <r>
          <rPr>
            <sz val="10"/>
            <color rgb="FF000000"/>
            <rFont val="Tahoma"/>
            <family val="2"/>
          </rPr>
          <t>Source : bilan CO2 MicMac ADEME, Jancovici</t>
        </r>
      </text>
    </comment>
    <comment ref="C22" authorId="0" shapeId="0" xr:uid="{34A90340-A5E4-6548-A89A-8D13C648F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5230E9BE-E792-274E-B8A1-FB93945FBF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2BEA9F93-FF00-504B-A3F7-17D109931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B39A360B-32B0-6049-AB13-DB89398CD4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produits (100% super ou hypermarché)</t>
        </r>
      </text>
    </comment>
    <comment ref="B25" authorId="0" shapeId="0" xr:uid="{62C5AABB-22E6-3542-ADC2-1B42912949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40BA802A-668F-D845-B192-E394AC7F1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déconsommation
</t>
        </r>
        <r>
          <rPr>
            <sz val="10"/>
            <color rgb="FF000000"/>
            <rFont val="Tahoma"/>
            <family val="2"/>
          </rPr>
          <t xml:space="preserve">1 = consommation normale actuelle
</t>
        </r>
        <r>
          <rPr>
            <sz val="10"/>
            <color rgb="FF000000"/>
            <rFont val="Tahoma"/>
            <family val="2"/>
          </rPr>
          <t xml:space="preserve">0.75 = j'ai réduis ma consommation de 25%
</t>
        </r>
        <r>
          <rPr>
            <sz val="10"/>
            <color rgb="FF000000"/>
            <rFont val="Tahoma"/>
            <family val="2"/>
          </rPr>
          <t xml:space="preserve">0.50 = j'ai réduis ma consommation de 50%
</t>
        </r>
        <r>
          <rPr>
            <sz val="10"/>
            <color rgb="FF000000"/>
            <rFont val="Tahoma"/>
            <family val="2"/>
          </rPr>
          <t>0.25 ...</t>
        </r>
      </text>
    </comment>
    <comment ref="A28" authorId="0" shapeId="0" xr:uid="{5966CB15-DC1A-8443-B959-5BAA67DB2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2.0TCO2/an/p : Chiffre proposé par Le Shift Project...
</t>
        </r>
        <r>
          <rPr>
            <sz val="10"/>
            <color rgb="FF000000"/>
            <rFont val="Tahoma"/>
            <family val="2"/>
          </rPr>
          <t>1.3TCO2/an/p : Chiffre proposé par Bon Pote https://bonpote.com/empreinte-carbone-des-services-publics/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C1214792-1C48-D34C-A51C-1BB288A8DE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C09FDDDE-BC85-964B-BC49-E001F87654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29A47581-85C6-6D4D-A034-26F0EA206C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49170C97-D326-DA47-948F-4FA211336C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F1FD4BA6-4A86-044E-95BE-87235BDCD8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18EC2FCA-EB4F-844A-8BC0-A5509FE291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43BE75AB-27D6-3E4E-B0B8-DF962100FB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62C1C630-B87A-9742-8C19-DC05C0C016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CA2F9ACA-D4DC-5E4B-96CB-2BEA57B93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7DF39224-0499-2644-B2C3-1AD49A6180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9CC7109F-147E-C340-A441-6F6CE8409E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21B5D50D-35AE-B74C-A6CD-41D4ED8B0E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EB3CD6C4-E7CF-F043-95A9-B1C9D9C342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E899A0D3-E04D-E443-A2DC-1525814F24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ECE2B584-F906-ED4F-A992-9FBCC7037DD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16FAD6C0-285D-414C-8D4E-DD115BC2FA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59832425-3F04-8143-9489-9994D31F1D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6D491F2A-A3B8-3C43-B3A0-BF344533B6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F9CCB31F-A2EC-2341-B7A4-A529E3D14A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5AC5ECA3-60D6-9242-B80F-20A67FA91F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F6447C8E-D6CD-AA46-A1BE-1524DFC5A8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89BE7E36-40BC-0D41-89AB-E6286595A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422C6D9C-6566-C34B-9A4D-A105829ED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2E402DC6-11B4-574C-900F-F5D02296AB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CC8701D4-EC59-AB45-A396-F8EB1F3B79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49449F7-28B5-4B41-BC09-BFB1556F7B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AA0C151B-152F-7449-8EDE-DF8EDF485B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47E48556-AC9D-CD44-BE16-628DDEC194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E1B85F49-A17D-8B4B-93C8-7F2ADA63F1F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B8C3CE93-1497-3F42-84B2-BDE3120C04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E8BD9CCA-6C0D-5244-94EE-CE2B0BAEAC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B96D451C-0D03-B14A-85F6-5E3B97D0C5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DAE45196-7CD6-F546-A4B0-8FDFE5780A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F0F36E52-DEBB-AF4C-82D7-1E4C673061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48D5579A-1BEF-B945-897E-D1570015CB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7A649B69-315E-714C-9B9A-95081662F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1ACFC12F-1939-F54E-BA59-1A1A8B294D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49B569C0-DA27-644F-B3AF-CDBB181795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B6A3536F-4DCD-8C49-8301-D760E9D82E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BC0FAFA3-93AD-F24F-AF8A-A99CE0EDEB7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1A19A45A-CB90-D44F-BF4B-BB6514BDBE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FC21ACE2-B638-0D49-9AD2-2E2B6BE786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41ED816B-C6A1-CA42-A206-DA27D3B897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9E255736-2FDB-D746-A107-2537B92CDA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B8DD6BD0-ED39-6543-9B6D-21279BCAF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0240F0CF-E257-E241-8230-CE19AD14E7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93D4DC9E-8072-884E-9C15-AABCC6F43F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C153B4DB-9DE5-F040-A4D0-1CE19977A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8F149305-1C37-C441-B91E-6257040E38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DF971189-821A-5348-9A33-537E2685E7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25E7328C-D061-E642-AA7D-413525C3CF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695A16B-DC4C-3645-9A46-5EA544A8CF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A415B992-AC4D-BE48-A396-0E3E61BF36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5164D419-80A4-064E-88AD-847D66CFB0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BEB59141-319B-CF40-9735-4B92F13A64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FBCF9DE7-04FC-5647-8ABE-5323A4DD2A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1A879A1E-0A49-4748-A955-C7E614CFBB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5ABC6E80-5F49-594C-919C-48EB7972217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95060D1C-70CF-334C-92D6-E1F02C1961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A1FEB399-7342-8243-B5F5-F4A9C8865E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94A03AC5-E231-9642-9691-07AFFB5EDA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F8607014-9F55-A84C-A645-EF4B586909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7B563D83-906C-8F4F-B8F7-5C57C04D2E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B5F61947-A2CF-D346-A58C-EBB9FA2403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80A4C73B-8C9D-6849-A7F9-F8C8DA1B34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4936C203-FB3C-5A47-9C53-8AA09CDB88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92A3E99A-0BF3-554D-9264-F9853C4180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E6C209F5-1C55-704A-B4D3-459CC7A543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977C48FA-3433-244C-AAA1-8A4C56956E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B56BFF15-17E7-E34D-B2E2-4CF36798AF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94C62AF1-EB35-7E42-BF29-A94F025FF8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4ECB93C2-68B2-BE4D-9FC0-677F43B38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CE0C4BF4-DF05-8B4B-AA79-FCCD36D4E3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D5E15CC5-71C0-1D42-852C-DAFF364F10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3B0AC983-23B1-D34F-B878-59B9DFA144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858495F5-F51F-E04F-998C-A2106DAE83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D304FDAB-6505-B142-BCFB-7827666C59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CF7A260B-BF72-6243-AA36-C4E9BB9051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EF58359F-9C39-3E4D-84BE-278DADE138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  <comment ref="G13" authorId="0" shapeId="0" xr:uid="{4A0D85E0-2236-6747-8612-BECA8A563A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Loi carbone : J. Rockström 2017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Vidéo : https://www.stockholmresilience.org/research/research-news/2017-03-23-curbing-emissions-with-a-new-carbon-law.html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2610B5F3-F824-6E42-AAA5-E4910288B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</commentList>
</comments>
</file>

<file path=xl/sharedStrings.xml><?xml version="1.0" encoding="utf-8"?>
<sst xmlns="http://schemas.openxmlformats.org/spreadsheetml/2006/main" count="461" uniqueCount="205">
  <si>
    <t>TCO2/an</t>
  </si>
  <si>
    <t>kWh/an</t>
  </si>
  <si>
    <t>km/an</t>
  </si>
  <si>
    <t>TCO2/an/p</t>
  </si>
  <si>
    <t xml:space="preserve">Les   1% les plus riches </t>
  </si>
  <si>
    <t xml:space="preserve">Les 40% classes moyennes </t>
  </si>
  <si>
    <t>Les 50% les plus pauvres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</si>
  <si>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</si>
  <si>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</si>
  <si>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</si>
  <si>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</si>
  <si>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</si>
  <si>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kWh/m2/an</t>
  </si>
  <si>
    <t>Type</t>
  </si>
  <si>
    <t>kgCO2/kWh</t>
  </si>
  <si>
    <t>Mobilité</t>
  </si>
  <si>
    <t>Consommation</t>
  </si>
  <si>
    <t>Logement</t>
  </si>
  <si>
    <t>Alimentation</t>
  </si>
  <si>
    <t>Services Publics</t>
  </si>
  <si>
    <t xml:space="preserve">Alimentation 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</si>
  <si>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</si>
  <si>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</si>
  <si>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</si>
  <si>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</si>
  <si>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</si>
  <si>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</si>
  <si>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</si>
  <si>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TCO2</t>
  </si>
  <si>
    <t>%CO2</t>
  </si>
  <si>
    <t>Catégorie</t>
  </si>
  <si>
    <t>TCO2/an en moyenne</t>
  </si>
  <si>
    <t xml:space="preserve">Ce rapport révèle notamment qu’entre 1990 et 2015, </t>
  </si>
  <si>
    <t>les 1% les plus riches sont responsables de deux fois plus d’émissions que la moitié la plus pauvre de l’humanité.</t>
  </si>
  <si>
    <t xml:space="preserve">Les   9% les plus riches 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</si>
  <si>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</si>
  <si>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Services publics - Forfait 2TCO2/an (The Shift Project)</t>
  </si>
  <si>
    <t>Bilan CO2</t>
  </si>
  <si>
    <t>Nombre de km/an et consommation moyenne de votre petite voiture électrique</t>
  </si>
  <si>
    <t>CO2</t>
  </si>
  <si>
    <t>Les émissions CO2 annuelles de la trajectoire GIEC (TCO2/an/pers.)</t>
  </si>
  <si>
    <t>Vos émissions CO2 annuelles (TCO2/an/pers.)</t>
  </si>
  <si>
    <t>Année de ce bilan</t>
  </si>
  <si>
    <t>Bilan et trajectoire CO2 annuel (TCO2/an)</t>
  </si>
  <si>
    <r>
      <t xml:space="preserve">Vos émissions </t>
    </r>
    <r>
      <rPr>
        <b/>
        <sz val="16"/>
        <color rgb="FFFF0000"/>
        <rFont val="Calibri (Corps)"/>
      </rPr>
      <t>quotidiennes</t>
    </r>
    <r>
      <rPr>
        <b/>
        <sz val="16"/>
        <color theme="1"/>
        <rFont val="Calibri"/>
        <family val="2"/>
        <scheme val="minor"/>
      </rPr>
      <t xml:space="preserve"> (kgCO2/jour)</t>
    </r>
  </si>
  <si>
    <t>Votre usage de l'énergie  (kWh/an/pers.)</t>
  </si>
  <si>
    <r>
      <t xml:space="preserve">Votre usage de l'énergie au </t>
    </r>
    <r>
      <rPr>
        <b/>
        <sz val="16"/>
        <color rgb="FFFF0000"/>
        <rFont val="Calibri (Corps)"/>
      </rPr>
      <t>quotidien</t>
    </r>
    <r>
      <rPr>
        <b/>
        <sz val="16"/>
        <color theme="1"/>
        <rFont val="Calibri"/>
        <family val="2"/>
        <scheme val="minor"/>
      </rPr>
      <t xml:space="preserve"> (kWh/jour/pers.)</t>
    </r>
  </si>
  <si>
    <t>Moyenne en France en 2020</t>
  </si>
  <si>
    <t>Moyenne mondiale en 2020</t>
  </si>
  <si>
    <t>Proposition pour le BE Bilan CO2 simplifié</t>
  </si>
  <si>
    <t>Total</t>
  </si>
  <si>
    <t>10 à 12</t>
  </si>
  <si>
    <t>2- Faite le bilan CO2 d'un français qui ferait parti des 1% les plus riches selon votre représentation, analyser les résultats et la part relative de chaque poste, conclusion</t>
  </si>
  <si>
    <t>1- Faite votre bilan CO2 de l'année en remplissant les cases jaunes de l'onglet Data, analyser vos résultats et la part relative de chaque poste, conclusion</t>
  </si>
  <si>
    <t>3- Faite le bilan CO2 d'un français qui ferait parti des 9% les plus riches selon votre représentation, analyser les résultats et la part relative de chaque poste, conclusion</t>
  </si>
  <si>
    <t>4- Faite le bilan CO2 d'un français qui ferait parti des 40% de la classe moyenne selon votre représentation, analyser les résultats et la part relative de chaque poste, conclusion</t>
  </si>
  <si>
    <t>5- Faite le bilan CO2 d'un français qui ferait parti des 50% les plus pauvres selon votre représentation, analyser les résultats et la part relative de chaque poste, conclusion</t>
  </si>
  <si>
    <t xml:space="preserve">Analyse : </t>
  </si>
  <si>
    <t>6- Faite votre trajectoire CO2 en remplissant les onglets Data, 2030, 2040, 2050 et retrouver les résultats dans l'onglet Trajectoire, analyse et conclusion</t>
  </si>
  <si>
    <t>8- Quels sont les biais de ce bilan CO2 simplifié ?</t>
  </si>
  <si>
    <t>9- Comment l'améliorer ?</t>
  </si>
  <si>
    <t>Véhicules</t>
  </si>
  <si>
    <t>1er poste d'émission ?</t>
  </si>
  <si>
    <t>Lieu de production</t>
  </si>
  <si>
    <t>Rouge</t>
  </si>
  <si>
    <t>Blanc</t>
  </si>
  <si>
    <t>Végé</t>
  </si>
  <si>
    <t>(variante 4 équipes : 1%, 9%, 40%, 50%)</t>
  </si>
  <si>
    <t>Part de ce 1er poste ?</t>
  </si>
  <si>
    <t>Guide : remplir les cases en jaune et lire les résultats dans les onglets bilan</t>
  </si>
  <si>
    <r>
      <t>Objectifs</t>
    </r>
    <r>
      <rPr>
        <b/>
        <sz val="16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</si>
  <si>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6"/>
        <color rgb="FFED7D31"/>
        <rFont val="Calibri"/>
        <family val="2"/>
        <scheme val="minor"/>
      </rPr>
      <t>6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F0"/>
        <rFont val="Calibri (Corps)"/>
      </rPr>
      <t>3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50"/>
        <rFont val="Calibri (Corps)"/>
      </rPr>
      <t>1.5</t>
    </r>
    <r>
      <rPr>
        <b/>
        <sz val="16"/>
        <color rgb="FF000000"/>
        <rFont val="Calibri"/>
        <family val="2"/>
        <scheme val="minor"/>
      </rPr>
      <t xml:space="preserve"> </t>
    </r>
    <r>
      <rPr>
        <sz val="16"/>
        <color rgb="FF000000"/>
        <rFont val="Calibri"/>
        <family val="2"/>
        <scheme val="minor"/>
      </rPr>
      <t xml:space="preserve">TCO2/an/p en 2020, </t>
    </r>
    <r>
      <rPr>
        <sz val="16"/>
        <color rgb="FFED7D31"/>
        <rFont val="Calibri"/>
        <family val="2"/>
        <scheme val="minor"/>
      </rPr>
      <t>2030</t>
    </r>
    <r>
      <rPr>
        <sz val="16"/>
        <color rgb="FF000000"/>
        <rFont val="Calibri"/>
        <family val="2"/>
        <scheme val="minor"/>
      </rPr>
      <t>,</t>
    </r>
    <r>
      <rPr>
        <sz val="16"/>
        <color rgb="FF00B0F0"/>
        <rFont val="Calibri"/>
        <family val="2"/>
        <scheme val="minor"/>
      </rPr>
      <t xml:space="preserve"> 2040,</t>
    </r>
    <r>
      <rPr>
        <sz val="16"/>
        <color rgb="FF00B050"/>
        <rFont val="Calibri"/>
        <family val="2"/>
        <scheme val="minor"/>
      </rPr>
      <t xml:space="preserve"> 2050</t>
    </r>
  </si>
  <si>
    <r>
      <t xml:space="preserve">Bilan CO2 de la France </t>
    </r>
    <r>
      <rPr>
        <sz val="16"/>
        <color rgb="FF000000"/>
        <rFont val="Calibri"/>
        <family val="2"/>
        <scheme val="minor"/>
      </rPr>
      <t>2015 (rapport Oxfam)</t>
    </r>
  </si>
  <si>
    <t xml:space="preserve">les 10% les plus riches de la population mondiale sont responsables de 52% des émissions de CO2 cumulées </t>
  </si>
  <si>
    <t xml:space="preserve">  28 TCO2/an c'est : 45% pour sa mobilité avec 7 vols Internatinoaux et 15 vols Nationaux en avion de ligne + 30 000 km/an avec son SUV électrique, une maison de 250m2 classe D chauffage électrique</t>
  </si>
  <si>
    <t xml:space="preserve">    9 TCO2/an c'est : 12% pour sa mobilité avec 1 vol International tous les 3 ans, 2 vols nationaux/an en avion de ligne + 20 000 km/an en voiture électrique et une maison de 150m2 classe D chauffée à l'électricité</t>
  </si>
  <si>
    <t xml:space="preserve">    3 TCO2/an c'est impossible avec 2T de services publics + 1T de consommation, il ne peut rien faire d'autre !!!</t>
  </si>
  <si>
    <t>CO2/2</t>
  </si>
  <si>
    <t>CO2/4</t>
  </si>
  <si>
    <t>CO2/8</t>
  </si>
  <si>
    <t>Rockström, J., Gaffney, O., Rogelj, J. et. al. 2017. A roadmap for rapid decarbonization. Science, Volume 355 Issue 6331</t>
  </si>
  <si>
    <t>Carbon law : Rockström &amp; al.  2017</t>
  </si>
  <si>
    <t>Carbon law:</t>
  </si>
  <si>
    <t>Carbon law scientific paper:</t>
  </si>
  <si>
    <t>Carbon law vidéo</t>
  </si>
  <si>
    <t>kgCO2/jour</t>
  </si>
  <si>
    <t>kWh/jour</t>
  </si>
  <si>
    <t>Déconsommation</t>
  </si>
  <si>
    <t>Revenus</t>
  </si>
  <si>
    <t>Consommation - Forfait selon étude OXFAM</t>
  </si>
  <si>
    <t>Classe Energétique</t>
  </si>
  <si>
    <t xml:space="preserve">Emissions CO2 </t>
  </si>
  <si>
    <t xml:space="preserve">Source : </t>
  </si>
  <si>
    <t>https://www.oxfam.org/fr/communiques-presse/les-emissions-de-co2-des-1-les-plus-riches-parties-pour-etre-30-fois-plus</t>
  </si>
  <si>
    <t>émissions des 10% les plus riches = 52%</t>
  </si>
  <si>
    <t>émissions des 1% = 2 fois celles des 50% les plus pauves</t>
  </si>
  <si>
    <t>J1</t>
  </si>
  <si>
    <t>J2</t>
  </si>
  <si>
    <t>Bilan et trajectoire Energétique annuel (kWh/an/pers.)</t>
  </si>
  <si>
    <t>Nouveau rapport OXFAM 2023</t>
  </si>
  <si>
    <t>En France, les 1% les plus riches émettent en moyenne chaque année plus de dix fois plus de CO2 (40,2 tonnes) qu’une personne parmi la moitié la plus pauvre (3,8 tonnes).</t>
  </si>
  <si>
    <t>les 10% les plus riches sont responsables de 50% des émissions humaines de CO2 liées à la consommation, tandis que les 50% les plus pauvres sont à l’origine de 8% du total mondial. (rien de nouveau)</t>
  </si>
  <si>
    <t>TCO2/an/pers. En moyenne en France</t>
  </si>
  <si>
    <t>https://www.theguardian.com/environment/2023/nov/20/richest-1-account-for-more-carbon-emissions-than-poorest-66-report-says</t>
  </si>
  <si>
    <t>https://www.oxfamfrance.org/rapports/egalite-climatique-une-planete-pour-les-99/</t>
  </si>
  <si>
    <t>Rapport et Figures :</t>
  </si>
  <si>
    <t>https://www.oxfamfrance.org/wp-content/uploads/2023/11/Focus-France-rapport-inegalites-et-climat.pdf</t>
  </si>
  <si>
    <t>SAF</t>
  </si>
  <si>
    <t>Analyse A. Barrau</t>
  </si>
  <si>
    <t>Catastrophe écologique : bilan et perspective. Aurélien Barrau à l'Université de Genève.</t>
  </si>
  <si>
    <t>Déconsommation individuelle ou déproduction collective</t>
  </si>
  <si>
    <t>Où j'achète ce que je mange ?</t>
  </si>
  <si>
    <t>Comment j'habite le monde ?</t>
  </si>
  <si>
    <t>Comment et combien je me déplace ?</t>
  </si>
  <si>
    <t>Comment je me nourris ?</t>
  </si>
  <si>
    <t>Combien je prélève collectivement sur le monde ?</t>
  </si>
  <si>
    <t>Combien je prélève individuellement sur le monde ?</t>
  </si>
  <si>
    <t>Moyenne en France en 2020 (consommation intérieure + importations - exportations)</t>
  </si>
  <si>
    <t>Pour aller plus loin dans l'analyse :</t>
  </si>
  <si>
    <t>7- Quels sont vos principaux apprentissages dans ce BE ?</t>
  </si>
  <si>
    <t>C'est l'heure du bilan pour le mois de juillet 2022 (6 avions suivis):</t>
  </si>
  <si>
    <t>- nombre de vols: 53 ✈️</t>
  </si>
  <si>
    <t>- 123 heures de vol ⏱️</t>
  </si>
  <si>
    <t>- vol le plus court: 20min 🤡</t>
  </si>
  <si>
    <t>- CO2 émis: 520 tonnes 🔥🔥🔥</t>
  </si>
  <si>
    <t>C'est l'équivalent des émissions d'un français moyen pendant 52 ans, 1/2 siècle !</t>
  </si>
  <si>
    <t>[1/7] pic.twitter.com/FAhm1DrOCy</t>
  </si>
  <si>
    <t>— I Fly Bernard (@i_fly_Bernard) August 1, 2022</t>
  </si>
  <si>
    <t>Comment vols Combien de vols pour les très riches ?</t>
  </si>
  <si>
    <t>Vols/an</t>
  </si>
  <si>
    <t>(extrapolation de l'analyse ci-dessous)</t>
  </si>
  <si>
    <t>heures de vol/an</t>
  </si>
  <si>
    <t>Taux de décroissance annuelle de consommation des services publics de 2040 à 2050</t>
  </si>
  <si>
    <t>Taux de décroissance annuelle de consommation des services publics de 2030 à 2040</t>
  </si>
  <si>
    <t>Taux de décroissance annuelle de consommation des services publics d'aujourd'hui à 2030</t>
  </si>
  <si>
    <t>Largeur de votre voiture</t>
  </si>
  <si>
    <t>Hauteur de votre voiture</t>
  </si>
  <si>
    <t>Rendement moteur</t>
  </si>
  <si>
    <t>Consommation moyenne</t>
  </si>
  <si>
    <t>Vitesse moyenne</t>
  </si>
  <si>
    <t>Vitesse</t>
  </si>
  <si>
    <t>m</t>
  </si>
  <si>
    <t>km/h</t>
  </si>
  <si>
    <t>Coeff. de traînée aérodynamique</t>
  </si>
  <si>
    <t>kg</t>
  </si>
  <si>
    <t>Masse de votre voiture</t>
  </si>
  <si>
    <t>Wh/km</t>
  </si>
  <si>
    <t>Estimer la consommation de votre voiture (Calculette)</t>
  </si>
  <si>
    <t>Structure d'achat</t>
  </si>
  <si>
    <t>Guide : remplir les cases en jaune (onglets Data, 2030, 2040, 2050) et lire les résultats dans les onglets bilan</t>
  </si>
  <si>
    <t>Quelques questions soulevées lors de la création de cette feuille :</t>
  </si>
  <si>
    <t>Ceci est impossible même sans compter les importations</t>
  </si>
  <si>
    <r>
      <t xml:space="preserve">1 petite voiture essence de 6L/100km et 8 000 km/an/p (16 000 km/an pour la famille) consomme déjà </t>
    </r>
    <r>
      <rPr>
        <b/>
        <sz val="12"/>
        <color theme="1"/>
        <rFont val="Calibri"/>
        <family val="2"/>
        <scheme val="minor"/>
      </rPr>
      <t>1.4TCO2/an</t>
    </r>
  </si>
  <si>
    <r>
      <t xml:space="preserve">L'image du bilan CO2 de BFMTV annonce </t>
    </r>
    <r>
      <rPr>
        <b/>
        <sz val="12"/>
        <color rgb="FFFF0000"/>
        <rFont val="Calibri"/>
        <family val="2"/>
        <scheme val="minor"/>
      </rPr>
      <t>1.6TCO2/an</t>
    </r>
    <r>
      <rPr>
        <sz val="12"/>
        <color rgb="FFFF0000"/>
        <rFont val="Calibri"/>
        <family val="2"/>
        <scheme val="minor"/>
      </rPr>
      <t xml:space="preserve"> pour les 50% les plus pauvres !!! (voir ci-dessus)</t>
    </r>
  </si>
  <si>
    <r>
      <t xml:space="preserve">Le nouveau bilan OXFAM 2023 est plus réaliste avec </t>
    </r>
    <r>
      <rPr>
        <b/>
        <sz val="12"/>
        <color rgb="FFFF0000"/>
        <rFont val="Calibri"/>
        <family val="2"/>
        <scheme val="minor"/>
      </rPr>
      <t xml:space="preserve">3.8TCO2/an/p </t>
    </r>
    <r>
      <rPr>
        <sz val="12"/>
        <color rgb="FFFF0000"/>
        <rFont val="Calibri"/>
        <family val="2"/>
        <scheme val="minor"/>
      </rPr>
      <t>pour les 50% les plus pauvres même si cela reste faible / 2T CO2 annoncé par Le Shift Project pour les services publics !</t>
    </r>
  </si>
  <si>
    <t>Q : Analyser la méthodologie OXFAM 2023 pour comprendre les hypothèses d'obtention de ce chiffre ?</t>
  </si>
  <si>
    <t>Trajectoire GIEC : de neutralité carbone en 2050</t>
  </si>
  <si>
    <t>Références bibliographiques :</t>
  </si>
  <si>
    <t>Bilan GES ADEME - France</t>
  </si>
  <si>
    <t>https://bilans-ges.ademe.fr/</t>
  </si>
  <si>
    <t>Electricité</t>
  </si>
  <si>
    <t>Chauffage</t>
  </si>
  <si>
    <t>kgCO2e/kWh</t>
  </si>
  <si>
    <t>Eau chaude sanitaire</t>
  </si>
  <si>
    <t>Gaz Naturel</t>
  </si>
  <si>
    <t>Tous usages</t>
  </si>
  <si>
    <t>GPL</t>
  </si>
  <si>
    <t>Fioul</t>
  </si>
  <si>
    <t>ENR</t>
  </si>
  <si>
    <t>Source : https://theshiftproject.org/wp-content/uploads/2021/11/Rapport-technique-Bilan-Carbone-Sante-France.pdf</t>
  </si>
  <si>
    <t>Selon l’ABC, les services sociétaux publics sont à l’origine de 1 358 kgCO2e/hab répartis comme suit :</t>
  </si>
  <si>
    <r>
      <t>411 kg</t>
    </r>
    <r>
      <rPr>
        <sz val="12"/>
        <color theme="1"/>
        <rFont val="Calibri"/>
        <family val="2"/>
        <scheme val="minor"/>
      </rPr>
      <t xml:space="preserve"> liés aux infrastructures publiques (génie civil, services d’architecture et de contrôle du bâti) ;</t>
    </r>
  </si>
  <si>
    <r>
      <t>365 kg</t>
    </r>
    <r>
      <rPr>
        <sz val="12"/>
        <color theme="1"/>
        <rFont val="Calibri"/>
        <family val="2"/>
        <scheme val="minor"/>
      </rPr>
      <t xml:space="preserve"> pour les activités de santé, d’action sociale et d’emploi (la vente de médicaments remboursés en pharmacie est incluse dans ce résultat) ;</t>
    </r>
  </si>
  <si>
    <r>
      <t>275 kg</t>
    </r>
    <r>
      <rPr>
        <sz val="12"/>
        <color theme="1"/>
        <rFont val="Calibri"/>
        <family val="2"/>
        <scheme val="minor"/>
      </rPr>
      <t xml:space="preserve"> pour l’enseignement et la recherche ;</t>
    </r>
  </si>
  <si>
    <r>
      <t>259 kg</t>
    </r>
    <r>
      <rPr>
        <sz val="12"/>
        <color theme="1"/>
        <rFont val="Calibri"/>
        <family val="2"/>
        <scheme val="minor"/>
      </rPr>
      <t xml:space="preserve"> relatifs au fonctionnement de l’administration, de la défense et de la sécurité sociale ;</t>
    </r>
  </si>
  <si>
    <r>
      <t xml:space="preserve">48 kg </t>
    </r>
    <r>
      <rPr>
        <sz val="12"/>
        <color theme="1"/>
        <rFont val="Calibri"/>
        <family val="2"/>
        <scheme val="minor"/>
      </rPr>
      <t>issus du fonctionnement du réseau d’eau potable, du traitement des eaux usées et des déchets dangereux, ainsi qu’à la décontamination des sites pollués.</t>
    </r>
  </si>
  <si>
    <t>Services sociaux publics</t>
  </si>
  <si>
    <t>Services sociaux marchands</t>
  </si>
  <si>
    <r>
      <t xml:space="preserve">À cela s’ajoutent </t>
    </r>
    <r>
      <rPr>
        <b/>
        <sz val="12"/>
        <color theme="1"/>
        <rFont val="Calibri"/>
        <family val="2"/>
        <scheme val="minor"/>
      </rPr>
      <t>197 kgCO2e/hab</t>
    </r>
    <r>
      <rPr>
        <sz val="12"/>
        <color theme="1"/>
        <rFont val="Calibri"/>
        <family val="2"/>
        <scheme val="minor"/>
      </rPr>
      <t xml:space="preserve"> engendrés par les services sociétaux marchands répartis comme suit :</t>
    </r>
  </si>
  <si>
    <t>67 kg pour les banques, les assurances et le juridique ;</t>
  </si>
  <si>
    <r>
      <t xml:space="preserve">53 kg </t>
    </r>
    <r>
      <rPr>
        <sz val="12"/>
        <color theme="1"/>
        <rFont val="Calibri"/>
        <family val="2"/>
        <scheme val="minor"/>
      </rPr>
      <t>pour les services postaux et de télécommunications ;</t>
    </r>
  </si>
  <si>
    <r>
      <t>40 kg</t>
    </r>
    <r>
      <rPr>
        <sz val="12"/>
        <color theme="1"/>
        <rFont val="Calibri"/>
        <family val="2"/>
        <scheme val="minor"/>
      </rPr>
      <t xml:space="preserve"> pour la fabrication de matériel de transport (hors automobile) ;</t>
    </r>
  </si>
  <si>
    <r>
      <t>20 kg</t>
    </r>
    <r>
      <rPr>
        <sz val="12"/>
        <color theme="1"/>
        <rFont val="Calibri"/>
        <family val="2"/>
        <scheme val="minor"/>
      </rPr>
      <t xml:space="preserve"> pour les activités associatives (professionnelles, politiques, culturelles et religieuses) ;</t>
    </r>
  </si>
  <si>
    <r>
      <t>14 kg</t>
    </r>
    <r>
      <rPr>
        <sz val="12"/>
        <color theme="1"/>
        <rFont val="Calibri"/>
        <family val="2"/>
        <scheme val="minor"/>
      </rPr>
      <t xml:space="preserve"> pour les services supports aux transports ;</t>
    </r>
  </si>
  <si>
    <r>
      <t>3 kg</t>
    </r>
    <r>
      <rPr>
        <sz val="12"/>
        <color theme="1"/>
        <rFont val="Calibri"/>
        <family val="2"/>
        <scheme val="minor"/>
      </rPr>
      <t xml:space="preserve"> pour les services funéraires et de sécurité des systèmes tels que l’alarme incendie.</t>
    </r>
  </si>
  <si>
    <t>1,3 TCO2/an/p</t>
  </si>
  <si>
    <t xml:space="preserve">selon Bon Pote : </t>
  </si>
  <si>
    <t>https://bonpote.com/empreinte-carbone-des-services-publics/</t>
  </si>
  <si>
    <t>Gaz</t>
  </si>
  <si>
    <t>E</t>
  </si>
  <si>
    <t>Nos gestes climat</t>
  </si>
  <si>
    <t>https://nosgestesclimat.fr/</t>
  </si>
  <si>
    <t>http://avenirclimatique.org/micmac/index.php</t>
  </si>
  <si>
    <t>Bilan CO2  - Avelnir Climatique</t>
  </si>
  <si>
    <t>dT</t>
  </si>
  <si>
    <t>Volume</t>
  </si>
  <si>
    <t>L</t>
  </si>
  <si>
    <t>l</t>
  </si>
  <si>
    <t>h</t>
  </si>
  <si>
    <t>kWh/j</t>
  </si>
  <si>
    <t>Pompe</t>
  </si>
  <si>
    <t>Watts</t>
  </si>
  <si>
    <t>Piscine individuelle chauffée</t>
  </si>
  <si>
    <t>jours/an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</si>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</sst>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 (Corps)"/>
    </font>
    <font>
      <u/>
      <sz val="16"/>
      <color theme="1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rgb="FF00B0F0"/>
      <name val="Calibri (Corps)"/>
    </font>
    <font>
      <b/>
      <sz val="16"/>
      <color rgb="FF00B050"/>
      <name val="Calibri (Corps)"/>
    </font>
    <font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4472C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center" vertical="center" readingOrder="1"/>
    </xf>
    <xf numFmtId="0" fontId="10" fillId="0" borderId="0" xfId="0" applyFont="1"/>
    <xf numFmtId="0" fontId="10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quotePrefix="1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9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 readingOrder="1"/>
    </xf>
    <xf numFmtId="0" fontId="0" fillId="2" borderId="0" xfId="0" applyFill="1"/>
    <xf numFmtId="0" fontId="10" fillId="2" borderId="0" xfId="0" applyFont="1" applyFill="1"/>
    <xf numFmtId="1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16" fillId="0" borderId="0" xfId="0" applyFont="1"/>
    <xf numFmtId="1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9" fillId="0" borderId="0" xfId="1360" applyFont="1" applyAlignment="1">
      <alignment horizontal="center"/>
    </xf>
    <xf numFmtId="0" fontId="19" fillId="0" borderId="0" xfId="1360" applyFont="1" applyAlignment="1">
      <alignment horizontal="left"/>
    </xf>
    <xf numFmtId="0" fontId="17" fillId="0" borderId="0" xfId="0" applyFont="1" applyAlignment="1">
      <alignment horizontal="left"/>
    </xf>
    <xf numFmtId="9" fontId="17" fillId="0" borderId="0" xfId="0" applyNumberFormat="1" applyFont="1" applyAlignment="1">
      <alignment horizontal="center"/>
    </xf>
    <xf numFmtId="0" fontId="4" fillId="0" borderId="1" xfId="0" applyFont="1" applyBorder="1"/>
    <xf numFmtId="0" fontId="17" fillId="0" borderId="2" xfId="0" applyFont="1" applyBorder="1"/>
    <xf numFmtId="0" fontId="0" fillId="0" borderId="2" xfId="0" applyBorder="1"/>
    <xf numFmtId="0" fontId="10" fillId="0" borderId="3" xfId="0" applyFont="1" applyBorder="1"/>
    <xf numFmtId="0" fontId="10" fillId="0" borderId="5" xfId="0" applyFont="1" applyBorder="1"/>
    <xf numFmtId="0" fontId="0" fillId="0" borderId="5" xfId="0" applyBorder="1"/>
    <xf numFmtId="0" fontId="17" fillId="0" borderId="6" xfId="0" applyFont="1" applyBorder="1" applyAlignment="1">
      <alignment horizontal="center"/>
    </xf>
    <xf numFmtId="0" fontId="17" fillId="0" borderId="7" xfId="0" applyFont="1" applyBorder="1"/>
    <xf numFmtId="0" fontId="0" fillId="0" borderId="7" xfId="0" applyBorder="1"/>
    <xf numFmtId="0" fontId="0" fillId="0" borderId="8" xfId="0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0" fontId="11" fillId="2" borderId="0" xfId="0" applyFont="1" applyFill="1" applyAlignment="1">
      <alignment horizontal="center" vertical="center" readingOrder="1"/>
    </xf>
    <xf numFmtId="1" fontId="4" fillId="3" borderId="4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horizontal="left" vertical="center" readingOrder="1"/>
    </xf>
    <xf numFmtId="0" fontId="5" fillId="0" borderId="0" xfId="0" applyFont="1"/>
    <xf numFmtId="0" fontId="27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28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28" fillId="0" borderId="0" xfId="0" applyFont="1"/>
    <xf numFmtId="38" fontId="4" fillId="3" borderId="0" xfId="0" applyNumberFormat="1" applyFont="1" applyFill="1" applyAlignment="1">
      <alignment horizontal="center"/>
    </xf>
    <xf numFmtId="0" fontId="29" fillId="0" borderId="0" xfId="1360" applyFont="1" applyAlignment="1">
      <alignment horizontal="left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8" fillId="0" borderId="0" xfId="0" applyFont="1" applyAlignment="1">
      <alignment horizontal="center" vertical="center" readingOrder="1"/>
    </xf>
    <xf numFmtId="164" fontId="9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30" fillId="0" borderId="0" xfId="0" applyFont="1" applyAlignment="1">
      <alignment horizontal="left" vertical="center" readingOrder="1"/>
    </xf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 vertical="center" readingOrder="1"/>
    </xf>
    <xf numFmtId="0" fontId="33" fillId="0" borderId="0" xfId="0" applyFont="1" applyAlignment="1">
      <alignment horizontal="left" vertical="center" readingOrder="1"/>
    </xf>
    <xf numFmtId="164" fontId="0" fillId="0" borderId="0" xfId="0" applyNumberFormat="1" applyAlignment="1">
      <alignment horizontal="center"/>
    </xf>
    <xf numFmtId="0" fontId="19" fillId="0" borderId="0" xfId="1360" applyFont="1"/>
    <xf numFmtId="9" fontId="17" fillId="4" borderId="0" xfId="0" applyNumberFormat="1" applyFont="1" applyFill="1" applyAlignment="1">
      <alignment horizontal="center"/>
    </xf>
    <xf numFmtId="164" fontId="17" fillId="4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9" fontId="17" fillId="0" borderId="0" xfId="0" applyNumberFormat="1" applyFont="1" applyAlignment="1">
      <alignment horizontal="left"/>
    </xf>
    <xf numFmtId="2" fontId="9" fillId="2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1" fillId="0" borderId="0" xfId="1360"/>
    <xf numFmtId="0" fontId="35" fillId="0" borderId="0" xfId="0" applyFont="1" applyAlignment="1">
      <alignment horizontal="center"/>
    </xf>
    <xf numFmtId="0" fontId="35" fillId="0" borderId="0" xfId="0" applyFont="1"/>
    <xf numFmtId="9" fontId="0" fillId="5" borderId="0" xfId="0" applyNumberFormat="1" applyFill="1" applyAlignment="1">
      <alignment horizontal="center"/>
    </xf>
    <xf numFmtId="9" fontId="9" fillId="0" borderId="0" xfId="0" applyNumberFormat="1" applyFont="1" applyAlignment="1">
      <alignment horizontal="center"/>
    </xf>
    <xf numFmtId="9" fontId="10" fillId="0" borderId="0" xfId="0" applyNumberFormat="1" applyFont="1"/>
    <xf numFmtId="1" fontId="29" fillId="0" borderId="0" xfId="136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4" fillId="0" borderId="0" xfId="0" applyFont="1"/>
    <xf numFmtId="164" fontId="4" fillId="0" borderId="4" xfId="0" applyNumberFormat="1" applyFont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2" borderId="4" xfId="0" applyFill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1" fontId="34" fillId="0" borderId="4" xfId="0" applyNumberFormat="1" applyFont="1" applyBorder="1" applyAlignment="1">
      <alignment horizontal="center"/>
    </xf>
    <xf numFmtId="1" fontId="34" fillId="0" borderId="6" xfId="0" applyNumberFormat="1" applyFont="1" applyBorder="1" applyAlignment="1">
      <alignment horizontal="center"/>
    </xf>
    <xf numFmtId="164" fontId="34" fillId="0" borderId="7" xfId="0" applyNumberFormat="1" applyFont="1" applyBorder="1" applyAlignment="1">
      <alignment horizontal="center"/>
    </xf>
    <xf numFmtId="0" fontId="36" fillId="0" borderId="0" xfId="0" applyFont="1"/>
    <xf numFmtId="0" fontId="38" fillId="0" borderId="0" xfId="0" applyFont="1"/>
    <xf numFmtId="0" fontId="0" fillId="2" borderId="0" xfId="0" applyFill="1" applyAlignment="1">
      <alignment horizontal="center"/>
    </xf>
  </cellXfs>
  <cellStyles count="13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60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des émissions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6-6049-B48B-A7FBDC906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6-6049-B48B-A7FBDC906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6-6049-B48B-A7FBDC906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C6-6049-B48B-A7FBDC906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C6-6049-B48B-A7FBDC906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cat>
          <c:val>
            <c:numRef>
              <c:f>Data!$C$31:$C$35</c:f>
              <c:numCache>
                <c:formatCode>0%</c:formatCode>
                <c:ptCount val="5"/>
                <c:pt idx="0">
                  <c:v>0</c:v>
                </c:pt>
                <c:pt idx="1">
                  <c:v>0.4495661686472554</c:v>
                </c:pt>
                <c:pt idx="2">
                  <c:v>0.1608098185251233</c:v>
                </c:pt>
                <c:pt idx="3">
                  <c:v>0.14985538954908514</c:v>
                </c:pt>
                <c:pt idx="4">
                  <c:v>0.23976862327853624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1D4B-90C1-81140DA484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465967158262254"/>
          <c:y val="0.29774023038786818"/>
          <c:w val="0.33988998199705406"/>
          <c:h val="0.50162583843686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2456491231019"/>
          <c:y val="0.14095781366745214"/>
          <c:w val="0.78833855746686943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CO2'!$A$13:$D$13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D242-855F-97F9BF603DE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CO2'!$A$12:$D$12</c:f>
              <c:numCache>
                <c:formatCode>#,##0_);[Red]\(#,##0\)</c:formatCode>
                <c:ptCount val="4"/>
                <c:pt idx="0">
                  <c:v>6.6730999999999998</c:v>
                </c:pt>
                <c:pt idx="1">
                  <c:v>10.275339673749999</c:v>
                </c:pt>
                <c:pt idx="2">
                  <c:v>5.3989925363506845</c:v>
                </c:pt>
                <c:pt idx="3">
                  <c:v>5.1305505435879288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F-D242-855F-97F9BF6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534105328616204"/>
          <c:y val="0.17300099811467232"/>
          <c:w val="0.30332389347809641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 / Poste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9165884950302"/>
          <c:y val="8.802560282875245E-2"/>
          <c:w val="0.79044373063475371"/>
          <c:h val="0.82702931884034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'Bilan CO2'!$E$5</c:f>
              <c:strCache>
                <c:ptCount val="1"/>
                <c:pt idx="0">
                  <c:v>Mobilité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CO2'!$A$5:$D$5</c:f>
              <c:numCache>
                <c:formatCode>0.0</c:formatCode>
                <c:ptCount val="4"/>
                <c:pt idx="0">
                  <c:v>0</c:v>
                </c:pt>
                <c:pt idx="1">
                  <c:v>4.4279999999999999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3-4E43-9648-FF4CCC90D70C}"/>
            </c:ext>
          </c:extLst>
        </c:ser>
        <c:ser>
          <c:idx val="1"/>
          <c:order val="1"/>
          <c:tx>
            <c:strRef>
              <c:f>'Bilan CO2'!$E$6</c:f>
              <c:strCache>
                <c:ptCount val="1"/>
                <c:pt idx="0">
                  <c:v>Logement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CO2'!$A$6:$D$6</c:f>
              <c:numCache>
                <c:formatCode>0.0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3-4E43-9648-FF4CCC90D70C}"/>
            </c:ext>
          </c:extLst>
        </c:ser>
        <c:ser>
          <c:idx val="2"/>
          <c:order val="2"/>
          <c:tx>
            <c:strRef>
              <c:f>'Bilan CO2'!$E$7</c:f>
              <c:strCache>
                <c:ptCount val="1"/>
                <c:pt idx="0">
                  <c:v>Alimentation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CO2'!$A$7:$D$7</c:f>
              <c:numCache>
                <c:formatCode>0.0</c:formatCode>
                <c:ptCount val="4"/>
                <c:pt idx="0">
                  <c:v>1.0731000000000002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3-4E43-9648-FF4CCC90D70C}"/>
            </c:ext>
          </c:extLst>
        </c:ser>
        <c:ser>
          <c:idx val="3"/>
          <c:order val="3"/>
          <c:tx>
            <c:strRef>
              <c:f>'Bilan CO2'!$E$8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CO2'!$A$8:$D$8</c:f>
              <c:numCache>
                <c:formatCode>0.0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3-4E43-9648-FF4CCC90D70C}"/>
            </c:ext>
          </c:extLst>
        </c:ser>
        <c:ser>
          <c:idx val="4"/>
          <c:order val="4"/>
          <c:tx>
            <c:strRef>
              <c:f>'Bilan CO2'!$E$9</c:f>
              <c:strCache>
                <c:ptCount val="1"/>
                <c:pt idx="0">
                  <c:v>Services Publics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CO2'!$A$9:$D$9</c:f>
              <c:numCache>
                <c:formatCode>0.0</c:formatCode>
                <c:ptCount val="4"/>
                <c:pt idx="0">
                  <c:v>1.6</c:v>
                </c:pt>
                <c:pt idx="1">
                  <c:v>1.1173396737499999</c:v>
                </c:pt>
                <c:pt idx="2">
                  <c:v>0.66899253635068379</c:v>
                </c:pt>
                <c:pt idx="3">
                  <c:v>0.40055054358792835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3-4E43-9648-FF4CCC90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46976"/>
        <c:axId val="236048704"/>
      </c:barChart>
      <c:catAx>
        <c:axId val="236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8704"/>
        <c:crosses val="autoZero"/>
        <c:auto val="1"/>
        <c:lblAlgn val="ctr"/>
        <c:lblOffset val="100"/>
        <c:noMultiLvlLbl val="0"/>
      </c:catAx>
      <c:valAx>
        <c:axId val="2360487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8245844269471"/>
          <c:y val="0.16251622393354676"/>
          <c:w val="0.26591337635142176"/>
          <c:h val="0.238193068901730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NRJ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591399927730485"/>
          <c:y val="0.14095781366745214"/>
          <c:w val="0.74564912310187481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NRJ'!$A$12:$D$12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C-B041-9E34-4BF0054A4B4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NRJ'!$A$11:$D$11</c:f>
              <c:numCache>
                <c:formatCode>#,##0_);[Red]\(#,##0\)</c:formatCode>
                <c:ptCount val="4"/>
                <c:pt idx="0">
                  <c:v>12000.5</c:v>
                </c:pt>
                <c:pt idx="1">
                  <c:v>29200.5</c:v>
                </c:pt>
                <c:pt idx="2">
                  <c:v>12000.5</c:v>
                </c:pt>
                <c:pt idx="3">
                  <c:v>12000.5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C-B041-9E34-4BF0054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kWh/an/pers.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64510626139715466"/>
          <c:y val="0.71877564600199628"/>
          <c:w val="0.25423104894100323"/>
          <c:h val="0.157481423976932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25400</xdr:colOff>
      <xdr:row>28</xdr:row>
      <xdr:rowOff>25400</xdr:rowOff>
    </xdr:from>
    <xdr:to>
      <xdr:col>17</xdr:col>
      <xdr:colOff>571500</xdr:colOff>
      <xdr:row>38</xdr:row>
      <xdr:rowOff>165100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A2A17EA-4B0A-15DF-123F-88275617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812800</xdr:colOff>
      <xdr:row>3</xdr:row>
      <xdr:rowOff>241300</xdr:rowOff>
    </xdr:from>
    <xdr:to>
      <xdr:col>23</xdr:col>
      <xdr:colOff>38100</xdr:colOff>
      <xdr:row>15</xdr:row>
      <xdr:rowOff>241300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D8988A4-EF37-AAD3-23AD-75765FF0145E}"/>
            </a:ext>
          </a:extLst>
        </xdr:cNvPr>
        <xdr:cNvSpPr/>
      </xdr:nvSpPr>
      <xdr:spPr>
        <a:xfrm>
          <a:off x="14287500" y="1054100"/>
          <a:ext cx="5626100" cy="289560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083BE324-58DA-2546-B5E3-1C6469E2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CE3AE6C1-6348-1745-990F-1CA5B7F3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35BF4CF5-BE8E-F846-8274-C368D2F7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579D4E-BBF5-2D38-7882-B769C8FF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0</xdr:row>
      <xdr:rowOff>152400</xdr:rowOff>
    </xdr:from>
    <xdr:to>
      <xdr:col>21</xdr:col>
      <xdr:colOff>342900</xdr:colOff>
      <xdr:row>14</xdr:row>
      <xdr:rowOff>215900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A41B36-9C19-E943-373D-09CEC9F9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9</xdr:row>
      <xdr:rowOff>304800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CB9154-7A8D-D34C-863B-63612D75E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88900</xdr:rowOff>
    </xdr:from>
    <xdr:to>
      <xdr:col>10</xdr:col>
      <xdr:colOff>36830</xdr:colOff>
      <xdr:row>84</xdr:row>
      <xdr:rowOff>139700</xdr:rowOff>
    </xdr:to>
    <xdr:pic>
      <xdr:nvPicPr>
        <xdr:cNvPr id="2" name="ember570" descr="Aucun texte alternatif pour cette image">
          <a:extLst>
            <a:ext uri="{FF2B5EF4-FFF2-40B4-BE49-F238E27FC236}">
              <a16:creationId xmlns:a16="http://schemas.microsoft.com/office/drawing/2014/main" id="{D7285A2D-8722-88B8-B360-77707B66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8571230" cy="504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38100</xdr:rowOff>
    </xdr:from>
    <xdr:to>
      <xdr:col>7</xdr:col>
      <xdr:colOff>492222</xdr:colOff>
      <xdr:row>56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A68DB3C-875A-48E9-570C-B9F3A83A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83500"/>
          <a:ext cx="6550122" cy="563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126999</xdr:colOff>
      <xdr:row>61</xdr:row>
      <xdr:rowOff>88900</xdr:rowOff>
    </xdr:from>
    <xdr:to>
      <xdr:col>20</xdr:col>
      <xdr:colOff>462602</xdr:colOff>
      <xdr:row>84</xdr:row>
      <xdr:rowOff>127000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CFE46C7-9A7D-7E61-B53D-A93564C37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1399" y="14300200"/>
          <a:ext cx="8590603" cy="5029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30</xdr:row>
      <xdr:rowOff>25400</xdr:rowOff>
    </xdr:from>
    <xdr:to>
      <xdr:col>18</xdr:col>
      <xdr:colOff>108796</xdr:colOff>
      <xdr:row>56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2E76F91-2BF5-BE33-F4EB-C749D8F4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1500" y="7874000"/>
          <a:ext cx="8325696" cy="5410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R7Si8NyLGM" TargetMode="External"/><Relationship Id="rId2" Type="http://schemas.openxmlformats.org/officeDocument/2006/relationships/hyperlink" Target="https://www.science.org/doi/10.1126/science.aah3443" TargetMode="External"/><Relationship Id="rId1" Type="http://schemas.openxmlformats.org/officeDocument/2006/relationships/hyperlink" Target="https://www.stockholmresilience.org/research/research-news/2017-03-23-curbing-emissions-with-a-new-carbon-law.html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transitionbascarbone.fr/infographie-les-services-societaux-un-poids-lourd-dans-lempreinte-carbone-de-chaque-citoyen-francais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oxfamfrance.org/rapports/egalite-climatique-une-planete-pour-les-99/" TargetMode="External"/><Relationship Id="rId7" Type="http://schemas.openxmlformats.org/officeDocument/2006/relationships/hyperlink" Target="https://bilans-ges.ademe.fr/" TargetMode="External"/><Relationship Id="rId12" Type="http://schemas.openxmlformats.org/officeDocument/2006/relationships/hyperlink" Target="http://avenirclimatique.org/micmac/index.php" TargetMode="External"/><Relationship Id="rId2" Type="http://schemas.openxmlformats.org/officeDocument/2006/relationships/hyperlink" Target="https://www.theguardian.com/environment/2023/nov/20/richest-1-account-for-more-carbon-emissions-than-poorest-66-report-says" TargetMode="External"/><Relationship Id="rId1" Type="http://schemas.openxmlformats.org/officeDocument/2006/relationships/hyperlink" Target="https://www.oxfam.org/fr/communiques-presse/les-emissions-de-co2-des-1-les-plus-riches-parties-pour-etre-30-fois-plus" TargetMode="External"/><Relationship Id="rId6" Type="http://schemas.openxmlformats.org/officeDocument/2006/relationships/hyperlink" Target="https://twitter.com/i_fly_Bernard/status/1554131430795616259?ref_src=twsrc%5Etfw" TargetMode="External"/><Relationship Id="rId11" Type="http://schemas.openxmlformats.org/officeDocument/2006/relationships/hyperlink" Target="https://nosgestesclimat.fr/" TargetMode="External"/><Relationship Id="rId5" Type="http://schemas.openxmlformats.org/officeDocument/2006/relationships/hyperlink" Target="https://t.co/FAhm1DrOCy" TargetMode="External"/><Relationship Id="rId10" Type="http://schemas.openxmlformats.org/officeDocument/2006/relationships/hyperlink" Target="https://bonpote.com/empreinte-carbone-des-services-publics/" TargetMode="External"/><Relationship Id="rId4" Type="http://schemas.openxmlformats.org/officeDocument/2006/relationships/hyperlink" Target="https://www.oxfamfrance.org/wp-content/uploads/2023/11/Focus-France-rapport-inegalites-et-climat.pdf" TargetMode="External"/><Relationship Id="rId9" Type="http://schemas.openxmlformats.org/officeDocument/2006/relationships/hyperlink" Target="https://greenly.earth/fr-fr/blog/actualites-ecologie/nos-banques-financent-elles-reellement-la-crise-climati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2:Z63"/>
  <sheetViews>
    <sheetView tabSelected="1" zoomScaleNormal="100" workbookViewId="0">
      <selection activeCell="C27" sqref="C27"/>
    </sheetView>
  </sheetViews>
  <sheetFormatPr baseColWidth="10" defaultRowHeight="16" x14ac:dyDescent="0.2"/>
  <cols>
    <col min="1" max="1" width="13.5" customWidth="1"/>
    <col min="5" max="5" width="13" customWidth="1"/>
    <col min="6" max="6" width="13.33203125" customWidth="1"/>
    <col min="7" max="7" width="17.83203125" customWidth="1"/>
    <col min="19" max="19" width="8.1640625" customWidth="1"/>
  </cols>
  <sheetData>
    <row r="2" spans="1:23" ht="24" x14ac:dyDescent="0.25">
      <c r="A2" s="7" t="s">
        <v>37</v>
      </c>
      <c r="C2" s="22" t="s">
        <v>149</v>
      </c>
      <c r="D2" s="21"/>
      <c r="E2" s="21"/>
      <c r="F2" s="21"/>
      <c r="G2" s="21"/>
      <c r="H2" s="21"/>
      <c r="I2" s="21"/>
      <c r="J2" s="21"/>
      <c r="K2" s="21"/>
    </row>
    <row r="3" spans="1:23" ht="24" x14ac:dyDescent="0.2">
      <c r="A3" s="7"/>
    </row>
    <row r="4" spans="1:23" ht="21" x14ac:dyDescent="0.25">
      <c r="A4" s="53" t="s">
        <v>15</v>
      </c>
      <c r="E4" s="18">
        <v>2023</v>
      </c>
      <c r="F4" s="9" t="s">
        <v>42</v>
      </c>
    </row>
    <row r="5" spans="1:23" ht="19" customHeight="1" thickBot="1" x14ac:dyDescent="0.3">
      <c r="A5" s="10" t="s">
        <v>0</v>
      </c>
      <c r="B5" s="11" t="s">
        <v>1</v>
      </c>
      <c r="C5" s="11" t="s">
        <v>2</v>
      </c>
      <c r="Q5" s="90" t="s">
        <v>147</v>
      </c>
    </row>
    <row r="6" spans="1:23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>
        <v>0</v>
      </c>
      <c r="F6" s="12" t="s">
        <v>21</v>
      </c>
      <c r="G6" s="9"/>
      <c r="H6" s="9"/>
      <c r="Q6" s="93">
        <v>1800</v>
      </c>
      <c r="R6" s="38" t="s">
        <v>144</v>
      </c>
      <c r="S6" s="38"/>
      <c r="T6" s="38"/>
      <c r="U6" s="38" t="s">
        <v>145</v>
      </c>
      <c r="V6" s="38"/>
      <c r="W6" s="94"/>
    </row>
    <row r="7" spans="1:23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>
        <v>0</v>
      </c>
      <c r="F7" s="12" t="s">
        <v>22</v>
      </c>
      <c r="G7" s="9"/>
      <c r="H7" s="9"/>
      <c r="Q7" s="95">
        <v>1.9</v>
      </c>
      <c r="R7" t="s">
        <v>141</v>
      </c>
      <c r="U7" t="s">
        <v>135</v>
      </c>
      <c r="W7" s="41"/>
    </row>
    <row r="8" spans="1:23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>
        <v>0</v>
      </c>
      <c r="F8" s="12" t="s">
        <v>23</v>
      </c>
      <c r="G8" s="9"/>
      <c r="H8" s="9"/>
      <c r="Q8" s="95">
        <v>1.8</v>
      </c>
      <c r="R8" t="s">
        <v>141</v>
      </c>
      <c r="U8" t="s">
        <v>136</v>
      </c>
      <c r="W8" s="41"/>
    </row>
    <row r="9" spans="1:23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>
        <v>0</v>
      </c>
      <c r="F9" s="12" t="s">
        <v>24</v>
      </c>
      <c r="G9" s="9"/>
      <c r="H9" s="9"/>
      <c r="L9" s="13" t="s">
        <v>27</v>
      </c>
      <c r="N9" s="11" t="s">
        <v>61</v>
      </c>
      <c r="Q9" s="95">
        <v>0.4</v>
      </c>
      <c r="U9" t="s">
        <v>143</v>
      </c>
      <c r="W9" s="41"/>
    </row>
    <row r="10" spans="1:23" ht="19" x14ac:dyDescent="0.25">
      <c r="A10" s="20">
        <f>C10/100*D10*0.8*3/1000 + N10*6/L10</f>
        <v>0</v>
      </c>
      <c r="B10" s="11">
        <f>C10/100*D10*10</f>
        <v>0</v>
      </c>
      <c r="C10" s="18">
        <v>0</v>
      </c>
      <c r="D10" s="18">
        <v>8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  <c r="Q10" s="95">
        <v>0.9</v>
      </c>
      <c r="U10" t="s">
        <v>137</v>
      </c>
      <c r="W10" s="41"/>
    </row>
    <row r="11" spans="1:23" ht="19" x14ac:dyDescent="0.25">
      <c r="A11" s="20">
        <f>C11/100*D11*0.08/1000 + N11*12/L11</f>
        <v>0</v>
      </c>
      <c r="B11" s="11">
        <f>C11*D11/100</f>
        <v>0</v>
      </c>
      <c r="C11" s="18">
        <v>0</v>
      </c>
      <c r="D11" s="18">
        <v>25</v>
      </c>
      <c r="E11" s="11" t="s">
        <v>8</v>
      </c>
      <c r="F11" s="12" t="s">
        <v>26</v>
      </c>
      <c r="G11" s="9"/>
      <c r="H11" s="9"/>
      <c r="L11" s="1">
        <f>IF(C11=0,99,200000/C11)</f>
        <v>99</v>
      </c>
      <c r="N11" s="1">
        <f>IF(C11=0,0,IF(D11=0,0,1))</f>
        <v>0</v>
      </c>
      <c r="Q11" s="95">
        <v>130</v>
      </c>
      <c r="R11" t="s">
        <v>142</v>
      </c>
      <c r="U11" t="s">
        <v>140</v>
      </c>
      <c r="W11" s="41"/>
    </row>
    <row r="12" spans="1:23" ht="19" x14ac:dyDescent="0.25">
      <c r="A12" s="20">
        <f>C12/100*D12*0.08/1000 + N12*6/L12</f>
        <v>0</v>
      </c>
      <c r="B12" s="11">
        <f>C12*D12/100</f>
        <v>0</v>
      </c>
      <c r="C12" s="18">
        <v>0</v>
      </c>
      <c r="D12" s="18">
        <v>15</v>
      </c>
      <c r="E12" s="11" t="s">
        <v>8</v>
      </c>
      <c r="F12" s="12" t="s">
        <v>38</v>
      </c>
      <c r="G12" s="9"/>
      <c r="H12" s="9"/>
      <c r="L12" s="1">
        <f>IF(C12=0,99,200000/C12)</f>
        <v>99</v>
      </c>
      <c r="N12" s="1">
        <f>IF(C12=0,0,IF(D12=0,0,1))</f>
        <v>0</v>
      </c>
      <c r="Q12" s="97">
        <f>(0.013*Q6*9.8+0.6*Q7*Q8*Q9*(Q11/3.6)^2)/3.6/Q10</f>
        <v>401.12757201646082</v>
      </c>
      <c r="R12" t="s">
        <v>146</v>
      </c>
      <c r="S12" s="96">
        <f>Q12*100/10000</f>
        <v>4.0112757201646083</v>
      </c>
      <c r="T12" t="s">
        <v>7</v>
      </c>
      <c r="U12" t="s">
        <v>138</v>
      </c>
      <c r="W12" s="41"/>
    </row>
    <row r="13" spans="1:23" ht="19" x14ac:dyDescent="0.25">
      <c r="A13" s="20">
        <f>C13/100*D13*0.08/1000 + N13*2/L13</f>
        <v>0</v>
      </c>
      <c r="B13" s="11">
        <f>C13*D13/100</f>
        <v>0</v>
      </c>
      <c r="C13" s="18">
        <v>0</v>
      </c>
      <c r="D13" s="18">
        <v>6</v>
      </c>
      <c r="E13" s="11" t="s">
        <v>8</v>
      </c>
      <c r="F13" s="12" t="s">
        <v>25</v>
      </c>
      <c r="G13" s="9"/>
      <c r="H13" s="9"/>
      <c r="L13" s="1">
        <f>IF(C13=0,99,200000/C13)</f>
        <v>99</v>
      </c>
      <c r="N13" s="1">
        <f>IF(C13=0,0,IF(D13=0,0,1))</f>
        <v>0</v>
      </c>
      <c r="Q13" s="95">
        <v>80</v>
      </c>
      <c r="R13" t="s">
        <v>142</v>
      </c>
      <c r="U13" t="s">
        <v>139</v>
      </c>
      <c r="W13" s="41"/>
    </row>
    <row r="14" spans="1:23" ht="20" thickBot="1" x14ac:dyDescent="0.3">
      <c r="A14" s="20">
        <f>C14/100*D14*0.08/1000 + N14*0.2/L14</f>
        <v>0</v>
      </c>
      <c r="B14" s="11">
        <f>C14*D14/100</f>
        <v>0</v>
      </c>
      <c r="C14" s="18">
        <v>0</v>
      </c>
      <c r="D14" s="18">
        <v>0.2</v>
      </c>
      <c r="E14" s="11" t="s">
        <v>8</v>
      </c>
      <c r="F14" s="12" t="s">
        <v>9</v>
      </c>
      <c r="G14" s="9"/>
      <c r="H14" s="9"/>
      <c r="L14" s="1">
        <f>IF(C14=0,99,200000/C14)</f>
        <v>99</v>
      </c>
      <c r="N14" s="1">
        <f>IF(C14=0,0,IF(D14=0,0,1))</f>
        <v>0</v>
      </c>
      <c r="Q14" s="98">
        <f>(0.013*Q6*9.8+0.6*Q7*Q8*Q9*(Q13/3.6)^2)/3.6/Q10</f>
        <v>195.88065843621402</v>
      </c>
      <c r="R14" s="44" t="s">
        <v>146</v>
      </c>
      <c r="S14" s="99">
        <f>Q14*100/10000</f>
        <v>1.9588065843621403</v>
      </c>
      <c r="T14" s="44" t="s">
        <v>7</v>
      </c>
      <c r="U14" s="44" t="s">
        <v>138</v>
      </c>
      <c r="V14" s="44"/>
      <c r="W14" s="45"/>
    </row>
    <row r="15" spans="1:23" x14ac:dyDescent="0.2">
      <c r="A15" s="1"/>
      <c r="B15" s="1"/>
      <c r="C15" s="1"/>
      <c r="D15" s="1"/>
    </row>
    <row r="16" spans="1:23" ht="21" x14ac:dyDescent="0.2">
      <c r="A16" s="72" t="s">
        <v>17</v>
      </c>
      <c r="C16" s="1"/>
      <c r="D16" s="1"/>
    </row>
    <row r="17" spans="1:26" ht="19" x14ac:dyDescent="0.25">
      <c r="A17" s="11" t="s">
        <v>0</v>
      </c>
      <c r="B17" s="11" t="s">
        <v>1</v>
      </c>
      <c r="C17" s="11" t="s">
        <v>11</v>
      </c>
      <c r="D17" s="67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26" ht="19" x14ac:dyDescent="0.25">
      <c r="A18" s="20">
        <f>B18*G18/1000</f>
        <v>3</v>
      </c>
      <c r="B18" s="11">
        <f>C18*F18</f>
        <v>12000</v>
      </c>
      <c r="C18" s="18">
        <v>40</v>
      </c>
      <c r="D18" s="18" t="s">
        <v>189</v>
      </c>
      <c r="E18" s="18" t="s">
        <v>188</v>
      </c>
      <c r="F18" s="11">
        <f>IF(D18="G",600,IF(D18="F",400,IF(D18="E",300,IF(D18="D",200,IF(D18="C",120,IF(D18="B",70,IF(D18="A",35,200)))))))</f>
        <v>300</v>
      </c>
      <c r="G18" s="11">
        <f>IF(E18="Fioul",0.32,IF(E18="Electricité",0.09,IF(E18="PAC",0.03,IF(E18="Gaz",0.25,IF(E18="Bois",0.03,IF(E18="B",70,IF(E18="A",35,0.3)))))))</f>
        <v>0.25</v>
      </c>
      <c r="H18" s="15" t="s">
        <v>112</v>
      </c>
      <c r="I18" s="11"/>
      <c r="J18" s="11"/>
      <c r="Q18" s="90" t="s">
        <v>202</v>
      </c>
    </row>
    <row r="19" spans="1:26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  <c r="R19" s="1" t="s">
        <v>196</v>
      </c>
      <c r="S19" s="1" t="s">
        <v>197</v>
      </c>
      <c r="T19" s="1" t="s">
        <v>198</v>
      </c>
      <c r="U19" s="1" t="s">
        <v>195</v>
      </c>
      <c r="V19" s="1" t="s">
        <v>194</v>
      </c>
      <c r="W19" s="1" t="s">
        <v>204</v>
      </c>
      <c r="X19" s="1" t="s">
        <v>199</v>
      </c>
      <c r="Y19" s="1" t="s">
        <v>203</v>
      </c>
      <c r="Z19" s="1" t="s">
        <v>1</v>
      </c>
    </row>
    <row r="20" spans="1:26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  <c r="Q20" s="9" t="s">
        <v>161</v>
      </c>
      <c r="R20" s="102">
        <v>10</v>
      </c>
      <c r="S20" s="102">
        <v>5</v>
      </c>
      <c r="T20" s="102">
        <v>2</v>
      </c>
      <c r="U20" s="1">
        <f>T20*S20*R20</f>
        <v>100</v>
      </c>
      <c r="V20" s="102">
        <v>10</v>
      </c>
      <c r="W20" s="1">
        <f>U20*V20*4180</f>
        <v>4180000</v>
      </c>
      <c r="X20" s="73">
        <f>W20/3600/1000</f>
        <v>1.161111111111111</v>
      </c>
      <c r="Y20" s="102">
        <v>180</v>
      </c>
      <c r="Z20" s="81">
        <f>Y20*X20</f>
        <v>208.99999999999997</v>
      </c>
    </row>
    <row r="21" spans="1:26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13" t="s">
        <v>148</v>
      </c>
      <c r="G21" s="9"/>
      <c r="H21" s="9"/>
      <c r="I21" s="9"/>
      <c r="J21" s="9"/>
      <c r="Q21" s="9" t="s">
        <v>200</v>
      </c>
      <c r="R21" s="102">
        <v>400</v>
      </c>
      <c r="S21" t="s">
        <v>201</v>
      </c>
      <c r="X21" s="73">
        <f>R21*24/1000</f>
        <v>9.6</v>
      </c>
      <c r="Y21" s="102">
        <v>180</v>
      </c>
      <c r="Z21" s="81">
        <f>X21*Y21</f>
        <v>1728</v>
      </c>
    </row>
    <row r="22" spans="1:26" ht="19" x14ac:dyDescent="0.25">
      <c r="A22" s="20">
        <f>F22*730*(C22*5.5+D22*1.6+E22*0.5)/1000</f>
        <v>1.0731000000000002</v>
      </c>
      <c r="B22" s="9"/>
      <c r="C22" s="79">
        <v>0.4</v>
      </c>
      <c r="D22" s="79">
        <v>0.4</v>
      </c>
      <c r="E22" s="80">
        <f>1-D22-C22</f>
        <v>0.19999999999999996</v>
      </c>
      <c r="F22" s="48">
        <v>0.5</v>
      </c>
      <c r="G22" s="9" t="s">
        <v>111</v>
      </c>
      <c r="J22" s="9"/>
    </row>
    <row r="23" spans="1:26" ht="19" x14ac:dyDescent="0.25">
      <c r="A23" s="8"/>
      <c r="B23" s="9"/>
      <c r="C23" s="11"/>
      <c r="D23" s="11"/>
      <c r="E23" s="11"/>
      <c r="F23" s="9"/>
      <c r="I23" s="9"/>
      <c r="J23" s="9"/>
    </row>
    <row r="24" spans="1:26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26" ht="19" x14ac:dyDescent="0.25">
      <c r="A25" s="24">
        <f>IF(B25=1%,80,IF(B25=9%,6,IF(B25=40%,2,IF(B25=50%,1,2))))*D25</f>
        <v>1</v>
      </c>
      <c r="B25" s="25">
        <v>0.5</v>
      </c>
      <c r="C25" s="9" t="s">
        <v>88</v>
      </c>
      <c r="D25" s="79">
        <v>1</v>
      </c>
      <c r="E25" s="9" t="s">
        <v>110</v>
      </c>
      <c r="F25" s="65"/>
      <c r="G25" s="9"/>
      <c r="H25" s="12"/>
      <c r="I25" s="9"/>
      <c r="J25" s="9"/>
    </row>
    <row r="26" spans="1:26" ht="19" x14ac:dyDescent="0.25">
      <c r="A26" s="9"/>
      <c r="B26" s="9"/>
      <c r="C26" s="11"/>
      <c r="D26" s="11"/>
      <c r="E26" s="11"/>
      <c r="F26" s="9"/>
      <c r="G26" s="9"/>
      <c r="H26" s="12"/>
      <c r="I26" s="9"/>
    </row>
    <row r="27" spans="1:26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</row>
    <row r="28" spans="1:26" ht="19" x14ac:dyDescent="0.25">
      <c r="A28" s="24">
        <v>1.6</v>
      </c>
      <c r="C28" s="25">
        <v>-0.05</v>
      </c>
      <c r="D28" s="13" t="s">
        <v>134</v>
      </c>
      <c r="E28" s="1"/>
      <c r="G28" s="9"/>
      <c r="H28" s="9"/>
      <c r="I28" s="9"/>
      <c r="J28" s="9"/>
      <c r="K28" s="9"/>
      <c r="L28" s="9"/>
    </row>
    <row r="29" spans="1:26" ht="20" thickBot="1" x14ac:dyDescent="0.3">
      <c r="J29" s="9"/>
      <c r="K29" s="9"/>
      <c r="L29" s="9"/>
    </row>
    <row r="30" spans="1:26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26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26" ht="21" x14ac:dyDescent="0.25">
      <c r="A32" s="92">
        <f>A18</f>
        <v>3</v>
      </c>
      <c r="B32" s="28" t="s">
        <v>0</v>
      </c>
      <c r="C32" s="35">
        <f>A32/A36</f>
        <v>0.4495661686472554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1.0731000000000002</v>
      </c>
      <c r="B33" s="28" t="s">
        <v>0</v>
      </c>
      <c r="C33" s="35">
        <f>A33/A36</f>
        <v>0.1608098185251233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1</v>
      </c>
      <c r="B34" s="28" t="s">
        <v>0</v>
      </c>
      <c r="C34" s="35">
        <f>A34/A36</f>
        <v>0.14985538954908514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1.6</v>
      </c>
      <c r="B35" s="28" t="s">
        <v>0</v>
      </c>
      <c r="C35" s="35">
        <f>A35/A36</f>
        <v>0.23976862327853624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6.6730999999999998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4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7ED4-95F0-9B4E-93BA-8B579DA96A03}">
  <dimension ref="A2:N63"/>
  <sheetViews>
    <sheetView zoomScaleNormal="100" workbookViewId="0">
      <selection activeCell="C22" sqref="C22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37</v>
      </c>
      <c r="C2" s="22" t="s">
        <v>69</v>
      </c>
      <c r="D2" s="21"/>
      <c r="E2" s="21"/>
      <c r="F2" s="21"/>
      <c r="G2" s="21"/>
      <c r="H2" s="21"/>
    </row>
    <row r="3" spans="1:14" ht="24" x14ac:dyDescent="0.2">
      <c r="A3" s="7"/>
    </row>
    <row r="4" spans="1:14" ht="21" x14ac:dyDescent="0.2">
      <c r="A4" s="53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>
        <v>0</v>
      </c>
      <c r="F6" s="12" t="s">
        <v>21</v>
      </c>
      <c r="G6" s="9"/>
      <c r="H6" s="9"/>
    </row>
    <row r="7" spans="1:14" ht="19" x14ac:dyDescent="0.25">
      <c r="A7" s="20">
        <f>C7/100*3*0.8*3/1000</f>
        <v>1.44</v>
      </c>
      <c r="B7" s="11">
        <f>C7/100*3*10</f>
        <v>6000</v>
      </c>
      <c r="C7" s="10">
        <f>E7*20000</f>
        <v>20000</v>
      </c>
      <c r="D7" s="11"/>
      <c r="E7" s="17">
        <v>1</v>
      </c>
      <c r="F7" s="12" t="s">
        <v>22</v>
      </c>
      <c r="G7" s="9"/>
      <c r="H7" s="9"/>
      <c r="J7" s="85">
        <v>0.05</v>
      </c>
      <c r="K7" s="1" t="s">
        <v>107</v>
      </c>
    </row>
    <row r="8" spans="1:14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>
        <v>0</v>
      </c>
      <c r="F8" s="12" t="s">
        <v>23</v>
      </c>
      <c r="G8" s="9"/>
      <c r="H8" s="9"/>
    </row>
    <row r="9" spans="1:14" ht="19" x14ac:dyDescent="0.25">
      <c r="A9" s="20">
        <f>C9/100*3*0.8*3/1000</f>
        <v>0.28799999999999998</v>
      </c>
      <c r="B9" s="11">
        <f>C9/100*3*10</f>
        <v>1200</v>
      </c>
      <c r="C9" s="10">
        <f>E9*2000</f>
        <v>4000</v>
      </c>
      <c r="D9" s="11"/>
      <c r="E9" s="18">
        <v>2</v>
      </c>
      <c r="F9" s="12" t="s">
        <v>24</v>
      </c>
      <c r="G9" s="9"/>
      <c r="H9" s="9"/>
      <c r="J9" s="85">
        <v>0.05</v>
      </c>
      <c r="K9" s="1" t="s">
        <v>107</v>
      </c>
      <c r="L9" s="13" t="s">
        <v>27</v>
      </c>
      <c r="N9" s="11" t="s">
        <v>61</v>
      </c>
    </row>
    <row r="10" spans="1:14" ht="19" x14ac:dyDescent="0.25">
      <c r="A10" s="20">
        <f>C10/100*D10*0.8*3/1000 + N10*6/L10</f>
        <v>2.6999999999999997</v>
      </c>
      <c r="B10" s="11">
        <f>C10/100*D10*10</f>
        <v>10000</v>
      </c>
      <c r="C10" s="18">
        <v>10000</v>
      </c>
      <c r="D10" s="18">
        <v>10</v>
      </c>
      <c r="E10" s="11" t="s">
        <v>7</v>
      </c>
      <c r="F10" s="12" t="s">
        <v>10</v>
      </c>
      <c r="G10" s="9"/>
      <c r="H10" s="9"/>
      <c r="L10" s="73">
        <f>IF(C10=0,100,200000/C10)</f>
        <v>20</v>
      </c>
      <c r="N10" s="1">
        <f>IF(C10=0,0,IF(D10=0,0,1))</f>
        <v>1</v>
      </c>
    </row>
    <row r="11" spans="1:14" ht="19" x14ac:dyDescent="0.25">
      <c r="A11" s="20">
        <f>C11/100*D11*0.08/1000 + N11*12/L11</f>
        <v>0</v>
      </c>
      <c r="B11" s="11">
        <f>C11*D11/100</f>
        <v>0</v>
      </c>
      <c r="C11" s="18">
        <v>0</v>
      </c>
      <c r="D11" s="18">
        <v>25</v>
      </c>
      <c r="E11" s="11" t="s">
        <v>8</v>
      </c>
      <c r="F11" s="12" t="s">
        <v>26</v>
      </c>
      <c r="G11" s="9"/>
      <c r="H11" s="9"/>
      <c r="L11" s="73">
        <f>IF(C11=0,99,200000/C11)</f>
        <v>99</v>
      </c>
      <c r="N11" s="1">
        <f>IF(C11=0,0,IF(D11=0,0,1))</f>
        <v>0</v>
      </c>
    </row>
    <row r="12" spans="1:14" ht="19" x14ac:dyDescent="0.25">
      <c r="A12" s="20">
        <f>C12/100*D12*0.08/1000 + N12*6/L12</f>
        <v>0</v>
      </c>
      <c r="B12" s="11">
        <f>C12*D12/100</f>
        <v>0</v>
      </c>
      <c r="C12" s="18">
        <v>0</v>
      </c>
      <c r="D12" s="18">
        <v>20</v>
      </c>
      <c r="E12" s="11" t="s">
        <v>8</v>
      </c>
      <c r="F12" s="12" t="s">
        <v>38</v>
      </c>
      <c r="G12" s="9"/>
      <c r="H12" s="9"/>
      <c r="L12" s="73">
        <f>IF(C12=0,99,200000/C12)</f>
        <v>99</v>
      </c>
      <c r="N12" s="1">
        <f>IF(C12=0,0,IF(D12=0,0,1))</f>
        <v>0</v>
      </c>
    </row>
    <row r="13" spans="1:14" ht="19" x14ac:dyDescent="0.25">
      <c r="A13" s="20">
        <f>C13/100*D13*0.08/1000 + N13*2/L13</f>
        <v>0</v>
      </c>
      <c r="B13" s="11">
        <f>C13*D13/100</f>
        <v>0</v>
      </c>
      <c r="C13" s="18">
        <v>0</v>
      </c>
      <c r="D13" s="18">
        <v>6</v>
      </c>
      <c r="E13" s="11" t="s">
        <v>8</v>
      </c>
      <c r="F13" s="12" t="s">
        <v>25</v>
      </c>
      <c r="G13" s="9"/>
      <c r="H13" s="9"/>
      <c r="L13" s="73">
        <f>IF(C13=0,99,200000/C13)</f>
        <v>99</v>
      </c>
      <c r="N13" s="1">
        <f>IF(C13=0,0,IF(D13=0,0,1))</f>
        <v>0</v>
      </c>
    </row>
    <row r="14" spans="1:14" ht="19" x14ac:dyDescent="0.25">
      <c r="A14" s="20">
        <f>C14/100*D14*0.08/1000 + N14*0.2/L14</f>
        <v>0</v>
      </c>
      <c r="B14" s="11">
        <f>C14*D14/100</f>
        <v>0</v>
      </c>
      <c r="C14" s="18">
        <v>0</v>
      </c>
      <c r="D14" s="18">
        <v>0.2</v>
      </c>
      <c r="E14" s="11" t="s">
        <v>8</v>
      </c>
      <c r="F14" s="12" t="s">
        <v>9</v>
      </c>
      <c r="G14" s="9"/>
      <c r="H14" s="9"/>
      <c r="L14" s="73">
        <f>IF(C14=0,99,200000/C14)</f>
        <v>99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3</v>
      </c>
      <c r="B18" s="11">
        <f>C18*F18</f>
        <v>12000</v>
      </c>
      <c r="C18" s="18">
        <f>Data!C18</f>
        <v>40</v>
      </c>
      <c r="D18" s="18" t="str">
        <f>Data!D18</f>
        <v>E</v>
      </c>
      <c r="E18" s="18" t="str">
        <f>Data!E18</f>
        <v>Gaz</v>
      </c>
      <c r="F18" s="11">
        <f>IF(D18="G",600,IF(D18="F",400,IF(D18="E",300,IF(D18="D",200,IF(D18="C",120,IF(D18="B",70,IF(D18="A",35,200)))))))</f>
        <v>300</v>
      </c>
      <c r="G18" s="11">
        <f>IF(E18="Fioul",0.32,IF(E18="Electricité",0.09,IF(E18="PAC",0.03,IF(E18="Gaz",0.25,IF(E18="Bois",0.03,IF(E18="B",70,IF(E18="A",35,0.3)))))))</f>
        <v>0.25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9" t="s">
        <v>63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0.73</v>
      </c>
      <c r="B22" s="9"/>
      <c r="C22" s="18"/>
      <c r="D22" s="18"/>
      <c r="E22" s="11">
        <f>1-D22-C22</f>
        <v>1</v>
      </c>
      <c r="F22" s="48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1</v>
      </c>
      <c r="B25" s="86">
        <f>Data!B25</f>
        <v>0.5</v>
      </c>
      <c r="C25" s="9" t="s">
        <v>88</v>
      </c>
      <c r="D25" s="79">
        <v>1</v>
      </c>
      <c r="E25" s="9" t="s">
        <v>87</v>
      </c>
      <c r="F25" s="65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f>Data!A28*(1+Data!C28)^(2030-Data!E4)</f>
        <v>1.1173396737499999</v>
      </c>
      <c r="C28" s="25">
        <v>-0.05</v>
      </c>
      <c r="D28" s="13" t="s">
        <v>133</v>
      </c>
      <c r="E28" s="1"/>
      <c r="G28" s="9"/>
      <c r="H28" s="9"/>
      <c r="I28" s="87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4.4279999999999999</v>
      </c>
      <c r="B31" s="28" t="s">
        <v>0</v>
      </c>
      <c r="C31" s="35">
        <f>A31/A36</f>
        <v>0.43093465915409446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3</v>
      </c>
      <c r="B32" s="28" t="s">
        <v>0</v>
      </c>
      <c r="C32" s="35">
        <f>A32/A36</f>
        <v>0.29196115118841087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0.73</v>
      </c>
      <c r="B33" s="28" t="s">
        <v>0</v>
      </c>
      <c r="C33" s="35">
        <f>A33/A36</f>
        <v>7.1043880122513309E-2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1</v>
      </c>
      <c r="B34" s="28" t="s">
        <v>0</v>
      </c>
      <c r="C34" s="35">
        <f>A34/A36</f>
        <v>9.73203837294703E-2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1.1173396737499999</v>
      </c>
      <c r="B35" s="28" t="s">
        <v>0</v>
      </c>
      <c r="C35" s="35">
        <f>A35/A36</f>
        <v>0.10873992580551113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10.275339673749999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3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815F-8053-A84D-A818-E23F052673C9}">
  <dimension ref="A2:N63"/>
  <sheetViews>
    <sheetView zoomScaleNormal="100" workbookViewId="0">
      <selection activeCell="G18" sqref="G18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37</v>
      </c>
      <c r="C2" s="22" t="s">
        <v>69</v>
      </c>
      <c r="D2" s="21"/>
      <c r="E2" s="21"/>
      <c r="F2" s="21"/>
      <c r="G2" s="21"/>
      <c r="H2" s="21"/>
    </row>
    <row r="3" spans="1:14" ht="24" x14ac:dyDescent="0.2">
      <c r="A3" s="7"/>
    </row>
    <row r="4" spans="1:14" ht="21" x14ac:dyDescent="0.2">
      <c r="A4" s="53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/>
      <c r="F6" s="12" t="s">
        <v>21</v>
      </c>
      <c r="G6" s="9"/>
      <c r="H6" s="9"/>
    </row>
    <row r="7" spans="1:14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/>
      <c r="F7" s="12" t="s">
        <v>22</v>
      </c>
      <c r="G7" s="9"/>
      <c r="H7" s="9"/>
      <c r="J7" s="85">
        <v>0.28999999999999998</v>
      </c>
      <c r="K7" s="1" t="s">
        <v>107</v>
      </c>
    </row>
    <row r="8" spans="1:14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/>
      <c r="F8" s="12" t="s">
        <v>23</v>
      </c>
      <c r="G8" s="9"/>
      <c r="H8" s="9"/>
    </row>
    <row r="9" spans="1:14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/>
      <c r="F9" s="12" t="s">
        <v>24</v>
      </c>
      <c r="G9" s="9"/>
      <c r="H9" s="9"/>
      <c r="J9" s="85">
        <v>0.28999999999999998</v>
      </c>
      <c r="K9" s="1" t="s">
        <v>107</v>
      </c>
      <c r="L9" s="13" t="s">
        <v>27</v>
      </c>
      <c r="N9" s="11" t="s">
        <v>61</v>
      </c>
    </row>
    <row r="10" spans="1:14" ht="19" x14ac:dyDescent="0.25">
      <c r="A10" s="20">
        <f>C10/100*D10*0.8*3/1000 + N10*6/L10</f>
        <v>0</v>
      </c>
      <c r="B10" s="11">
        <f>C10/100*D10*10</f>
        <v>0</v>
      </c>
      <c r="C10" s="18"/>
      <c r="D10" s="18">
        <v>5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</row>
    <row r="11" spans="1:14" ht="19" x14ac:dyDescent="0.25">
      <c r="A11" s="20">
        <f>C11/100*D11*0.08/1000 + N11*12/L11</f>
        <v>0</v>
      </c>
      <c r="B11" s="11">
        <f>C11*D11/100</f>
        <v>0</v>
      </c>
      <c r="C11" s="18"/>
      <c r="D11" s="18">
        <v>25</v>
      </c>
      <c r="E11" s="11" t="s">
        <v>8</v>
      </c>
      <c r="F11" s="12" t="s">
        <v>26</v>
      </c>
      <c r="G11" s="9"/>
      <c r="H11" s="9"/>
      <c r="L11" s="73">
        <f>IF(C11=0,99,200000/C11)</f>
        <v>99</v>
      </c>
      <c r="N11" s="1">
        <f>IF(C11=0,0,IF(D11=0,0,1))</f>
        <v>0</v>
      </c>
    </row>
    <row r="12" spans="1:14" ht="19" x14ac:dyDescent="0.25">
      <c r="A12" s="20">
        <f>C12/100*D12*0.08/1000 + N12*6/L12</f>
        <v>0</v>
      </c>
      <c r="B12" s="11">
        <f>C12*D12/100</f>
        <v>0</v>
      </c>
      <c r="C12" s="18"/>
      <c r="D12" s="18">
        <v>15</v>
      </c>
      <c r="E12" s="11" t="s">
        <v>8</v>
      </c>
      <c r="F12" s="12" t="s">
        <v>38</v>
      </c>
      <c r="G12" s="9"/>
      <c r="H12" s="9"/>
      <c r="L12" s="73">
        <f>IF(C12=0,99,200000/C12)</f>
        <v>99</v>
      </c>
      <c r="N12" s="1">
        <f>IF(C12=0,0,IF(D12=0,0,1))</f>
        <v>0</v>
      </c>
    </row>
    <row r="13" spans="1:14" ht="19" x14ac:dyDescent="0.25">
      <c r="A13" s="20">
        <f>C13/100*D13*0.08/1000 + N13*2/L13</f>
        <v>0</v>
      </c>
      <c r="B13" s="11">
        <f>C13*D13/100</f>
        <v>0</v>
      </c>
      <c r="C13" s="18"/>
      <c r="D13" s="18">
        <v>6</v>
      </c>
      <c r="E13" s="11" t="s">
        <v>8</v>
      </c>
      <c r="F13" s="12" t="s">
        <v>25</v>
      </c>
      <c r="G13" s="9"/>
      <c r="H13" s="9"/>
      <c r="L13" s="73">
        <f>IF(C13=0,99,200000/C13)</f>
        <v>99</v>
      </c>
      <c r="N13" s="1">
        <f>IF(C13=0,0,IF(D13=0,0,1))</f>
        <v>0</v>
      </c>
    </row>
    <row r="14" spans="1:14" ht="19" x14ac:dyDescent="0.25">
      <c r="A14" s="20">
        <f>C14/100*D14*0.08/1000 + N14*0.2/L14</f>
        <v>0</v>
      </c>
      <c r="B14" s="11">
        <f>C14*D14/100</f>
        <v>0</v>
      </c>
      <c r="C14" s="18"/>
      <c r="D14" s="18">
        <v>0.2</v>
      </c>
      <c r="E14" s="11" t="s">
        <v>8</v>
      </c>
      <c r="F14" s="12" t="s">
        <v>9</v>
      </c>
      <c r="G14" s="9"/>
      <c r="H14" s="9"/>
      <c r="L14" s="73">
        <f>IF(C14=0,99,200000/C14)</f>
        <v>99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3</v>
      </c>
      <c r="B18" s="11">
        <f>C18*F18</f>
        <v>12000</v>
      </c>
      <c r="C18" s="18">
        <f>'2030'!C18</f>
        <v>40</v>
      </c>
      <c r="D18" s="18" t="str">
        <f>'2030'!D18</f>
        <v>E</v>
      </c>
      <c r="E18" s="18" t="str">
        <f>'2030'!E18</f>
        <v>Gaz</v>
      </c>
      <c r="F18" s="11">
        <f>IF(D18="G",600,IF(D18="F",400,IF(D18="E",300,IF(D18="D",200,IF(D18="C",120,IF(D18="B",70,IF(D18="A",35,200)))))))</f>
        <v>300</v>
      </c>
      <c r="G18" s="11">
        <f>IF(E18="Fioul",0.32,IF(E18="Electricité",0.09,IF(E18="PAC",0.03,IF(E18="Gaz",0.25,IF(E18="Bois",0.03,IF(E18="B",70,IF(E18="A",35,0.3)))))))</f>
        <v>0.25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9" t="s">
        <v>63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0.73</v>
      </c>
      <c r="B22" s="9"/>
      <c r="C22" s="18">
        <v>0</v>
      </c>
      <c r="D22" s="18">
        <v>0</v>
      </c>
      <c r="E22" s="11">
        <f>1-D22-C22</f>
        <v>1</v>
      </c>
      <c r="F22" s="48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1</v>
      </c>
      <c r="B25" s="86">
        <f>Data!B25</f>
        <v>0.5</v>
      </c>
      <c r="C25" s="9" t="s">
        <v>88</v>
      </c>
      <c r="D25" s="79">
        <v>1</v>
      </c>
      <c r="E25" s="9" t="s">
        <v>87</v>
      </c>
      <c r="F25" s="65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f>'2030'!A28*(1+'2030'!C28)^10</f>
        <v>0.66899253635068379</v>
      </c>
      <c r="C28" s="25">
        <v>-0.05</v>
      </c>
      <c r="D28" s="13" t="s">
        <v>132</v>
      </c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3</v>
      </c>
      <c r="B32" s="28" t="s">
        <v>0</v>
      </c>
      <c r="C32" s="35">
        <f>A32/A36</f>
        <v>0.5556592234201857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0.73</v>
      </c>
      <c r="B33" s="28" t="s">
        <v>0</v>
      </c>
      <c r="C33" s="35">
        <f>A33/A36</f>
        <v>0.13521041103224518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1</v>
      </c>
      <c r="B34" s="28" t="s">
        <v>0</v>
      </c>
      <c r="C34" s="35">
        <f>A34/A36</f>
        <v>0.1852197411400619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0.66899253635068379</v>
      </c>
      <c r="B35" s="28" t="s">
        <v>0</v>
      </c>
      <c r="C35" s="35">
        <f>A35/A36</f>
        <v>0.12391062440750709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5.3989925363506845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3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DEFF-C087-8B47-A63C-A9E28E2EDFB3}">
  <dimension ref="A2:N63"/>
  <sheetViews>
    <sheetView zoomScaleNormal="100" workbookViewId="0">
      <selection activeCell="E19" sqref="E19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37</v>
      </c>
      <c r="C2" s="22" t="s">
        <v>69</v>
      </c>
      <c r="D2" s="21"/>
      <c r="E2" s="21"/>
      <c r="F2" s="21"/>
      <c r="G2" s="21"/>
      <c r="H2" s="21"/>
    </row>
    <row r="3" spans="1:14" ht="24" x14ac:dyDescent="0.2">
      <c r="A3" s="7"/>
    </row>
    <row r="4" spans="1:14" ht="21" x14ac:dyDescent="0.2">
      <c r="A4" s="53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/>
      <c r="F6" s="12" t="s">
        <v>21</v>
      </c>
      <c r="G6" s="9"/>
      <c r="H6" s="9"/>
    </row>
    <row r="7" spans="1:14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/>
      <c r="F7" s="12" t="s">
        <v>22</v>
      </c>
      <c r="G7" s="9"/>
      <c r="H7" s="9"/>
      <c r="J7" s="85">
        <v>0.63</v>
      </c>
      <c r="K7" s="83" t="s">
        <v>107</v>
      </c>
    </row>
    <row r="8" spans="1:14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/>
      <c r="F8" s="12" t="s">
        <v>23</v>
      </c>
      <c r="G8" s="9"/>
      <c r="H8" s="9"/>
      <c r="K8" s="84"/>
    </row>
    <row r="9" spans="1:14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/>
      <c r="F9" s="12" t="s">
        <v>24</v>
      </c>
      <c r="G9" s="9"/>
      <c r="H9" s="9"/>
      <c r="J9" s="85">
        <v>0.63</v>
      </c>
      <c r="K9" s="83" t="s">
        <v>107</v>
      </c>
      <c r="L9" s="13" t="s">
        <v>27</v>
      </c>
      <c r="N9" s="11" t="s">
        <v>61</v>
      </c>
    </row>
    <row r="10" spans="1:14" ht="19" x14ac:dyDescent="0.25">
      <c r="A10" s="20">
        <f>C10/100*D10*0.8*3/1000 + N10*6/L10</f>
        <v>0</v>
      </c>
      <c r="B10" s="11">
        <f>C10/100*D10*10</f>
        <v>0</v>
      </c>
      <c r="C10" s="18"/>
      <c r="D10" s="18">
        <v>5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</row>
    <row r="11" spans="1:14" ht="19" x14ac:dyDescent="0.25">
      <c r="A11" s="20">
        <f>C11/100*D11*0.08/1000 + N11*12/L11</f>
        <v>0</v>
      </c>
      <c r="B11" s="11">
        <f>C11*D11/100</f>
        <v>0</v>
      </c>
      <c r="C11" s="18"/>
      <c r="D11" s="18">
        <v>25</v>
      </c>
      <c r="E11" s="11" t="s">
        <v>8</v>
      </c>
      <c r="F11" s="12" t="s">
        <v>26</v>
      </c>
      <c r="G11" s="9"/>
      <c r="H11" s="9"/>
      <c r="L11" s="73">
        <f>IF(C11=0,99,200000/C11)</f>
        <v>99</v>
      </c>
      <c r="N11" s="1">
        <f>IF(C11=0,0,IF(D11=0,0,1))</f>
        <v>0</v>
      </c>
    </row>
    <row r="12" spans="1:14" ht="19" x14ac:dyDescent="0.25">
      <c r="A12" s="20">
        <f>C12/100*D12*0.08/1000 + N12*6/L12</f>
        <v>0</v>
      </c>
      <c r="B12" s="11">
        <f>C12*D12/100</f>
        <v>0</v>
      </c>
      <c r="C12" s="18"/>
      <c r="D12" s="18">
        <v>15</v>
      </c>
      <c r="E12" s="11" t="s">
        <v>8</v>
      </c>
      <c r="F12" s="12" t="s">
        <v>38</v>
      </c>
      <c r="G12" s="9"/>
      <c r="H12" s="9"/>
      <c r="L12" s="73">
        <f>IF(C12=0,99,200000/C12)</f>
        <v>99</v>
      </c>
      <c r="N12" s="1">
        <f>IF(C12=0,0,IF(D12=0,0,1))</f>
        <v>0</v>
      </c>
    </row>
    <row r="13" spans="1:14" ht="19" x14ac:dyDescent="0.25">
      <c r="A13" s="20">
        <f>C13/100*D13*0.08/1000 + N13*2/L13</f>
        <v>0</v>
      </c>
      <c r="B13" s="11">
        <f>C13*D13/100</f>
        <v>0</v>
      </c>
      <c r="C13" s="18"/>
      <c r="D13" s="18">
        <v>6</v>
      </c>
      <c r="E13" s="11" t="s">
        <v>8</v>
      </c>
      <c r="F13" s="12" t="s">
        <v>25</v>
      </c>
      <c r="G13" s="9"/>
      <c r="H13" s="9"/>
      <c r="L13" s="73">
        <f>IF(C13=0,99,200000/C13)</f>
        <v>99</v>
      </c>
      <c r="N13" s="1">
        <f>IF(C13=0,0,IF(D13=0,0,1))</f>
        <v>0</v>
      </c>
    </row>
    <row r="14" spans="1:14" ht="19" x14ac:dyDescent="0.25">
      <c r="A14" s="20">
        <f>C14/100*D14*0.08/1000 + N14*0.2/L14</f>
        <v>0</v>
      </c>
      <c r="B14" s="11">
        <f>C14*D14/100</f>
        <v>0</v>
      </c>
      <c r="C14" s="18"/>
      <c r="D14" s="18">
        <v>0.2</v>
      </c>
      <c r="E14" s="11" t="s">
        <v>8</v>
      </c>
      <c r="F14" s="12" t="s">
        <v>9</v>
      </c>
      <c r="G14" s="9"/>
      <c r="H14" s="9"/>
      <c r="L14" s="73">
        <f>IF(C14=0,99,200000/C14)</f>
        <v>99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3</v>
      </c>
      <c r="B18" s="11">
        <f>C18*F18</f>
        <v>12000</v>
      </c>
      <c r="C18" s="18">
        <f>'2040'!C18</f>
        <v>40</v>
      </c>
      <c r="D18" s="18" t="str">
        <f>'2040'!D18</f>
        <v>E</v>
      </c>
      <c r="E18" s="18" t="str">
        <f>'2040'!E18</f>
        <v>Gaz</v>
      </c>
      <c r="F18" s="11">
        <f>IF(D18="G",600,IF(D18="F",400,IF(D18="E",300,IF(D18="D",200,IF(D18="C",120,IF(D18="B",70,IF(D18="A",35,200)))))))</f>
        <v>300</v>
      </c>
      <c r="G18" s="11">
        <f>IF(E18="Fioul",0.32,IF(E18="Electricité",0.09,IF(E18="PAC",0.03,IF(E18="Gaz",0.25,IF(E18="Bois",0.03,IF(E18="B",70,IF(E18="A",35,0.3)))))))</f>
        <v>0.25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9" t="s">
        <v>63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0.73</v>
      </c>
      <c r="B22" s="9"/>
      <c r="C22" s="18">
        <v>0</v>
      </c>
      <c r="D22" s="18">
        <v>0</v>
      </c>
      <c r="E22" s="11">
        <f>1-D22-C22</f>
        <v>1</v>
      </c>
      <c r="F22" s="48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1</v>
      </c>
      <c r="B25" s="86">
        <f>Data!B25</f>
        <v>0.5</v>
      </c>
      <c r="C25" s="9" t="s">
        <v>88</v>
      </c>
      <c r="D25" s="79">
        <v>1</v>
      </c>
      <c r="E25" s="9" t="s">
        <v>87</v>
      </c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f>'2040'!A28*(1+'2040'!C28)^10</f>
        <v>0.40055054358792835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3</v>
      </c>
      <c r="B32" s="28" t="s">
        <v>0</v>
      </c>
      <c r="C32" s="35">
        <f>A32/A36</f>
        <v>0.58473256905135584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0.73</v>
      </c>
      <c r="B33" s="28" t="s">
        <v>0</v>
      </c>
      <c r="C33" s="35">
        <f>A33/A36</f>
        <v>0.14228492513582994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1</v>
      </c>
      <c r="B34" s="28" t="s">
        <v>0</v>
      </c>
      <c r="C34" s="35">
        <f>A34/A36</f>
        <v>0.19491085635045197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0.40055054358792835</v>
      </c>
      <c r="B35" s="28" t="s">
        <v>0</v>
      </c>
      <c r="C35" s="35">
        <f>A35/A36</f>
        <v>7.8071649462362155E-2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5.1305505435879288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3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CFFB-9B87-8C46-9710-42FD174CB3FE}">
  <dimension ref="A1:M34"/>
  <sheetViews>
    <sheetView workbookViewId="0">
      <selection activeCell="C30" sqref="C30"/>
    </sheetView>
  </sheetViews>
  <sheetFormatPr baseColWidth="10" defaultRowHeight="16" x14ac:dyDescent="0.2"/>
  <cols>
    <col min="1" max="1" width="14.1640625" customWidth="1"/>
    <col min="2" max="2" width="18.5" customWidth="1"/>
    <col min="3" max="3" width="14.33203125" customWidth="1"/>
    <col min="4" max="4" width="16.1640625" customWidth="1"/>
  </cols>
  <sheetData>
    <row r="1" spans="1:13" ht="21" customHeight="1" x14ac:dyDescent="0.2"/>
    <row r="2" spans="1:13" ht="21" customHeight="1" x14ac:dyDescent="0.2"/>
    <row r="3" spans="1:13" ht="30" customHeight="1" x14ac:dyDescent="0.3">
      <c r="A3" s="26" t="s">
        <v>43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3" ht="28" customHeight="1" x14ac:dyDescent="0.25">
      <c r="A4" s="29">
        <f>Data!E4</f>
        <v>2023</v>
      </c>
      <c r="B4" s="29">
        <v>2030</v>
      </c>
      <c r="C4" s="29">
        <v>2040</v>
      </c>
      <c r="D4" s="29">
        <v>2050</v>
      </c>
      <c r="J4" s="9"/>
      <c r="K4" s="9"/>
      <c r="L4" s="9"/>
      <c r="M4" s="9"/>
    </row>
    <row r="5" spans="1:13" ht="28" customHeight="1" x14ac:dyDescent="0.25">
      <c r="A5" s="50">
        <f>SUM(Data!A6:A14)</f>
        <v>0</v>
      </c>
      <c r="B5" s="50">
        <f>SUM('2030'!A6:A14)</f>
        <v>4.4279999999999999</v>
      </c>
      <c r="C5" s="50">
        <f>SUM('2040'!A6:A14)</f>
        <v>0</v>
      </c>
      <c r="D5" s="50">
        <f>SUM('2050'!A6:A14)</f>
        <v>0</v>
      </c>
      <c r="E5" s="52" t="s">
        <v>15</v>
      </c>
      <c r="G5" s="29"/>
      <c r="L5" s="9"/>
      <c r="M5" s="9"/>
    </row>
    <row r="6" spans="1:13" ht="28" customHeight="1" x14ac:dyDescent="0.25">
      <c r="A6" s="50">
        <f>Data!A18</f>
        <v>3</v>
      </c>
      <c r="B6" s="50">
        <f>'2030'!A18</f>
        <v>3</v>
      </c>
      <c r="C6" s="50">
        <f>'2040'!A18</f>
        <v>3</v>
      </c>
      <c r="D6" s="50">
        <f>'2050'!A18</f>
        <v>3</v>
      </c>
      <c r="E6" s="72" t="s">
        <v>17</v>
      </c>
      <c r="G6" s="4"/>
      <c r="J6" s="9"/>
      <c r="L6" s="9"/>
      <c r="M6" s="9"/>
    </row>
    <row r="7" spans="1:13" ht="28" customHeight="1" x14ac:dyDescent="0.25">
      <c r="A7" s="50">
        <f>Data!A22</f>
        <v>1.0731000000000002</v>
      </c>
      <c r="B7" s="50">
        <f>'2030'!A22</f>
        <v>0.73</v>
      </c>
      <c r="C7" s="50">
        <f>'2040'!A22</f>
        <v>0.73</v>
      </c>
      <c r="D7" s="50">
        <f>'2050'!A22</f>
        <v>0.73</v>
      </c>
      <c r="E7" s="5" t="s">
        <v>18</v>
      </c>
      <c r="G7" s="19"/>
      <c r="L7" s="9"/>
      <c r="M7" s="9"/>
    </row>
    <row r="8" spans="1:13" ht="28" customHeight="1" x14ac:dyDescent="0.25">
      <c r="A8" s="50">
        <f>Data!A25</f>
        <v>1</v>
      </c>
      <c r="B8" s="50">
        <f>'2030'!A25</f>
        <v>1</v>
      </c>
      <c r="C8" s="50">
        <f>'2040'!A25</f>
        <v>1</v>
      </c>
      <c r="D8" s="50">
        <f>'2050'!A25</f>
        <v>1</v>
      </c>
      <c r="E8" s="69" t="s">
        <v>16</v>
      </c>
      <c r="G8" s="19"/>
      <c r="L8" s="9"/>
      <c r="M8" s="9"/>
    </row>
    <row r="9" spans="1:13" ht="28" customHeight="1" x14ac:dyDescent="0.25">
      <c r="A9" s="50">
        <f>Data!A28</f>
        <v>1.6</v>
      </c>
      <c r="B9" s="50">
        <f>'2030'!A28</f>
        <v>1.1173396737499999</v>
      </c>
      <c r="C9" s="50">
        <f>'2040'!A28</f>
        <v>0.66899253635068379</v>
      </c>
      <c r="D9" s="50">
        <f>'2050'!A28</f>
        <v>0.40055054358792835</v>
      </c>
      <c r="E9" s="70" t="s">
        <v>19</v>
      </c>
      <c r="G9" s="19"/>
      <c r="H9" s="11"/>
      <c r="L9" s="9"/>
      <c r="M9" s="9"/>
    </row>
    <row r="10" spans="1:13" ht="28" customHeight="1" x14ac:dyDescent="0.25">
      <c r="A10" s="9"/>
      <c r="G10" s="19"/>
      <c r="H10" s="11"/>
      <c r="L10" s="9"/>
      <c r="M10" s="9"/>
    </row>
    <row r="11" spans="1:13" ht="28" customHeight="1" x14ac:dyDescent="0.2"/>
    <row r="12" spans="1:13" ht="23" customHeight="1" x14ac:dyDescent="0.25">
      <c r="A12" s="60">
        <f>SUM(A5:A9)</f>
        <v>6.6730999999999998</v>
      </c>
      <c r="B12" s="60">
        <f>SUM(B5:B9)</f>
        <v>10.275339673749999</v>
      </c>
      <c r="C12" s="60">
        <f>SUM(C5:C9)</f>
        <v>5.3989925363506845</v>
      </c>
      <c r="D12" s="60">
        <f>SUM(D5:D9)</f>
        <v>5.1305505435879288</v>
      </c>
      <c r="E12" s="31" t="s">
        <v>0</v>
      </c>
      <c r="G12" s="3" t="s">
        <v>41</v>
      </c>
      <c r="L12" s="9"/>
      <c r="M12" s="9"/>
    </row>
    <row r="13" spans="1:13" ht="21" x14ac:dyDescent="0.25">
      <c r="A13" s="31">
        <v>12</v>
      </c>
      <c r="B13" s="31">
        <v>6</v>
      </c>
      <c r="C13" s="31">
        <v>3</v>
      </c>
      <c r="D13" s="31">
        <v>1.5</v>
      </c>
      <c r="E13" s="31" t="s">
        <v>0</v>
      </c>
      <c r="G13" s="3" t="s">
        <v>40</v>
      </c>
      <c r="I13" s="9"/>
      <c r="J13" s="9"/>
      <c r="K13" s="9"/>
    </row>
    <row r="14" spans="1:13" ht="21" x14ac:dyDescent="0.25">
      <c r="A14" s="62" t="s">
        <v>39</v>
      </c>
      <c r="B14" s="62" t="s">
        <v>77</v>
      </c>
      <c r="C14" s="62" t="s">
        <v>78</v>
      </c>
      <c r="D14" s="62" t="s">
        <v>79</v>
      </c>
      <c r="G14" s="3" t="s">
        <v>81</v>
      </c>
    </row>
    <row r="15" spans="1:13" ht="19" x14ac:dyDescent="0.25">
      <c r="J15" s="9"/>
      <c r="K15" s="9"/>
      <c r="L15" s="9"/>
      <c r="M15" s="9"/>
    </row>
    <row r="16" spans="1:13" ht="21" x14ac:dyDescent="0.25">
      <c r="A16" s="27">
        <f>A12*1000/365</f>
        <v>18.282465753424656</v>
      </c>
      <c r="B16" s="27">
        <f>B12*1000/365</f>
        <v>28.151615544520546</v>
      </c>
      <c r="C16" s="27">
        <f>C12*1000/365</f>
        <v>14.79176037356352</v>
      </c>
      <c r="D16" s="27">
        <f>D12*1000/365</f>
        <v>14.05630285914501</v>
      </c>
      <c r="E16" s="28" t="s">
        <v>85</v>
      </c>
      <c r="G16" s="3" t="s">
        <v>44</v>
      </c>
      <c r="I16" s="9"/>
      <c r="J16" s="9"/>
      <c r="K16" s="9"/>
      <c r="L16" s="9"/>
      <c r="M16" s="9"/>
    </row>
    <row r="17" spans="1:13" ht="19" x14ac:dyDescent="0.25">
      <c r="K17" s="9"/>
      <c r="L17" s="9"/>
      <c r="M17" s="9"/>
    </row>
    <row r="18" spans="1:13" ht="19" x14ac:dyDescent="0.25">
      <c r="A18" s="2"/>
    </row>
    <row r="19" spans="1:13" ht="21" x14ac:dyDescent="0.25">
      <c r="E19" s="52"/>
    </row>
    <row r="20" spans="1:13" ht="21" x14ac:dyDescent="0.2">
      <c r="E20" s="72"/>
    </row>
    <row r="21" spans="1:13" ht="21" x14ac:dyDescent="0.2">
      <c r="E21" s="5"/>
    </row>
    <row r="22" spans="1:13" ht="21" x14ac:dyDescent="0.25">
      <c r="E22" s="69"/>
    </row>
    <row r="23" spans="1:13" ht="21" x14ac:dyDescent="0.25">
      <c r="E23" s="70"/>
    </row>
    <row r="27" spans="1:13" ht="21" x14ac:dyDescent="0.25">
      <c r="A27" s="89" t="s">
        <v>118</v>
      </c>
      <c r="B27" s="29"/>
      <c r="C27" s="29"/>
      <c r="D27" s="29"/>
      <c r="E27" s="30"/>
    </row>
    <row r="28" spans="1:13" ht="21" x14ac:dyDescent="0.25">
      <c r="A28" s="61" t="s">
        <v>84</v>
      </c>
      <c r="B28" s="28"/>
      <c r="C28" s="28"/>
      <c r="D28" s="28"/>
      <c r="E28" s="9"/>
      <c r="H28" s="28"/>
      <c r="I28" s="9"/>
      <c r="J28" s="9"/>
      <c r="K28" s="9"/>
      <c r="L28" s="9"/>
    </row>
    <row r="29" spans="1:13" ht="21" x14ac:dyDescent="0.25">
      <c r="A29" s="61" t="s">
        <v>83</v>
      </c>
      <c r="B29" s="34"/>
      <c r="C29" s="3" t="s">
        <v>80</v>
      </c>
      <c r="D29" s="28"/>
      <c r="E29" s="5"/>
    </row>
    <row r="30" spans="1:13" ht="21" x14ac:dyDescent="0.25">
      <c r="A30" s="88" t="s">
        <v>108</v>
      </c>
      <c r="C30" s="3" t="s">
        <v>109</v>
      </c>
      <c r="E30" s="3"/>
    </row>
    <row r="31" spans="1:13" ht="21" x14ac:dyDescent="0.25">
      <c r="E31" s="3"/>
    </row>
    <row r="34" spans="1:1" ht="21" x14ac:dyDescent="0.25">
      <c r="A34" s="29"/>
    </row>
  </sheetData>
  <hyperlinks>
    <hyperlink ref="A28" r:id="rId1" display="Vidéo" xr:uid="{9F73ADB3-E727-3F43-889B-9C0B855D3455}"/>
    <hyperlink ref="A29" r:id="rId2" display="Scientific paper" xr:uid="{B0B94583-250A-3E49-976A-E032385D33B7}"/>
    <hyperlink ref="A30" r:id="rId3" xr:uid="{CD9A8A43-677E-7443-A15B-79FAC051C927}"/>
  </hyperlinks>
  <pageMargins left="0.7" right="0.7" top="0.75" bottom="0.75" header="0.3" footer="0.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B43-9EBE-AA49-8CCD-90D99ED61241}">
  <dimension ref="A1:O30"/>
  <sheetViews>
    <sheetView workbookViewId="0">
      <selection activeCell="C25" sqref="C25"/>
    </sheetView>
  </sheetViews>
  <sheetFormatPr baseColWidth="10" defaultRowHeight="16" x14ac:dyDescent="0.2"/>
  <cols>
    <col min="1" max="1" width="14.1640625" customWidth="1"/>
    <col min="2" max="2" width="17.5" customWidth="1"/>
    <col min="3" max="3" width="14.33203125" customWidth="1"/>
    <col min="4" max="4" width="16.1640625" customWidth="1"/>
  </cols>
  <sheetData>
    <row r="1" spans="1:15" ht="21" customHeight="1" x14ac:dyDescent="0.2"/>
    <row r="2" spans="1:15" ht="21" customHeight="1" x14ac:dyDescent="0.2"/>
    <row r="3" spans="1:15" ht="30" customHeight="1" x14ac:dyDescent="0.3">
      <c r="A3" s="26" t="s">
        <v>98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5" ht="25" customHeight="1" x14ac:dyDescent="0.25">
      <c r="A4" s="29">
        <f>Data!E4</f>
        <v>2023</v>
      </c>
      <c r="B4" s="29">
        <v>2030</v>
      </c>
      <c r="C4" s="29">
        <v>2040</v>
      </c>
      <c r="D4" s="29">
        <v>2050</v>
      </c>
      <c r="J4" s="9"/>
      <c r="K4" s="9"/>
      <c r="L4" s="9"/>
      <c r="M4" s="9"/>
    </row>
    <row r="5" spans="1:15" ht="25" customHeight="1" x14ac:dyDescent="0.25">
      <c r="A5" s="63">
        <f>SUM(Data!B6:B14)</f>
        <v>0</v>
      </c>
      <c r="B5" s="63">
        <f>SUM('2030'!B6:B14)</f>
        <v>17200</v>
      </c>
      <c r="C5" s="63">
        <f>SUM('2040'!B6:B14)</f>
        <v>0</v>
      </c>
      <c r="D5" s="63">
        <f>SUM('2050'!B6:B14)</f>
        <v>0</v>
      </c>
      <c r="E5" s="52" t="s">
        <v>15</v>
      </c>
      <c r="G5" s="29"/>
      <c r="L5" s="9"/>
      <c r="M5" s="9"/>
    </row>
    <row r="6" spans="1:15" ht="25" customHeight="1" x14ac:dyDescent="0.25">
      <c r="A6" s="63">
        <f>Data!B18</f>
        <v>12000</v>
      </c>
      <c r="B6" s="63">
        <f>'2030'!B18</f>
        <v>12000</v>
      </c>
      <c r="C6" s="63">
        <f>'2040'!B18</f>
        <v>12000</v>
      </c>
      <c r="D6" s="63">
        <f>'2050'!B18</f>
        <v>12000</v>
      </c>
      <c r="E6" s="72" t="s">
        <v>17</v>
      </c>
      <c r="G6" s="4"/>
      <c r="J6" s="9"/>
      <c r="L6" s="9"/>
      <c r="M6" s="9"/>
    </row>
    <row r="7" spans="1:15" ht="25" customHeight="1" x14ac:dyDescent="0.25">
      <c r="A7" s="63">
        <f>Data!B22</f>
        <v>0</v>
      </c>
      <c r="B7" s="63">
        <f>'2030'!B22</f>
        <v>0</v>
      </c>
      <c r="C7" s="63">
        <f>'2040'!B22</f>
        <v>0</v>
      </c>
      <c r="D7" s="63">
        <f>'2050'!B22</f>
        <v>0</v>
      </c>
      <c r="E7" s="5" t="s">
        <v>18</v>
      </c>
      <c r="G7" s="19"/>
      <c r="L7" s="9"/>
      <c r="M7" s="9"/>
    </row>
    <row r="8" spans="1:15" ht="25" customHeight="1" x14ac:dyDescent="0.25">
      <c r="A8" s="63">
        <f>Data!B25</f>
        <v>0.5</v>
      </c>
      <c r="B8" s="63">
        <f>'2030'!B25</f>
        <v>0.5</v>
      </c>
      <c r="C8" s="63">
        <f>'2040'!B25</f>
        <v>0.5</v>
      </c>
      <c r="D8" s="63">
        <f>'2050'!B25</f>
        <v>0.5</v>
      </c>
      <c r="E8" s="69" t="s">
        <v>16</v>
      </c>
      <c r="G8" s="19"/>
      <c r="L8" s="9"/>
      <c r="M8" s="9"/>
    </row>
    <row r="9" spans="1:15" ht="25" customHeight="1" x14ac:dyDescent="0.25">
      <c r="A9" s="63">
        <f>Data!B28</f>
        <v>0</v>
      </c>
      <c r="B9" s="63">
        <f>'2030'!B28</f>
        <v>0</v>
      </c>
      <c r="C9" s="63">
        <f>'2040'!B28</f>
        <v>0</v>
      </c>
      <c r="D9" s="63">
        <f>'2050'!B28</f>
        <v>0</v>
      </c>
      <c r="E9" s="70" t="s">
        <v>19</v>
      </c>
      <c r="G9" s="19"/>
      <c r="H9" s="11"/>
      <c r="L9" s="9"/>
      <c r="M9" s="9"/>
    </row>
    <row r="10" spans="1:15" ht="25" customHeight="1" x14ac:dyDescent="0.25">
      <c r="A10" s="9"/>
      <c r="G10" s="19"/>
      <c r="H10" s="11"/>
      <c r="L10" s="9"/>
      <c r="M10" s="9"/>
    </row>
    <row r="11" spans="1:15" ht="28" customHeight="1" x14ac:dyDescent="0.25">
      <c r="A11" s="60">
        <f>SUM(A5:A9)</f>
        <v>12000.5</v>
      </c>
      <c r="B11" s="60">
        <f>SUM(B5:B9)</f>
        <v>29200.5</v>
      </c>
      <c r="C11" s="60">
        <f>SUM(C5:C9)</f>
        <v>12000.5</v>
      </c>
      <c r="D11" s="60">
        <f>SUM(D5:D9)</f>
        <v>12000.5</v>
      </c>
      <c r="E11" s="31" t="s">
        <v>1</v>
      </c>
      <c r="G11" s="3" t="s">
        <v>45</v>
      </c>
      <c r="I11" s="19"/>
      <c r="L11" s="9"/>
    </row>
    <row r="12" spans="1:15" ht="24" customHeight="1" x14ac:dyDescent="0.25">
      <c r="A12" s="31"/>
      <c r="B12" s="31"/>
      <c r="C12" s="31"/>
      <c r="D12" s="31"/>
      <c r="G12" s="3"/>
      <c r="I12" s="9"/>
      <c r="J12" s="9"/>
      <c r="K12" s="9"/>
      <c r="L12" s="32"/>
      <c r="M12" s="9"/>
    </row>
    <row r="13" spans="1:15" ht="21" x14ac:dyDescent="0.25">
      <c r="A13" s="27">
        <f>A11/365</f>
        <v>32.87808219178082</v>
      </c>
      <c r="B13" s="27">
        <f>B11/365</f>
        <v>80.001369863013693</v>
      </c>
      <c r="C13" s="27">
        <f>C11/365</f>
        <v>32.87808219178082</v>
      </c>
      <c r="D13" s="27">
        <f>D11/365</f>
        <v>32.87808219178082</v>
      </c>
      <c r="E13" s="31" t="s">
        <v>86</v>
      </c>
      <c r="G13" s="3" t="s">
        <v>46</v>
      </c>
      <c r="I13" s="28"/>
      <c r="J13" s="9"/>
      <c r="K13" s="9"/>
      <c r="L13" s="9"/>
      <c r="M13" s="33"/>
      <c r="N13" s="34"/>
      <c r="O13" s="34"/>
    </row>
    <row r="14" spans="1:15" ht="21" x14ac:dyDescent="0.25">
      <c r="A14" s="66">
        <f>40000/365</f>
        <v>109.58904109589041</v>
      </c>
      <c r="B14" s="9"/>
      <c r="C14" s="9"/>
      <c r="D14" s="9"/>
      <c r="G14" s="28" t="s">
        <v>47</v>
      </c>
      <c r="H14" s="9"/>
      <c r="I14" s="9"/>
      <c r="J14" s="9"/>
      <c r="K14" s="9"/>
      <c r="L14" s="9"/>
      <c r="M14" s="9"/>
    </row>
    <row r="15" spans="1:15" ht="21" x14ac:dyDescent="0.25">
      <c r="A15" s="66">
        <f>20000/365</f>
        <v>54.794520547945204</v>
      </c>
      <c r="B15" s="9"/>
      <c r="C15" s="9"/>
      <c r="D15" s="9"/>
      <c r="G15" s="28" t="s">
        <v>48</v>
      </c>
      <c r="H15" s="9"/>
      <c r="I15" s="9"/>
      <c r="J15" s="9"/>
      <c r="K15" s="9"/>
      <c r="L15" s="9"/>
      <c r="M15" s="9"/>
    </row>
    <row r="16" spans="1:15" ht="19" x14ac:dyDescent="0.25">
      <c r="M16" s="9"/>
    </row>
    <row r="17" spans="1:13" ht="21" x14ac:dyDescent="0.25">
      <c r="A17" s="29"/>
      <c r="B17" s="29"/>
      <c r="C17" s="29"/>
      <c r="D17" s="29"/>
      <c r="E17" s="30"/>
      <c r="K17" s="9"/>
      <c r="L17" s="9"/>
      <c r="M17" s="9"/>
    </row>
    <row r="18" spans="1:13" ht="20" customHeight="1" x14ac:dyDescent="0.2"/>
    <row r="19" spans="1:13" ht="21" x14ac:dyDescent="0.25">
      <c r="A19" s="4"/>
      <c r="E19" s="16"/>
      <c r="H19" s="28"/>
      <c r="I19" s="9"/>
      <c r="J19" s="9"/>
      <c r="K19" s="9"/>
      <c r="L19" s="9"/>
    </row>
    <row r="20" spans="1:13" ht="21" x14ac:dyDescent="0.25">
      <c r="A20" s="23"/>
      <c r="E20" s="5"/>
    </row>
    <row r="21" spans="1:13" ht="21" x14ac:dyDescent="0.25">
      <c r="A21" s="23"/>
      <c r="E21" s="3"/>
    </row>
    <row r="22" spans="1:13" ht="21" x14ac:dyDescent="0.25">
      <c r="E22" s="3"/>
    </row>
    <row r="24" spans="1:13" ht="21" x14ac:dyDescent="0.25">
      <c r="C24" s="27"/>
      <c r="D24" s="3"/>
      <c r="E24" s="28"/>
      <c r="F24" s="3"/>
      <c r="G24" s="28"/>
    </row>
    <row r="29" spans="1:13" ht="21" x14ac:dyDescent="0.25">
      <c r="A29" s="29"/>
    </row>
    <row r="30" spans="1:13" ht="19" x14ac:dyDescent="0.25">
      <c r="A30" s="4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974E-1004-8F4A-AB7E-D3FAB4287A3A}">
  <dimension ref="A2:X156"/>
  <sheetViews>
    <sheetView workbookViewId="0">
      <selection activeCell="A123" sqref="A123"/>
    </sheetView>
  </sheetViews>
  <sheetFormatPr baseColWidth="10" defaultRowHeight="16" x14ac:dyDescent="0.2"/>
  <cols>
    <col min="1" max="1" width="14.5" customWidth="1"/>
  </cols>
  <sheetData>
    <row r="2" spans="1:24" ht="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" x14ac:dyDescent="0.25">
      <c r="A3" s="54" t="s">
        <v>156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5" t="s">
        <v>70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3" t="s">
        <v>82</v>
      </c>
      <c r="B5" s="6" t="s">
        <v>71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55" t="s">
        <v>72</v>
      </c>
      <c r="B7" s="28"/>
      <c r="C7" s="28"/>
      <c r="D7" s="28"/>
      <c r="E7" s="28"/>
      <c r="F7" s="28"/>
      <c r="G7" s="28" t="s">
        <v>92</v>
      </c>
      <c r="H7" s="74" t="s">
        <v>93</v>
      </c>
      <c r="I7" s="28"/>
      <c r="J7" s="28"/>
      <c r="K7" s="28"/>
      <c r="L7" s="28"/>
      <c r="M7" s="28"/>
      <c r="N7" s="28"/>
      <c r="Q7" s="9"/>
      <c r="R7" s="9"/>
      <c r="S7" s="9"/>
      <c r="T7" s="9"/>
      <c r="U7" s="9"/>
      <c r="V7" s="9"/>
      <c r="W7" s="9"/>
      <c r="X7" s="9"/>
    </row>
    <row r="8" spans="1:24" ht="2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Q8" s="9"/>
      <c r="R8" s="9"/>
      <c r="S8" s="9"/>
      <c r="T8" s="9"/>
      <c r="U8" s="9"/>
      <c r="V8" s="9"/>
      <c r="W8" s="9"/>
      <c r="X8" s="9"/>
    </row>
    <row r="9" spans="1:24" ht="21" x14ac:dyDescent="0.25">
      <c r="A9" s="3" t="s">
        <v>32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Q9" s="9"/>
      <c r="R9" s="9"/>
      <c r="S9" s="9"/>
      <c r="T9" s="9"/>
      <c r="U9" s="9"/>
      <c r="V9" s="9"/>
      <c r="W9" s="9"/>
      <c r="X9" s="9"/>
    </row>
    <row r="10" spans="1:24" ht="21" x14ac:dyDescent="0.25">
      <c r="A10" s="28" t="s">
        <v>73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Q10" s="9"/>
      <c r="R10" s="9"/>
      <c r="S10" s="9"/>
      <c r="T10" s="9"/>
      <c r="U10" s="9"/>
      <c r="V10" s="9"/>
      <c r="W10" s="9"/>
      <c r="X10" s="9"/>
    </row>
    <row r="11" spans="1:24" ht="21" x14ac:dyDescent="0.25">
      <c r="A11" s="28" t="s">
        <v>33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Q11" s="9"/>
      <c r="R11" s="9"/>
      <c r="S11" s="9"/>
      <c r="T11" s="9"/>
      <c r="U11" s="9"/>
      <c r="V11" s="9"/>
      <c r="W11" s="9"/>
      <c r="X11" s="9"/>
    </row>
    <row r="12" spans="1:24" ht="2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Q12" s="9"/>
      <c r="R12" s="9"/>
      <c r="S12" s="9"/>
      <c r="T12" s="9"/>
      <c r="U12" s="9"/>
      <c r="V12" s="9"/>
      <c r="W12" s="9"/>
      <c r="X12" s="9"/>
    </row>
    <row r="13" spans="1:24" ht="21" x14ac:dyDescent="0.25">
      <c r="A13" s="3" t="s">
        <v>35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1" x14ac:dyDescent="0.25">
      <c r="A14" s="28" t="s">
        <v>74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1" x14ac:dyDescent="0.25">
      <c r="A15" s="28" t="s">
        <v>75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59" t="s">
        <v>76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1" x14ac:dyDescent="0.25">
      <c r="A18" s="31" t="s">
        <v>96</v>
      </c>
      <c r="B18" s="31" t="s">
        <v>97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1" x14ac:dyDescent="0.25">
      <c r="A19" s="28"/>
      <c r="C19" s="28"/>
      <c r="D19" s="28"/>
      <c r="E19" s="28"/>
      <c r="F19" s="28"/>
      <c r="G19" s="28"/>
      <c r="H19" s="31" t="s">
        <v>30</v>
      </c>
      <c r="I19" s="31" t="s">
        <v>0</v>
      </c>
      <c r="J19" s="31" t="s">
        <v>28</v>
      </c>
      <c r="K19" s="31" t="s">
        <v>29</v>
      </c>
      <c r="L19" s="28"/>
      <c r="M19" s="28"/>
      <c r="N19" s="28"/>
      <c r="O19" s="28"/>
      <c r="P19" s="9"/>
      <c r="Q19" s="9"/>
      <c r="R19" s="9"/>
      <c r="S19" s="9"/>
      <c r="U19" s="9"/>
      <c r="V19" s="9"/>
      <c r="W19" s="9"/>
      <c r="X19" s="9"/>
    </row>
    <row r="20" spans="1:24" ht="21" x14ac:dyDescent="0.25">
      <c r="A20" s="64">
        <v>300</v>
      </c>
      <c r="B20" s="57">
        <v>200</v>
      </c>
      <c r="C20" s="56" t="s">
        <v>3</v>
      </c>
      <c r="D20" s="28"/>
      <c r="E20" s="56" t="s">
        <v>4</v>
      </c>
      <c r="F20" s="28"/>
      <c r="G20" s="28"/>
      <c r="H20" s="35">
        <v>0.01</v>
      </c>
      <c r="I20" s="57">
        <v>200</v>
      </c>
      <c r="J20" s="76">
        <f>0.01*I20</f>
        <v>2</v>
      </c>
      <c r="K20" s="75">
        <f>J20/J24</f>
        <v>0.2089864158829676</v>
      </c>
      <c r="L20" s="28"/>
      <c r="M20" s="78" t="s">
        <v>94</v>
      </c>
      <c r="N20" s="28"/>
      <c r="O20" s="31"/>
      <c r="P20" s="9"/>
      <c r="Q20" s="9"/>
      <c r="R20" s="9"/>
      <c r="S20" s="9"/>
      <c r="T20" s="9"/>
      <c r="U20" s="9"/>
      <c r="V20" s="9"/>
      <c r="W20" s="9"/>
      <c r="X20" s="9"/>
    </row>
    <row r="21" spans="1:24" ht="21" x14ac:dyDescent="0.25">
      <c r="A21" s="64">
        <v>28</v>
      </c>
      <c r="B21" s="57">
        <v>33</v>
      </c>
      <c r="C21" s="56" t="s">
        <v>3</v>
      </c>
      <c r="D21" s="28"/>
      <c r="E21" s="56" t="s">
        <v>34</v>
      </c>
      <c r="F21" s="28"/>
      <c r="G21" s="28"/>
      <c r="H21" s="35">
        <v>0.09</v>
      </c>
      <c r="I21" s="57">
        <v>33</v>
      </c>
      <c r="J21" s="58">
        <f>0.09*I21</f>
        <v>2.9699999999999998</v>
      </c>
      <c r="K21" s="75">
        <f>J21/J24</f>
        <v>0.31034482758620685</v>
      </c>
      <c r="L21" s="28"/>
      <c r="M21" s="28" t="s">
        <v>95</v>
      </c>
      <c r="N21" s="28"/>
      <c r="O21" s="31"/>
    </row>
    <row r="22" spans="1:24" ht="21" x14ac:dyDescent="0.25">
      <c r="A22" s="64">
        <v>9</v>
      </c>
      <c r="B22" s="57">
        <v>9</v>
      </c>
      <c r="C22" s="56" t="s">
        <v>3</v>
      </c>
      <c r="D22" s="28"/>
      <c r="E22" s="56" t="s">
        <v>5</v>
      </c>
      <c r="F22" s="28"/>
      <c r="G22" s="28"/>
      <c r="H22" s="35">
        <v>0.4</v>
      </c>
      <c r="I22" s="57">
        <v>9</v>
      </c>
      <c r="J22" s="58">
        <f>0.4*I22</f>
        <v>3.6</v>
      </c>
      <c r="K22" s="35">
        <f>J22/J24</f>
        <v>0.37617554858934171</v>
      </c>
      <c r="L22" s="28"/>
      <c r="M22" s="28"/>
      <c r="N22" s="28"/>
      <c r="O22" s="31"/>
    </row>
    <row r="23" spans="1:24" ht="21" x14ac:dyDescent="0.25">
      <c r="A23" s="64">
        <v>3</v>
      </c>
      <c r="B23" s="57">
        <v>2</v>
      </c>
      <c r="C23" s="56" t="s">
        <v>3</v>
      </c>
      <c r="D23" s="28"/>
      <c r="E23" s="56" t="s">
        <v>6</v>
      </c>
      <c r="F23" s="28"/>
      <c r="G23" s="28"/>
      <c r="H23" s="35">
        <v>0.5</v>
      </c>
      <c r="I23" s="57">
        <v>2</v>
      </c>
      <c r="J23" s="76">
        <f>0.5*I23</f>
        <v>1</v>
      </c>
      <c r="K23" s="35">
        <f>J23/J24</f>
        <v>0.1044932079414838</v>
      </c>
      <c r="L23" s="28"/>
      <c r="M23" s="28"/>
      <c r="N23" s="28"/>
      <c r="O23" s="31"/>
    </row>
    <row r="24" spans="1:24" ht="21" x14ac:dyDescent="0.25">
      <c r="A24" s="57">
        <v>10.6</v>
      </c>
      <c r="B24" s="57">
        <v>9.6</v>
      </c>
      <c r="C24" s="28" t="s">
        <v>3</v>
      </c>
      <c r="D24" s="28"/>
      <c r="E24" s="28"/>
      <c r="F24" s="28"/>
      <c r="G24" s="28"/>
      <c r="H24" s="28"/>
      <c r="I24" s="31"/>
      <c r="J24" s="77">
        <f>SUM(J20:J23)</f>
        <v>9.57</v>
      </c>
      <c r="K24" s="34" t="s">
        <v>31</v>
      </c>
      <c r="L24" s="28"/>
      <c r="M24" s="28"/>
      <c r="N24" s="28"/>
      <c r="O24" s="28"/>
    </row>
    <row r="25" spans="1:24" ht="21" x14ac:dyDescent="0.25">
      <c r="A25" s="28"/>
      <c r="C25" s="28"/>
      <c r="D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24" ht="21" x14ac:dyDescent="0.25">
      <c r="A26" s="3" t="s">
        <v>99</v>
      </c>
      <c r="C26" s="28"/>
      <c r="D26" s="28"/>
      <c r="E26" s="82" t="s">
        <v>104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24" ht="21" x14ac:dyDescent="0.25">
      <c r="A27" s="28"/>
      <c r="C27" s="28"/>
      <c r="D27" s="28"/>
      <c r="E27" s="82" t="s">
        <v>103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24" ht="21" x14ac:dyDescent="0.25">
      <c r="A28" t="s">
        <v>101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24" ht="21" x14ac:dyDescent="0.25">
      <c r="A29" t="s">
        <v>100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61" spans="1:14" ht="2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2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4" ht="2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4" ht="2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ht="2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ht="2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86" spans="1:9" x14ac:dyDescent="0.2">
      <c r="A86" s="81">
        <f>0.5*3.8+0.4*6.4+0.1*15.6</f>
        <v>6.0200000000000014</v>
      </c>
      <c r="B86" t="s">
        <v>102</v>
      </c>
    </row>
    <row r="87" spans="1:9" x14ac:dyDescent="0.2">
      <c r="A87" t="s">
        <v>105</v>
      </c>
      <c r="C87" s="82" t="s">
        <v>106</v>
      </c>
    </row>
    <row r="89" spans="1:9" ht="19" x14ac:dyDescent="0.25">
      <c r="A89" s="2" t="s">
        <v>128</v>
      </c>
      <c r="G89" s="2">
        <f>12*53</f>
        <v>636</v>
      </c>
      <c r="H89" s="2" t="s">
        <v>129</v>
      </c>
      <c r="I89" t="s">
        <v>130</v>
      </c>
    </row>
    <row r="90" spans="1:9" ht="19" x14ac:dyDescent="0.25">
      <c r="G90" s="2">
        <f>12*123</f>
        <v>1476</v>
      </c>
      <c r="H90" s="2" t="s">
        <v>131</v>
      </c>
    </row>
    <row r="91" spans="1:9" ht="19" x14ac:dyDescent="0.25">
      <c r="A91" t="s">
        <v>120</v>
      </c>
      <c r="G91" s="2">
        <f>12*520</f>
        <v>6240</v>
      </c>
      <c r="H91" s="2" t="s">
        <v>0</v>
      </c>
    </row>
    <row r="92" spans="1:9" x14ac:dyDescent="0.2">
      <c r="A92" t="s">
        <v>121</v>
      </c>
    </row>
    <row r="93" spans="1:9" x14ac:dyDescent="0.2">
      <c r="A93" t="s">
        <v>122</v>
      </c>
    </row>
    <row r="94" spans="1:9" x14ac:dyDescent="0.2">
      <c r="A94" t="s">
        <v>123</v>
      </c>
    </row>
    <row r="95" spans="1:9" x14ac:dyDescent="0.2">
      <c r="A95" t="s">
        <v>124</v>
      </c>
    </row>
    <row r="96" spans="1:9" x14ac:dyDescent="0.2">
      <c r="A96" t="s">
        <v>125</v>
      </c>
    </row>
    <row r="97" spans="1:1" x14ac:dyDescent="0.2">
      <c r="A97" s="82" t="s">
        <v>126</v>
      </c>
    </row>
    <row r="99" spans="1:1" x14ac:dyDescent="0.2">
      <c r="A99" s="82" t="s">
        <v>127</v>
      </c>
    </row>
    <row r="103" spans="1:1" ht="19" x14ac:dyDescent="0.25">
      <c r="A103" s="2" t="s">
        <v>150</v>
      </c>
    </row>
    <row r="105" spans="1:1" x14ac:dyDescent="0.2">
      <c r="A105" s="100" t="s">
        <v>153</v>
      </c>
    </row>
    <row r="106" spans="1:1" x14ac:dyDescent="0.2">
      <c r="A106" t="s">
        <v>151</v>
      </c>
    </row>
    <row r="107" spans="1:1" x14ac:dyDescent="0.2">
      <c r="A107" t="s">
        <v>152</v>
      </c>
    </row>
    <row r="109" spans="1:1" x14ac:dyDescent="0.2">
      <c r="A109" s="100" t="s">
        <v>154</v>
      </c>
    </row>
    <row r="110" spans="1:1" x14ac:dyDescent="0.2">
      <c r="A110" t="s">
        <v>155</v>
      </c>
    </row>
    <row r="121" spans="1:4" ht="19" x14ac:dyDescent="0.25">
      <c r="A121" s="2" t="s">
        <v>157</v>
      </c>
    </row>
    <row r="122" spans="1:4" ht="19" x14ac:dyDescent="0.25">
      <c r="A122" s="2"/>
    </row>
    <row r="123" spans="1:4" x14ac:dyDescent="0.2">
      <c r="A123" t="s">
        <v>190</v>
      </c>
      <c r="D123" s="82" t="s">
        <v>191</v>
      </c>
    </row>
    <row r="124" spans="1:4" x14ac:dyDescent="0.2">
      <c r="A124" t="s">
        <v>193</v>
      </c>
      <c r="D124" s="82" t="s">
        <v>192</v>
      </c>
    </row>
    <row r="125" spans="1:4" x14ac:dyDescent="0.2">
      <c r="A125" t="s">
        <v>158</v>
      </c>
      <c r="D125" s="82" t="s">
        <v>159</v>
      </c>
    </row>
    <row r="127" spans="1:4" x14ac:dyDescent="0.2">
      <c r="A127" t="s">
        <v>169</v>
      </c>
    </row>
    <row r="128" spans="1:4" x14ac:dyDescent="0.2">
      <c r="A128" t="s">
        <v>160</v>
      </c>
      <c r="B128" t="s">
        <v>161</v>
      </c>
      <c r="C128">
        <v>0.14699999999999999</v>
      </c>
      <c r="D128" t="s">
        <v>162</v>
      </c>
    </row>
    <row r="129" spans="1:4" x14ac:dyDescent="0.2">
      <c r="B129" t="s">
        <v>163</v>
      </c>
      <c r="C129">
        <v>5.7000000000000002E-2</v>
      </c>
      <c r="D129" t="s">
        <v>162</v>
      </c>
    </row>
    <row r="130" spans="1:4" x14ac:dyDescent="0.2">
      <c r="A130" t="s">
        <v>164</v>
      </c>
      <c r="B130" t="s">
        <v>165</v>
      </c>
      <c r="C130">
        <v>0.22700000000000001</v>
      </c>
      <c r="D130" t="s">
        <v>162</v>
      </c>
    </row>
    <row r="131" spans="1:4" x14ac:dyDescent="0.2">
      <c r="A131" t="s">
        <v>166</v>
      </c>
      <c r="C131">
        <v>0.27200000000000002</v>
      </c>
      <c r="D131" t="s">
        <v>162</v>
      </c>
    </row>
    <row r="132" spans="1:4" x14ac:dyDescent="0.2">
      <c r="A132" t="s">
        <v>167</v>
      </c>
      <c r="C132">
        <v>0.32400000000000001</v>
      </c>
      <c r="D132" t="s">
        <v>162</v>
      </c>
    </row>
    <row r="133" spans="1:4" x14ac:dyDescent="0.2">
      <c r="A133" t="s">
        <v>168</v>
      </c>
      <c r="C133">
        <v>0.03</v>
      </c>
      <c r="D133" t="s">
        <v>162</v>
      </c>
    </row>
    <row r="135" spans="1:4" x14ac:dyDescent="0.2">
      <c r="A135" s="90" t="s">
        <v>185</v>
      </c>
      <c r="B135" t="s">
        <v>186</v>
      </c>
      <c r="D135" s="82" t="s">
        <v>187</v>
      </c>
    </row>
    <row r="136" spans="1:4" x14ac:dyDescent="0.2">
      <c r="A136" s="90"/>
    </row>
    <row r="137" spans="1:4" ht="19" x14ac:dyDescent="0.25">
      <c r="A137" s="101" t="s">
        <v>176</v>
      </c>
    </row>
    <row r="139" spans="1:4" x14ac:dyDescent="0.2">
      <c r="A139" s="82" t="s">
        <v>170</v>
      </c>
    </row>
    <row r="141" spans="1:4" x14ac:dyDescent="0.2">
      <c r="A141" s="90" t="s">
        <v>171</v>
      </c>
    </row>
    <row r="142" spans="1:4" x14ac:dyDescent="0.2">
      <c r="A142" s="90" t="s">
        <v>172</v>
      </c>
    </row>
    <row r="143" spans="1:4" x14ac:dyDescent="0.2">
      <c r="A143" s="90" t="s">
        <v>173</v>
      </c>
    </row>
    <row r="144" spans="1:4" x14ac:dyDescent="0.2">
      <c r="A144" s="90" t="s">
        <v>174</v>
      </c>
    </row>
    <row r="145" spans="1:1" x14ac:dyDescent="0.2">
      <c r="A145" s="90" t="s">
        <v>175</v>
      </c>
    </row>
    <row r="147" spans="1:1" ht="19" x14ac:dyDescent="0.25">
      <c r="A147" s="2" t="s">
        <v>177</v>
      </c>
    </row>
    <row r="149" spans="1:1" x14ac:dyDescent="0.2">
      <c r="A149" t="s">
        <v>178</v>
      </c>
    </row>
    <row r="151" spans="1:1" x14ac:dyDescent="0.2">
      <c r="A151" s="82" t="s">
        <v>179</v>
      </c>
    </row>
    <row r="152" spans="1:1" x14ac:dyDescent="0.2">
      <c r="A152" s="90" t="s">
        <v>180</v>
      </c>
    </row>
    <row r="153" spans="1:1" x14ac:dyDescent="0.2">
      <c r="A153" s="90" t="s">
        <v>181</v>
      </c>
    </row>
    <row r="154" spans="1:1" x14ac:dyDescent="0.2">
      <c r="A154" s="90" t="s">
        <v>182</v>
      </c>
    </row>
    <row r="155" spans="1:1" x14ac:dyDescent="0.2">
      <c r="A155" s="90" t="s">
        <v>183</v>
      </c>
    </row>
    <row r="156" spans="1:1" x14ac:dyDescent="0.2">
      <c r="A156" s="90" t="s">
        <v>184</v>
      </c>
    </row>
  </sheetData>
  <hyperlinks>
    <hyperlink ref="H7" r:id="rId1" xr:uid="{C463693E-52FA-A64F-A578-CE86F52E913C}"/>
    <hyperlink ref="E27" r:id="rId2" xr:uid="{8BB4E278-B5D3-2C4F-8066-77AD65ADE27A}"/>
    <hyperlink ref="E26" r:id="rId3" xr:uid="{10D48836-B215-384C-B500-B5A01F0440AD}"/>
    <hyperlink ref="C87" r:id="rId4" xr:uid="{87F5059A-B165-2049-84ED-DAAC90E4D53C}"/>
    <hyperlink ref="A97" r:id="rId5" display="https://t.co/FAhm1DrOCy" xr:uid="{2A8A17AA-E1AA-B041-BE2E-A2086FFC8066}"/>
    <hyperlink ref="A99" r:id="rId6" display="https://twitter.com/i_fly_Bernard/status/1554131430795616259?ref_src=twsrc%5Etfw" xr:uid="{D2648413-FFBB-484F-8A8A-2BF0DDE89527}"/>
    <hyperlink ref="D125" r:id="rId7" xr:uid="{6E306824-41CA-1B43-912E-6446CA959254}"/>
    <hyperlink ref="A139" r:id="rId8" display="https://abc-transitionbascarbone.fr/infographie-les-services-societaux-un-poids-lourd-dans-lempreinte-carbone-de-chaque-citoyen-francais/" xr:uid="{BDC2918F-71A7-6E47-9E06-133AE8D9E774}"/>
    <hyperlink ref="A151" r:id="rId9" display="https://greenly.earth/fr-fr/blog/actualites-ecologie/nos-banques-financent-elles-reellement-la-crise-climatique" xr:uid="{D74614EA-88D1-4A46-A2C2-22A78DA842FC}"/>
    <hyperlink ref="D135" r:id="rId10" xr:uid="{7673D5AA-880B-764E-B1EF-5FD112F0E62A}"/>
    <hyperlink ref="D123" r:id="rId11" xr:uid="{2B5D9316-8CA6-884D-9F3A-C3C65D2A061A}"/>
    <hyperlink ref="D124" r:id="rId12" xr:uid="{A69F96AA-C0AF-FA42-B481-EB0FA991BAE5}"/>
  </hyperlink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70FF-1166-C845-9186-B7A181F2550F}">
  <dimension ref="A2:X23"/>
  <sheetViews>
    <sheetView workbookViewId="0">
      <selection activeCell="A4" sqref="A4:J19"/>
    </sheetView>
  </sheetViews>
  <sheetFormatPr baseColWidth="10" defaultRowHeight="16" x14ac:dyDescent="0.2"/>
  <sheetData>
    <row r="2" spans="1:24" ht="21" x14ac:dyDescent="0.25">
      <c r="A2" s="3" t="s">
        <v>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28" t="s">
        <v>53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47"/>
      <c r="B5" s="28" t="s">
        <v>0</v>
      </c>
      <c r="C5" s="47" t="s">
        <v>57</v>
      </c>
      <c r="D5" s="28"/>
      <c r="E5" s="28"/>
      <c r="F5" s="28"/>
      <c r="G5" s="28"/>
      <c r="H5" s="21"/>
      <c r="I5" s="28" t="s">
        <v>62</v>
      </c>
      <c r="J5" s="28"/>
      <c r="K5" s="28"/>
      <c r="L5" s="47"/>
      <c r="M5" s="28" t="s">
        <v>68</v>
      </c>
      <c r="N5" s="28"/>
      <c r="O5" s="28"/>
      <c r="P5" s="9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28" t="s">
        <v>52</v>
      </c>
      <c r="B6" s="28"/>
      <c r="C6" s="28"/>
      <c r="D6" s="28"/>
      <c r="E6" s="28"/>
      <c r="F6" s="28"/>
      <c r="G6" s="28"/>
      <c r="I6" s="28"/>
      <c r="J6" s="28"/>
      <c r="K6" s="28"/>
      <c r="L6" s="28"/>
      <c r="M6" s="28"/>
      <c r="N6" s="28"/>
      <c r="O6" s="28"/>
      <c r="P6" s="9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47"/>
      <c r="B7" s="28" t="s">
        <v>0</v>
      </c>
      <c r="C7" s="47" t="s">
        <v>57</v>
      </c>
      <c r="D7" s="28"/>
      <c r="E7" s="28"/>
      <c r="F7" s="28"/>
      <c r="G7" s="28"/>
      <c r="H7" s="21"/>
      <c r="I7" s="28" t="s">
        <v>62</v>
      </c>
      <c r="J7" s="28"/>
      <c r="K7" s="28"/>
      <c r="L7" s="47"/>
      <c r="M7" s="28" t="s">
        <v>68</v>
      </c>
      <c r="N7" s="28"/>
      <c r="O7" s="28"/>
      <c r="T7" s="9"/>
      <c r="U7" s="9"/>
      <c r="V7" s="9"/>
      <c r="W7" s="9"/>
      <c r="X7" s="9"/>
    </row>
    <row r="8" spans="1:24" ht="21" x14ac:dyDescent="0.25">
      <c r="A8" s="28" t="s">
        <v>54</v>
      </c>
      <c r="B8" s="28"/>
      <c r="C8" s="28"/>
      <c r="D8" s="28"/>
      <c r="E8" s="28"/>
      <c r="F8" s="28"/>
      <c r="G8" s="28"/>
      <c r="I8" s="28"/>
      <c r="J8" s="28"/>
      <c r="K8" s="28"/>
      <c r="L8" s="28"/>
      <c r="M8" s="28"/>
      <c r="N8" s="28"/>
      <c r="O8" s="28"/>
      <c r="T8" s="9"/>
      <c r="U8" s="9"/>
      <c r="V8" s="9"/>
      <c r="W8" s="9"/>
      <c r="X8" s="9"/>
    </row>
    <row r="9" spans="1:24" ht="21" x14ac:dyDescent="0.25">
      <c r="A9" s="47"/>
      <c r="B9" s="28" t="s">
        <v>0</v>
      </c>
      <c r="C9" s="47" t="s">
        <v>57</v>
      </c>
      <c r="D9" s="28"/>
      <c r="E9" s="28"/>
      <c r="F9" s="28"/>
      <c r="G9" s="28"/>
      <c r="H9" s="21"/>
      <c r="I9" s="28" t="s">
        <v>62</v>
      </c>
      <c r="J9" s="28"/>
      <c r="K9" s="28"/>
      <c r="L9" s="47"/>
      <c r="M9" s="28" t="s">
        <v>68</v>
      </c>
      <c r="N9" s="28"/>
      <c r="O9" s="28"/>
      <c r="T9" s="9"/>
      <c r="U9" s="9"/>
      <c r="V9" s="9"/>
      <c r="W9" s="9"/>
      <c r="X9" s="9"/>
    </row>
    <row r="10" spans="1:24" ht="21" x14ac:dyDescent="0.25">
      <c r="A10" s="28" t="s">
        <v>55</v>
      </c>
      <c r="B10" s="28"/>
      <c r="C10" s="28"/>
      <c r="D10" s="28"/>
      <c r="E10" s="28"/>
      <c r="F10" s="28"/>
      <c r="G10" s="28"/>
      <c r="I10" s="28"/>
      <c r="J10" s="28"/>
      <c r="K10" s="28"/>
      <c r="L10" s="28"/>
      <c r="M10" s="28"/>
      <c r="N10" s="28"/>
      <c r="O10" s="28"/>
      <c r="T10" s="9"/>
      <c r="U10" s="9"/>
      <c r="V10" s="9"/>
      <c r="W10" s="9"/>
      <c r="X10" s="9"/>
    </row>
    <row r="11" spans="1:24" ht="21" x14ac:dyDescent="0.25">
      <c r="A11" s="47"/>
      <c r="B11" s="28" t="s">
        <v>0</v>
      </c>
      <c r="C11" s="47" t="s">
        <v>57</v>
      </c>
      <c r="D11" s="28"/>
      <c r="E11" s="28"/>
      <c r="F11" s="28"/>
      <c r="G11" s="28"/>
      <c r="H11" s="21"/>
      <c r="I11" s="28" t="s">
        <v>62</v>
      </c>
      <c r="J11" s="28"/>
      <c r="K11" s="28"/>
      <c r="L11" s="47"/>
      <c r="M11" s="28" t="s">
        <v>68</v>
      </c>
      <c r="N11" s="28"/>
      <c r="O11" s="28"/>
      <c r="T11" s="9"/>
      <c r="U11" s="9"/>
      <c r="V11" s="9"/>
      <c r="W11" s="9"/>
      <c r="X11" s="9"/>
    </row>
    <row r="12" spans="1:24" ht="21" x14ac:dyDescent="0.25">
      <c r="A12" s="28" t="s">
        <v>56</v>
      </c>
      <c r="B12" s="28"/>
      <c r="C12" s="28"/>
      <c r="D12" s="28"/>
      <c r="E12" s="28"/>
      <c r="F12" s="28"/>
      <c r="G12" s="28"/>
      <c r="I12" s="28"/>
      <c r="J12" s="28"/>
      <c r="K12" s="28"/>
      <c r="L12" s="28"/>
      <c r="M12" s="28"/>
      <c r="N12" s="28"/>
      <c r="O12" s="28"/>
      <c r="T12" s="9"/>
      <c r="U12" s="9"/>
      <c r="V12" s="9"/>
      <c r="W12" s="9"/>
      <c r="X12" s="9"/>
    </row>
    <row r="13" spans="1:24" ht="21" x14ac:dyDescent="0.25">
      <c r="A13" s="47"/>
      <c r="B13" s="28" t="s">
        <v>0</v>
      </c>
      <c r="C13" s="47" t="s">
        <v>57</v>
      </c>
      <c r="D13" s="28"/>
      <c r="E13" s="28"/>
      <c r="F13" s="28"/>
      <c r="G13" s="28"/>
      <c r="H13" s="21"/>
      <c r="I13" s="28" t="s">
        <v>62</v>
      </c>
      <c r="J13" s="28"/>
      <c r="K13" s="28"/>
      <c r="L13" s="47"/>
      <c r="M13" s="28" t="s">
        <v>68</v>
      </c>
      <c r="N13" s="28"/>
      <c r="O13" s="28"/>
      <c r="S13" s="9"/>
      <c r="T13" s="9"/>
      <c r="U13" s="9"/>
      <c r="V13" s="9"/>
      <c r="W13" s="9"/>
      <c r="X13" s="9"/>
    </row>
    <row r="14" spans="1:24" ht="21" x14ac:dyDescent="0.25">
      <c r="A14" s="28" t="s">
        <v>58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9"/>
      <c r="Q14" s="51" t="s">
        <v>67</v>
      </c>
      <c r="R14" s="9"/>
      <c r="S14" s="9"/>
      <c r="T14" s="9"/>
      <c r="U14" s="9"/>
      <c r="V14" s="9"/>
      <c r="W14" s="9"/>
      <c r="X14" s="9"/>
    </row>
    <row r="15" spans="1:24" ht="21" x14ac:dyDescent="0.25">
      <c r="A15" s="31">
        <f>Data!E4</f>
        <v>2023</v>
      </c>
      <c r="B15" s="31">
        <v>2030</v>
      </c>
      <c r="C15" s="31">
        <v>2040</v>
      </c>
      <c r="D15" s="31">
        <v>2050</v>
      </c>
      <c r="E15" s="3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46"/>
      <c r="B16" s="47"/>
      <c r="C16" s="47"/>
      <c r="D16" s="46"/>
      <c r="E16" s="31" t="s">
        <v>0</v>
      </c>
      <c r="F16" s="46" t="s">
        <v>57</v>
      </c>
      <c r="G16" s="28"/>
      <c r="H16" s="28"/>
      <c r="I16" s="28"/>
      <c r="J16" s="28"/>
      <c r="K16" s="28"/>
      <c r="L16" s="28"/>
      <c r="M16" s="28"/>
      <c r="N16" s="28"/>
      <c r="O16" s="28"/>
      <c r="P16" s="9"/>
      <c r="Q16" s="9"/>
      <c r="R16" s="9"/>
      <c r="T16" s="9"/>
      <c r="U16" s="9"/>
      <c r="V16" s="9"/>
      <c r="W16" s="9"/>
      <c r="X16" s="9"/>
    </row>
    <row r="17" spans="1:24" ht="21" x14ac:dyDescent="0.25">
      <c r="A17" s="34" t="s">
        <v>119</v>
      </c>
      <c r="B17" s="31"/>
      <c r="C17" s="31"/>
      <c r="D17" s="31"/>
      <c r="E17" s="31"/>
      <c r="F17" s="28"/>
      <c r="G17" s="28"/>
      <c r="H17" s="28"/>
      <c r="I17" s="47"/>
      <c r="J17" s="28"/>
      <c r="K17" s="28"/>
      <c r="L17" s="28"/>
      <c r="M17" s="28"/>
      <c r="N17" s="28"/>
      <c r="O17" s="28"/>
      <c r="T17" s="9"/>
      <c r="U17" s="9"/>
      <c r="V17" s="9"/>
      <c r="W17" s="9"/>
      <c r="X17" s="9"/>
    </row>
    <row r="18" spans="1:24" ht="21" x14ac:dyDescent="0.25">
      <c r="A18" s="34" t="s">
        <v>59</v>
      </c>
      <c r="B18" s="31"/>
      <c r="C18" s="31"/>
      <c r="D18" s="31"/>
      <c r="E18" s="31"/>
      <c r="F18" s="28"/>
      <c r="G18" s="28"/>
      <c r="H18" s="28"/>
      <c r="I18" s="47"/>
      <c r="J18" s="28"/>
      <c r="K18" s="28"/>
      <c r="L18" s="28"/>
      <c r="M18" s="28"/>
      <c r="N18" s="28"/>
      <c r="O18" s="28"/>
      <c r="T18" s="9"/>
      <c r="U18" s="9"/>
      <c r="V18" s="9"/>
      <c r="W18" s="9"/>
      <c r="X18" s="9"/>
    </row>
    <row r="19" spans="1:24" ht="21" x14ac:dyDescent="0.25">
      <c r="A19" s="34" t="s">
        <v>60</v>
      </c>
      <c r="B19" s="28"/>
      <c r="C19" s="28"/>
      <c r="D19" s="28"/>
      <c r="E19" s="28"/>
      <c r="F19" s="28"/>
      <c r="G19" s="28"/>
      <c r="H19" s="28"/>
      <c r="I19" s="47"/>
      <c r="J19" s="28"/>
      <c r="K19" s="28"/>
      <c r="L19" s="28"/>
      <c r="M19" s="28"/>
      <c r="N19" s="28"/>
      <c r="O19" s="28"/>
      <c r="T19" s="9"/>
      <c r="U19" s="9"/>
      <c r="V19" s="9"/>
      <c r="W19" s="9"/>
      <c r="X19" s="9"/>
    </row>
    <row r="20" spans="1:24" ht="2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T20" s="9"/>
      <c r="U20" s="9"/>
      <c r="V20" s="9"/>
      <c r="W20" s="9"/>
      <c r="X20" s="9"/>
    </row>
    <row r="21" spans="1:24" ht="2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24" ht="2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24" ht="2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</vt:lpstr>
      <vt:lpstr>2030</vt:lpstr>
      <vt:lpstr>2040</vt:lpstr>
      <vt:lpstr>2050</vt:lpstr>
      <vt:lpstr>Bilan CO2</vt:lpstr>
      <vt:lpstr>Bilan NRJ</vt:lpstr>
      <vt:lpstr>Doc</vt:lpstr>
      <vt:lpstr>BE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2023-11-30T18:26:24Z</dcterms:modified>
</cp:coreProperties>
</file>